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2d6bad750472d51/Documents/GitHub/poliglot/dataframe pandas/"/>
    </mc:Choice>
  </mc:AlternateContent>
  <xr:revisionPtr revIDLastSave="5566" documentId="11_7E4E55BF84DCCEE3ED7FF6F99031F45BFA722949" xr6:coauthVersionLast="47" xr6:coauthVersionMax="47" xr10:uidLastSave="{88B92E9A-7EF0-4442-B8FA-24BF8A836A30}"/>
  <bookViews>
    <workbookView xWindow="-120" yWindow="-120" windowWidth="20730" windowHeight="11040" activeTab="2" xr2:uid="{00000000-000D-0000-FFFF-FFFF00000000}"/>
  </bookViews>
  <sheets>
    <sheet name="Zoologico 1_vIAC" sheetId="6" r:id="rId1"/>
    <sheet name="Zoologico 1" sheetId="2" r:id="rId2"/>
    <sheet name="Compress 2" sheetId="1" r:id="rId3"/>
    <sheet name="Conteo 3" sheetId="4" r:id="rId4"/>
    <sheet name="Shiritori 4" sheetId="3" r:id="rId5"/>
    <sheet name="Piloto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1" i="6" l="1"/>
  <c r="V3" i="3"/>
  <c r="V4" i="3"/>
  <c r="P3" i="3"/>
  <c r="N3" i="3"/>
  <c r="N4" i="3"/>
  <c r="W3" i="2"/>
  <c r="V51" i="2"/>
  <c r="W4" i="2"/>
  <c r="S3" i="2"/>
  <c r="L3" i="4"/>
  <c r="N3" i="4"/>
  <c r="P3" i="4" s="1"/>
  <c r="V3" i="4"/>
  <c r="L3" i="1"/>
  <c r="N3" i="1"/>
  <c r="P3" i="1" s="1"/>
  <c r="V3" i="1"/>
  <c r="I3" i="2"/>
  <c r="K3" i="2"/>
  <c r="M3" i="2" a="1"/>
  <c r="M3" i="2"/>
  <c r="P33" i="3"/>
  <c r="AA3" i="6"/>
  <c r="AB3" i="6" s="1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Z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AJ3" i="6"/>
  <c r="Q3" i="6"/>
  <c r="M3" i="6"/>
  <c r="AD80" i="6"/>
  <c r="AL55" i="6"/>
  <c r="AL54" i="6"/>
  <c r="AC54" i="6"/>
  <c r="S54" i="6"/>
  <c r="O54" i="6"/>
  <c r="AL53" i="6"/>
  <c r="AC53" i="6"/>
  <c r="S53" i="6"/>
  <c r="O53" i="6"/>
  <c r="AL52" i="6"/>
  <c r="AC52" i="6"/>
  <c r="S52" i="6"/>
  <c r="O52" i="6"/>
  <c r="AL51" i="6"/>
  <c r="AN42" i="6" s="1"/>
  <c r="AC51" i="6"/>
  <c r="S51" i="6"/>
  <c r="O51" i="6"/>
  <c r="AJ48" i="6"/>
  <c r="Q48" i="6"/>
  <c r="M48" i="6"/>
  <c r="AJ47" i="6"/>
  <c r="Q47" i="6"/>
  <c r="M47" i="6"/>
  <c r="AJ46" i="6"/>
  <c r="Q46" i="6"/>
  <c r="M46" i="6"/>
  <c r="AJ45" i="6"/>
  <c r="Q45" i="6"/>
  <c r="M45" i="6"/>
  <c r="AJ44" i="6"/>
  <c r="Q44" i="6"/>
  <c r="M44" i="6"/>
  <c r="AJ43" i="6"/>
  <c r="Q43" i="6"/>
  <c r="M43" i="6"/>
  <c r="AJ42" i="6"/>
  <c r="Q42" i="6"/>
  <c r="M42" i="6"/>
  <c r="AJ41" i="6"/>
  <c r="Q41" i="6"/>
  <c r="M41" i="6"/>
  <c r="AJ40" i="6"/>
  <c r="Q40" i="6"/>
  <c r="L40" i="6"/>
  <c r="M40" i="6" s="1"/>
  <c r="AJ39" i="6"/>
  <c r="Q39" i="6"/>
  <c r="L39" i="6"/>
  <c r="M39" i="6" s="1"/>
  <c r="AJ38" i="6"/>
  <c r="Q38" i="6"/>
  <c r="L38" i="6"/>
  <c r="M38" i="6" s="1"/>
  <c r="AJ37" i="6"/>
  <c r="Q37" i="6"/>
  <c r="M37" i="6"/>
  <c r="AJ36" i="6"/>
  <c r="Q36" i="6"/>
  <c r="M36" i="6"/>
  <c r="AJ35" i="6"/>
  <c r="Q35" i="6"/>
  <c r="M35" i="6"/>
  <c r="AJ34" i="6"/>
  <c r="Q34" i="6"/>
  <c r="AJ33" i="6"/>
  <c r="Q33" i="6"/>
  <c r="M33" i="6"/>
  <c r="AJ32" i="6"/>
  <c r="Q32" i="6"/>
  <c r="M32" i="6"/>
  <c r="AJ31" i="6"/>
  <c r="Q31" i="6"/>
  <c r="M31" i="6"/>
  <c r="AJ30" i="6"/>
  <c r="Q30" i="6"/>
  <c r="L30" i="6"/>
  <c r="M30" i="6" s="1"/>
  <c r="AJ29" i="6"/>
  <c r="Q29" i="6"/>
  <c r="M29" i="6"/>
  <c r="AJ28" i="6"/>
  <c r="Q28" i="6"/>
  <c r="M28" i="6"/>
  <c r="AJ27" i="6"/>
  <c r="Q27" i="6"/>
  <c r="M27" i="6"/>
  <c r="AJ25" i="6"/>
  <c r="Q25" i="6"/>
  <c r="M25" i="6"/>
  <c r="AJ24" i="6"/>
  <c r="Q24" i="6"/>
  <c r="L24" i="6"/>
  <c r="M24" i="6" s="1"/>
  <c r="AJ23" i="6"/>
  <c r="Q23" i="6"/>
  <c r="M23" i="6"/>
  <c r="AJ22" i="6"/>
  <c r="Q22" i="6"/>
  <c r="M22" i="6"/>
  <c r="AJ21" i="6"/>
  <c r="Q21" i="6"/>
  <c r="M21" i="6"/>
  <c r="AJ20" i="6"/>
  <c r="Q20" i="6"/>
  <c r="M20" i="6"/>
  <c r="AJ19" i="6"/>
  <c r="Q19" i="6"/>
  <c r="M19" i="6"/>
  <c r="AJ18" i="6"/>
  <c r="Q18" i="6"/>
  <c r="M18" i="6"/>
  <c r="AJ17" i="6"/>
  <c r="Q17" i="6"/>
  <c r="M17" i="6"/>
  <c r="AJ16" i="6"/>
  <c r="Q16" i="6"/>
  <c r="M16" i="6"/>
  <c r="AJ15" i="6"/>
  <c r="Q15" i="6"/>
  <c r="M15" i="6"/>
  <c r="AJ14" i="6"/>
  <c r="Q14" i="6"/>
  <c r="M14" i="6"/>
  <c r="AJ13" i="6"/>
  <c r="Q13" i="6"/>
  <c r="M13" i="6"/>
  <c r="AJ12" i="6"/>
  <c r="Q12" i="6"/>
  <c r="M12" i="6"/>
  <c r="AJ11" i="6"/>
  <c r="Q11" i="6"/>
  <c r="M11" i="6"/>
  <c r="AJ10" i="6"/>
  <c r="Q10" i="6"/>
  <c r="L10" i="6"/>
  <c r="M10" i="6" s="1"/>
  <c r="AJ9" i="6"/>
  <c r="Q9" i="6"/>
  <c r="L9" i="6"/>
  <c r="M9" i="6" s="1"/>
  <c r="AJ8" i="6"/>
  <c r="Q8" i="6"/>
  <c r="L8" i="6"/>
  <c r="M8" i="6" s="1"/>
  <c r="AJ7" i="6"/>
  <c r="Q7" i="6"/>
  <c r="L7" i="6"/>
  <c r="M7" i="6" s="1"/>
  <c r="AJ6" i="6"/>
  <c r="Q6" i="6"/>
  <c r="L6" i="6"/>
  <c r="M6" i="6" s="1"/>
  <c r="AJ5" i="6"/>
  <c r="Q5" i="6"/>
  <c r="L5" i="6"/>
  <c r="M5" i="6" s="1"/>
  <c r="AJ4" i="6"/>
  <c r="Q4" i="6"/>
  <c r="M4" i="6"/>
  <c r="N80" i="2"/>
  <c r="P52" i="4"/>
  <c r="J53" i="2"/>
  <c r="P54" i="3"/>
  <c r="P53" i="3"/>
  <c r="P52" i="3"/>
  <c r="P51" i="3"/>
  <c r="O54" i="3"/>
  <c r="O53" i="3"/>
  <c r="M54" i="3"/>
  <c r="M53" i="3"/>
  <c r="M52" i="3"/>
  <c r="O52" i="3"/>
  <c r="O51" i="3"/>
  <c r="M51" i="3"/>
  <c r="AA26" i="4"/>
  <c r="Y55" i="4"/>
  <c r="Y54" i="4"/>
  <c r="Y53" i="4"/>
  <c r="Y52" i="4"/>
  <c r="Y51" i="4"/>
  <c r="Z11" i="4" s="1"/>
  <c r="O51" i="4"/>
  <c r="P54" i="4"/>
  <c r="P53" i="4"/>
  <c r="P51" i="4"/>
  <c r="M51" i="4"/>
  <c r="O53" i="4"/>
  <c r="O54" i="4"/>
  <c r="M54" i="4"/>
  <c r="M53" i="4"/>
  <c r="M52" i="4"/>
  <c r="O52" i="4"/>
  <c r="M52" i="1"/>
  <c r="V55" i="2"/>
  <c r="V54" i="2"/>
  <c r="V53" i="2"/>
  <c r="V52" i="2"/>
  <c r="M54" i="2"/>
  <c r="M53" i="2"/>
  <c r="M52" i="2"/>
  <c r="M51" i="2"/>
  <c r="L54" i="2"/>
  <c r="L53" i="2"/>
  <c r="L52" i="2"/>
  <c r="L51" i="2"/>
  <c r="J54" i="2"/>
  <c r="J52" i="2"/>
  <c r="J51" i="2"/>
  <c r="P51" i="1"/>
  <c r="M54" i="1"/>
  <c r="M53" i="1"/>
  <c r="M51" i="1"/>
  <c r="P52" i="1"/>
  <c r="P53" i="1"/>
  <c r="P54" i="1"/>
  <c r="Y51" i="1"/>
  <c r="Z29" i="1" s="1"/>
  <c r="S5" i="2"/>
  <c r="K5" i="2"/>
  <c r="Y55" i="1"/>
  <c r="Y54" i="1"/>
  <c r="Y53" i="1"/>
  <c r="Y52" i="1"/>
  <c r="K3" i="5"/>
  <c r="H3" i="5"/>
  <c r="S4" i="5"/>
  <c r="K4" i="5"/>
  <c r="I4" i="5"/>
  <c r="S3" i="5"/>
  <c r="S2" i="5"/>
  <c r="K2" i="5"/>
  <c r="N16" i="3"/>
  <c r="J44" i="4"/>
  <c r="L44" i="4" s="1"/>
  <c r="J23" i="4"/>
  <c r="L23" i="4" s="1"/>
  <c r="J17" i="4"/>
  <c r="K48" i="1"/>
  <c r="L48" i="1" s="1"/>
  <c r="K4" i="1"/>
  <c r="I3" i="5" s="1"/>
  <c r="K19" i="1"/>
  <c r="L19" i="1" s="1"/>
  <c r="H30" i="2"/>
  <c r="H24" i="2"/>
  <c r="I24" i="2" s="1"/>
  <c r="H10" i="2"/>
  <c r="I10" i="2" s="1"/>
  <c r="V40" i="3"/>
  <c r="V37" i="3"/>
  <c r="V38" i="3"/>
  <c r="N40" i="3"/>
  <c r="P40" i="3" s="1"/>
  <c r="N37" i="3"/>
  <c r="N35" i="3"/>
  <c r="V22" i="3"/>
  <c r="V23" i="3"/>
  <c r="V24" i="3"/>
  <c r="V25" i="3"/>
  <c r="V26" i="3"/>
  <c r="V27" i="3"/>
  <c r="V28" i="3"/>
  <c r="V29" i="3"/>
  <c r="V30" i="3"/>
  <c r="V31" i="3"/>
  <c r="V32" i="3"/>
  <c r="V33" i="3"/>
  <c r="T29" i="3"/>
  <c r="T28" i="3"/>
  <c r="T25" i="3"/>
  <c r="S31" i="3"/>
  <c r="S29" i="3"/>
  <c r="S28" i="3"/>
  <c r="S27" i="3"/>
  <c r="S24" i="3"/>
  <c r="S23" i="3"/>
  <c r="S22" i="3"/>
  <c r="V48" i="3"/>
  <c r="V45" i="3"/>
  <c r="V42" i="3"/>
  <c r="V39" i="3"/>
  <c r="V35" i="3"/>
  <c r="V34" i="3"/>
  <c r="V21" i="3"/>
  <c r="P32" i="3"/>
  <c r="P36" i="3"/>
  <c r="AA36" i="3" s="1"/>
  <c r="P37" i="3"/>
  <c r="P41" i="3"/>
  <c r="AA41" i="3" s="1"/>
  <c r="P43" i="3"/>
  <c r="AA43" i="3" s="1"/>
  <c r="P44" i="3"/>
  <c r="AA44" i="3" s="1"/>
  <c r="P46" i="3"/>
  <c r="AA46" i="3" s="1"/>
  <c r="P47" i="3"/>
  <c r="AA47" i="3" s="1"/>
  <c r="N48" i="3"/>
  <c r="P48" i="3" s="1"/>
  <c r="N45" i="3"/>
  <c r="P45" i="3" s="1"/>
  <c r="N38" i="3"/>
  <c r="P38" i="3" s="1"/>
  <c r="N39" i="3"/>
  <c r="P39" i="3" s="1"/>
  <c r="N34" i="3"/>
  <c r="P34" i="3" s="1"/>
  <c r="W4" i="5"/>
  <c r="N21" i="3"/>
  <c r="L17" i="3"/>
  <c r="K21" i="3"/>
  <c r="L21" i="3" s="1"/>
  <c r="K14" i="3"/>
  <c r="L14" i="3" s="1"/>
  <c r="K13" i="3"/>
  <c r="L13" i="3" s="1"/>
  <c r="H40" i="2"/>
  <c r="I40" i="2" s="1"/>
  <c r="H39" i="2"/>
  <c r="H38" i="2"/>
  <c r="I38" i="2" s="1"/>
  <c r="H9" i="2"/>
  <c r="I9" i="2" s="1"/>
  <c r="H6" i="2"/>
  <c r="I6" i="2" s="1"/>
  <c r="H7" i="2"/>
  <c r="H8" i="2"/>
  <c r="I8" i="2" s="1"/>
  <c r="H5" i="2"/>
  <c r="N30" i="3"/>
  <c r="P30" i="3" s="1"/>
  <c r="N31" i="3"/>
  <c r="P31" i="3" s="1"/>
  <c r="N29" i="3"/>
  <c r="P29" i="3" s="1"/>
  <c r="N28" i="3"/>
  <c r="P28" i="3" s="1"/>
  <c r="N26" i="3"/>
  <c r="P26" i="3" s="1"/>
  <c r="N27" i="3"/>
  <c r="P27" i="3" s="1"/>
  <c r="N25" i="3"/>
  <c r="P25" i="3" s="1"/>
  <c r="N24" i="3"/>
  <c r="P24" i="3" s="1"/>
  <c r="N23" i="3"/>
  <c r="P23" i="3" s="1"/>
  <c r="N22" i="3"/>
  <c r="O7" i="1"/>
  <c r="K46" i="1"/>
  <c r="L46" i="1" s="1"/>
  <c r="K39" i="1"/>
  <c r="K25" i="1"/>
  <c r="K15" i="1"/>
  <c r="L15" i="1" s="1"/>
  <c r="K38" i="1"/>
  <c r="L38" i="1" s="1"/>
  <c r="K29" i="1"/>
  <c r="K18" i="1"/>
  <c r="Y35" i="3"/>
  <c r="K4" i="3"/>
  <c r="L4" i="3" s="1"/>
  <c r="P4" i="3" s="1"/>
  <c r="N42" i="3"/>
  <c r="L42" i="3"/>
  <c r="L35" i="3"/>
  <c r="L22" i="3"/>
  <c r="P22" i="3" s="1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6" i="3"/>
  <c r="K19" i="3"/>
  <c r="L19" i="3" s="1"/>
  <c r="K7" i="3"/>
  <c r="L7" i="3" s="1"/>
  <c r="L8" i="3"/>
  <c r="L9" i="3"/>
  <c r="L10" i="3"/>
  <c r="L11" i="3"/>
  <c r="L12" i="3"/>
  <c r="L15" i="3"/>
  <c r="L16" i="3"/>
  <c r="L18" i="3"/>
  <c r="L20" i="3"/>
  <c r="L6" i="3"/>
  <c r="N7" i="3"/>
  <c r="N8" i="3"/>
  <c r="P8" i="3" s="1"/>
  <c r="N9" i="3"/>
  <c r="P9" i="3" s="1"/>
  <c r="N10" i="3"/>
  <c r="P10" i="3" s="1"/>
  <c r="P11" i="3"/>
  <c r="N12" i="3"/>
  <c r="P12" i="3" s="1"/>
  <c r="N13" i="3"/>
  <c r="N14" i="3"/>
  <c r="N15" i="3"/>
  <c r="P15" i="3" s="1"/>
  <c r="N17" i="3"/>
  <c r="P17" i="3" s="1"/>
  <c r="N18" i="3"/>
  <c r="N19" i="3"/>
  <c r="N20" i="3"/>
  <c r="P20" i="3" s="1"/>
  <c r="N6" i="3"/>
  <c r="V48" i="4"/>
  <c r="N48" i="4"/>
  <c r="L48" i="4"/>
  <c r="V47" i="4"/>
  <c r="N47" i="4"/>
  <c r="L47" i="4"/>
  <c r="V46" i="4"/>
  <c r="N46" i="4"/>
  <c r="L46" i="4"/>
  <c r="V45" i="4"/>
  <c r="N45" i="4"/>
  <c r="L45" i="4"/>
  <c r="V44" i="4"/>
  <c r="N44" i="4"/>
  <c r="V43" i="4"/>
  <c r="N43" i="4"/>
  <c r="L43" i="4"/>
  <c r="V42" i="4"/>
  <c r="N42" i="4"/>
  <c r="L42" i="4"/>
  <c r="V41" i="4"/>
  <c r="N41" i="4"/>
  <c r="L41" i="4"/>
  <c r="V40" i="4"/>
  <c r="N40" i="4"/>
  <c r="L40" i="4"/>
  <c r="V39" i="4"/>
  <c r="N39" i="4"/>
  <c r="L39" i="4"/>
  <c r="V38" i="4"/>
  <c r="N38" i="4"/>
  <c r="L38" i="4"/>
  <c r="V4" i="4"/>
  <c r="N4" i="4"/>
  <c r="L4" i="4"/>
  <c r="V37" i="4"/>
  <c r="N37" i="4"/>
  <c r="L37" i="4"/>
  <c r="V36" i="4"/>
  <c r="N36" i="4"/>
  <c r="L36" i="4"/>
  <c r="V35" i="4"/>
  <c r="N35" i="4"/>
  <c r="L35" i="4"/>
  <c r="V34" i="4"/>
  <c r="N34" i="4"/>
  <c r="L34" i="4"/>
  <c r="V33" i="4"/>
  <c r="N33" i="4"/>
  <c r="L33" i="4"/>
  <c r="V32" i="4"/>
  <c r="N32" i="4"/>
  <c r="L32" i="4"/>
  <c r="V31" i="4"/>
  <c r="N31" i="4"/>
  <c r="L31" i="4"/>
  <c r="V30" i="4"/>
  <c r="N30" i="4"/>
  <c r="L30" i="4"/>
  <c r="V29" i="4"/>
  <c r="N29" i="4"/>
  <c r="L29" i="4"/>
  <c r="V28" i="4"/>
  <c r="N28" i="4"/>
  <c r="L28" i="4"/>
  <c r="V27" i="4"/>
  <c r="N27" i="4"/>
  <c r="L27" i="4"/>
  <c r="V25" i="4"/>
  <c r="N25" i="4"/>
  <c r="L25" i="4"/>
  <c r="V24" i="4"/>
  <c r="N24" i="4"/>
  <c r="L24" i="4"/>
  <c r="N23" i="4"/>
  <c r="V22" i="4"/>
  <c r="N22" i="4"/>
  <c r="L22" i="4"/>
  <c r="V21" i="4"/>
  <c r="N21" i="4"/>
  <c r="L21" i="4"/>
  <c r="V20" i="4"/>
  <c r="N20" i="4"/>
  <c r="L20" i="4"/>
  <c r="V19" i="4"/>
  <c r="N19" i="4"/>
  <c r="L19" i="4"/>
  <c r="V18" i="4"/>
  <c r="N18" i="4"/>
  <c r="L18" i="4"/>
  <c r="V17" i="4"/>
  <c r="N17" i="4"/>
  <c r="L17" i="4"/>
  <c r="V16" i="4"/>
  <c r="N16" i="4"/>
  <c r="L16" i="4"/>
  <c r="V15" i="4"/>
  <c r="N15" i="4"/>
  <c r="L15" i="4"/>
  <c r="V14" i="4"/>
  <c r="N14" i="4"/>
  <c r="L14" i="4"/>
  <c r="V13" i="4"/>
  <c r="N13" i="4"/>
  <c r="L13" i="4"/>
  <c r="V12" i="4"/>
  <c r="N12" i="4"/>
  <c r="L12" i="4"/>
  <c r="V11" i="4"/>
  <c r="N11" i="4"/>
  <c r="L11" i="4"/>
  <c r="V10" i="4"/>
  <c r="N10" i="4"/>
  <c r="L10" i="4"/>
  <c r="V9" i="4"/>
  <c r="N9" i="4"/>
  <c r="L9" i="4"/>
  <c r="V8" i="4"/>
  <c r="N8" i="4"/>
  <c r="L8" i="4"/>
  <c r="V7" i="4"/>
  <c r="N7" i="4"/>
  <c r="L7" i="4"/>
  <c r="V6" i="4"/>
  <c r="N6" i="4"/>
  <c r="L6" i="4"/>
  <c r="V5" i="4"/>
  <c r="N5" i="4"/>
  <c r="L5" i="4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" i="2"/>
  <c r="S42" i="2"/>
  <c r="S43" i="2"/>
  <c r="S44" i="2"/>
  <c r="S45" i="2"/>
  <c r="S46" i="2"/>
  <c r="S47" i="2"/>
  <c r="S48" i="2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" i="1"/>
  <c r="V47" i="1"/>
  <c r="V48" i="1"/>
  <c r="I4" i="2"/>
  <c r="K45" i="1"/>
  <c r="K48" i="2"/>
  <c r="K47" i="2"/>
  <c r="K46" i="2"/>
  <c r="K45" i="2"/>
  <c r="K44" i="2"/>
  <c r="K43" i="2"/>
  <c r="K42" i="2"/>
  <c r="K4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N5" i="1"/>
  <c r="I48" i="2"/>
  <c r="I47" i="2"/>
  <c r="I46" i="2"/>
  <c r="I45" i="2"/>
  <c r="I44" i="2"/>
  <c r="I43" i="2"/>
  <c r="M43" i="2" s="1" a="1"/>
  <c r="M43" i="2" s="1"/>
  <c r="I42" i="2"/>
  <c r="I41" i="2"/>
  <c r="I39" i="2"/>
  <c r="M39" i="2" s="1" a="1"/>
  <c r="M39" i="2" s="1"/>
  <c r="I37" i="2"/>
  <c r="I36" i="2"/>
  <c r="I35" i="2"/>
  <c r="M35" i="2" s="1" a="1"/>
  <c r="M35" i="2" s="1"/>
  <c r="I33" i="2"/>
  <c r="I32" i="2"/>
  <c r="I31" i="2"/>
  <c r="M31" i="2" s="1" a="1"/>
  <c r="M31" i="2" s="1"/>
  <c r="I30" i="2"/>
  <c r="M30" i="2" s="1" a="1"/>
  <c r="M30" i="2" s="1"/>
  <c r="I29" i="2"/>
  <c r="M29" i="2" s="1" a="1"/>
  <c r="M29" i="2" s="1"/>
  <c r="I28" i="2"/>
  <c r="M28" i="2" s="1" a="1"/>
  <c r="M28" i="2" s="1"/>
  <c r="I27" i="2"/>
  <c r="M27" i="2" s="1" a="1"/>
  <c r="M27" i="2" s="1"/>
  <c r="I25" i="2"/>
  <c r="I23" i="2"/>
  <c r="I22" i="2"/>
  <c r="M22" i="2" s="1" a="1"/>
  <c r="M22" i="2" s="1"/>
  <c r="I21" i="2"/>
  <c r="I20" i="2"/>
  <c r="I19" i="2"/>
  <c r="M19" i="2" s="1" a="1"/>
  <c r="M19" i="2" s="1"/>
  <c r="I18" i="2"/>
  <c r="M18" i="2" s="1" a="1"/>
  <c r="M18" i="2" s="1"/>
  <c r="I17" i="2"/>
  <c r="I16" i="2"/>
  <c r="I15" i="2"/>
  <c r="I14" i="2"/>
  <c r="M14" i="2" s="1" a="1"/>
  <c r="M14" i="2" s="1"/>
  <c r="I13" i="2"/>
  <c r="I12" i="2"/>
  <c r="I11" i="2"/>
  <c r="M11" i="2" s="1" a="1"/>
  <c r="M11" i="2" s="1"/>
  <c r="I7" i="2"/>
  <c r="L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" i="1"/>
  <c r="N47" i="1"/>
  <c r="N48" i="1"/>
  <c r="L6" i="1"/>
  <c r="L7" i="1"/>
  <c r="L8" i="1"/>
  <c r="L9" i="1"/>
  <c r="L10" i="1"/>
  <c r="L11" i="1"/>
  <c r="L12" i="1"/>
  <c r="L13" i="1"/>
  <c r="L14" i="1"/>
  <c r="L16" i="1"/>
  <c r="L17" i="1"/>
  <c r="L18" i="1"/>
  <c r="L20" i="1"/>
  <c r="L21" i="1"/>
  <c r="L22" i="1"/>
  <c r="L23" i="1"/>
  <c r="L24" i="1"/>
  <c r="L25" i="1"/>
  <c r="L27" i="1"/>
  <c r="L28" i="1"/>
  <c r="L29" i="1"/>
  <c r="L30" i="1"/>
  <c r="L31" i="1"/>
  <c r="L32" i="1"/>
  <c r="L33" i="1"/>
  <c r="L34" i="1"/>
  <c r="L35" i="1"/>
  <c r="L36" i="1"/>
  <c r="L37" i="1"/>
  <c r="L39" i="1"/>
  <c r="L40" i="1"/>
  <c r="L41" i="1"/>
  <c r="L42" i="1"/>
  <c r="L43" i="1"/>
  <c r="L44" i="1"/>
  <c r="L45" i="1"/>
  <c r="L4" i="1"/>
  <c r="L47" i="1"/>
  <c r="P18" i="3" l="1"/>
  <c r="P35" i="3"/>
  <c r="P16" i="3"/>
  <c r="P19" i="3"/>
  <c r="P14" i="3"/>
  <c r="P13" i="3"/>
  <c r="P7" i="3"/>
  <c r="Z41" i="4"/>
  <c r="Z26" i="4"/>
  <c r="Z40" i="4"/>
  <c r="Z25" i="4"/>
  <c r="Z24" i="4"/>
  <c r="Z10" i="4"/>
  <c r="Z9" i="4"/>
  <c r="Z8" i="4"/>
  <c r="Z42" i="4"/>
  <c r="Z39" i="4"/>
  <c r="Z23" i="4"/>
  <c r="Z7" i="4"/>
  <c r="Z38" i="4"/>
  <c r="Z22" i="4"/>
  <c r="Z6" i="4"/>
  <c r="Z37" i="4"/>
  <c r="Z21" i="4"/>
  <c r="Z5" i="4"/>
  <c r="Z36" i="4"/>
  <c r="Z20" i="4"/>
  <c r="Z4" i="4"/>
  <c r="Z35" i="4"/>
  <c r="Z19" i="4"/>
  <c r="Z3" i="4"/>
  <c r="Z34" i="4"/>
  <c r="Z18" i="4"/>
  <c r="Z33" i="4"/>
  <c r="Z17" i="4"/>
  <c r="Z48" i="4"/>
  <c r="Z32" i="4"/>
  <c r="Z16" i="4"/>
  <c r="Z47" i="4"/>
  <c r="Z31" i="4"/>
  <c r="Z15" i="4"/>
  <c r="Z46" i="4"/>
  <c r="Z30" i="4"/>
  <c r="Z14" i="4"/>
  <c r="Z45" i="4"/>
  <c r="Z29" i="4"/>
  <c r="Z13" i="4"/>
  <c r="Z44" i="4"/>
  <c r="Z28" i="4"/>
  <c r="Z12" i="4"/>
  <c r="Z43" i="4"/>
  <c r="Z27" i="4"/>
  <c r="Z3" i="1"/>
  <c r="Z41" i="1"/>
  <c r="Z38" i="1"/>
  <c r="AA53" i="6"/>
  <c r="AA54" i="6"/>
  <c r="AA52" i="6"/>
  <c r="AA63" i="6"/>
  <c r="AA62" i="6"/>
  <c r="AA60" i="6"/>
  <c r="AA58" i="6"/>
  <c r="AA59" i="6"/>
  <c r="N53" i="3"/>
  <c r="N52" i="3"/>
  <c r="Y55" i="3"/>
  <c r="Y54" i="3"/>
  <c r="Y51" i="3"/>
  <c r="Z15" i="3" s="1"/>
  <c r="Y53" i="3"/>
  <c r="Y52" i="3"/>
  <c r="Y56" i="1"/>
  <c r="M8" i="2" a="1"/>
  <c r="M8" i="2" s="1"/>
  <c r="M9" i="2" a="1"/>
  <c r="M9" i="2" s="1"/>
  <c r="M10" i="2" a="1"/>
  <c r="M10" i="2" s="1"/>
  <c r="M24" i="2" a="1"/>
  <c r="M24" i="2" s="1"/>
  <c r="W16" i="6"/>
  <c r="W24" i="6"/>
  <c r="W47" i="6"/>
  <c r="W6" i="6"/>
  <c r="W17" i="6"/>
  <c r="W42" i="6"/>
  <c r="W41" i="6"/>
  <c r="W25" i="6"/>
  <c r="W36" i="6"/>
  <c r="W44" i="6"/>
  <c r="W39" i="6"/>
  <c r="W14" i="6"/>
  <c r="W11" i="6"/>
  <c r="W19" i="6"/>
  <c r="W28" i="6"/>
  <c r="W26" i="6"/>
  <c r="W33" i="6"/>
  <c r="W9" i="6"/>
  <c r="W31" i="6"/>
  <c r="W37" i="6"/>
  <c r="W12" i="6"/>
  <c r="W4" i="6"/>
  <c r="W7" i="6"/>
  <c r="W15" i="6"/>
  <c r="W23" i="6"/>
  <c r="W32" i="6"/>
  <c r="W35" i="6"/>
  <c r="W40" i="6"/>
  <c r="W43" i="6"/>
  <c r="W48" i="6"/>
  <c r="W22" i="6"/>
  <c r="W8" i="6"/>
  <c r="W3" i="6"/>
  <c r="W20" i="6"/>
  <c r="W29" i="6"/>
  <c r="W10" i="6"/>
  <c r="W18" i="6"/>
  <c r="W27" i="6"/>
  <c r="W38" i="6"/>
  <c r="W46" i="6"/>
  <c r="W45" i="6"/>
  <c r="W5" i="6"/>
  <c r="W13" i="6"/>
  <c r="W21" i="6"/>
  <c r="W30" i="6"/>
  <c r="W34" i="6"/>
  <c r="R32" i="6"/>
  <c r="AD32" i="6" s="1" a="1"/>
  <c r="AD32" i="6" s="1"/>
  <c r="R29" i="6"/>
  <c r="AD29" i="6" s="1" a="1"/>
  <c r="AD29" i="6" s="1"/>
  <c r="R6" i="6"/>
  <c r="AD6" i="6" s="1" a="1"/>
  <c r="AD6" i="6" s="1"/>
  <c r="R14" i="6"/>
  <c r="AD14" i="6" s="1" a="1"/>
  <c r="AD14" i="6" s="1"/>
  <c r="R22" i="6"/>
  <c r="AD22" i="6" s="1" a="1"/>
  <c r="AD22" i="6" s="1"/>
  <c r="R37" i="6"/>
  <c r="AD37" i="6" s="1" a="1"/>
  <c r="AD37" i="6" s="1"/>
  <c r="R45" i="6"/>
  <c r="AD45" i="6" s="1" a="1"/>
  <c r="AD45" i="6" s="1"/>
  <c r="R12" i="6"/>
  <c r="AD12" i="6" s="1" a="1"/>
  <c r="AD12" i="6" s="1"/>
  <c r="R15" i="6"/>
  <c r="AD15" i="6" s="1" a="1"/>
  <c r="AD15" i="6" s="1"/>
  <c r="R5" i="6"/>
  <c r="AD5" i="6" s="1" a="1"/>
  <c r="AD5" i="6" s="1"/>
  <c r="R21" i="6"/>
  <c r="AD21" i="6" s="1" a="1"/>
  <c r="AD21" i="6" s="1"/>
  <c r="R30" i="6"/>
  <c r="AD30" i="6" s="1" a="1"/>
  <c r="AD30" i="6" s="1"/>
  <c r="R41" i="6"/>
  <c r="AD41" i="6" s="1" a="1"/>
  <c r="AD41" i="6" s="1"/>
  <c r="R20" i="6"/>
  <c r="AD20" i="6" s="1" a="1"/>
  <c r="AD20" i="6" s="1"/>
  <c r="R48" i="6"/>
  <c r="AD48" i="6" s="1" a="1"/>
  <c r="AD48" i="6" s="1"/>
  <c r="R7" i="6"/>
  <c r="AD7" i="6" s="1" a="1"/>
  <c r="AD7" i="6" s="1"/>
  <c r="R23" i="6"/>
  <c r="AD23" i="6" s="1" a="1"/>
  <c r="AD23" i="6" s="1"/>
  <c r="R35" i="6"/>
  <c r="AD35" i="6" s="1" a="1"/>
  <c r="AD35" i="6" s="1"/>
  <c r="R43" i="6"/>
  <c r="AD43" i="6" s="1" a="1"/>
  <c r="AD43" i="6" s="1"/>
  <c r="R18" i="6"/>
  <c r="AD18" i="6" s="1" a="1"/>
  <c r="AD18" i="6" s="1"/>
  <c r="R13" i="6"/>
  <c r="AD13" i="6" s="1" a="1"/>
  <c r="AD13" i="6" s="1"/>
  <c r="R8" i="6"/>
  <c r="AD8" i="6" s="1" a="1"/>
  <c r="AD8" i="6" s="1"/>
  <c r="R16" i="6"/>
  <c r="AD16" i="6" s="1" a="1"/>
  <c r="AD16" i="6" s="1"/>
  <c r="R24" i="6"/>
  <c r="AD24" i="6" s="1" a="1"/>
  <c r="AD24" i="6" s="1"/>
  <c r="R40" i="6"/>
  <c r="AD40" i="6" s="1" a="1"/>
  <c r="AD40" i="6" s="1"/>
  <c r="R10" i="6"/>
  <c r="AD10" i="6" s="1" a="1"/>
  <c r="AD10" i="6" s="1"/>
  <c r="R38" i="6"/>
  <c r="AD38" i="6" s="1" a="1"/>
  <c r="AD38" i="6" s="1"/>
  <c r="R46" i="6"/>
  <c r="AD46" i="6" s="1" a="1"/>
  <c r="AD46" i="6" s="1"/>
  <c r="R11" i="6"/>
  <c r="AD11" i="6" s="1" a="1"/>
  <c r="AD11" i="6" s="1"/>
  <c r="R19" i="6"/>
  <c r="AD19" i="6" s="1" a="1"/>
  <c r="AD19" i="6" s="1"/>
  <c r="R39" i="6"/>
  <c r="AD39" i="6" s="1" a="1"/>
  <c r="AD39" i="6" s="1"/>
  <c r="R47" i="6"/>
  <c r="AD47" i="6" s="1" a="1"/>
  <c r="AD47" i="6" s="1"/>
  <c r="R31" i="6"/>
  <c r="AD31" i="6" s="1" a="1"/>
  <c r="AD31" i="6" s="1"/>
  <c r="R44" i="6"/>
  <c r="AD44" i="6" s="1" a="1"/>
  <c r="AD44" i="6" s="1"/>
  <c r="R36" i="6"/>
  <c r="AD36" i="6" s="1" a="1"/>
  <c r="AD36" i="6" s="1"/>
  <c r="R28" i="6"/>
  <c r="AD28" i="6" s="1" a="1"/>
  <c r="AD28" i="6" s="1"/>
  <c r="R4" i="6"/>
  <c r="AD4" i="6" s="1" a="1"/>
  <c r="AD4" i="6" s="1"/>
  <c r="R27" i="6"/>
  <c r="AD27" i="6" s="1" a="1"/>
  <c r="AD27" i="6" s="1"/>
  <c r="AD3" i="6" a="1"/>
  <c r="AD3" i="6" s="1"/>
  <c r="R42" i="6"/>
  <c r="AD42" i="6" s="1" a="1"/>
  <c r="AD42" i="6" s="1"/>
  <c r="R34" i="6"/>
  <c r="AD34" i="6" s="1" a="1"/>
  <c r="AD34" i="6" s="1"/>
  <c r="R26" i="6"/>
  <c r="R17" i="6"/>
  <c r="AD17" i="6" s="1" a="1"/>
  <c r="AD17" i="6" s="1"/>
  <c r="R33" i="6"/>
  <c r="AD33" i="6" s="1" a="1"/>
  <c r="AD33" i="6" s="1"/>
  <c r="R25" i="6"/>
  <c r="AD25" i="6" s="1" a="1"/>
  <c r="AD25" i="6" s="1"/>
  <c r="R9" i="6"/>
  <c r="AD9" i="6" s="1" a="1"/>
  <c r="AD9" i="6" s="1"/>
  <c r="N8" i="6"/>
  <c r="N44" i="6"/>
  <c r="N9" i="6"/>
  <c r="N6" i="6"/>
  <c r="N14" i="6"/>
  <c r="N22" i="6"/>
  <c r="N42" i="6"/>
  <c r="N17" i="6"/>
  <c r="N25" i="6"/>
  <c r="N37" i="6"/>
  <c r="N48" i="6"/>
  <c r="N7" i="6"/>
  <c r="N15" i="6"/>
  <c r="N38" i="6"/>
  <c r="N46" i="6"/>
  <c r="N5" i="6"/>
  <c r="N13" i="6"/>
  <c r="N21" i="6"/>
  <c r="N30" i="6"/>
  <c r="N45" i="6"/>
  <c r="N4" i="6"/>
  <c r="N12" i="6"/>
  <c r="N20" i="6"/>
  <c r="N29" i="6"/>
  <c r="N40" i="6"/>
  <c r="N36" i="6"/>
  <c r="N19" i="6"/>
  <c r="N28" i="6"/>
  <c r="N39" i="6"/>
  <c r="N47" i="6"/>
  <c r="N24" i="6"/>
  <c r="N11" i="6"/>
  <c r="N43" i="6"/>
  <c r="N35" i="6"/>
  <c r="N27" i="6"/>
  <c r="N34" i="6"/>
  <c r="N26" i="6"/>
  <c r="N18" i="6"/>
  <c r="N10" i="6"/>
  <c r="N41" i="6"/>
  <c r="N32" i="6"/>
  <c r="N33" i="6"/>
  <c r="N16" i="6"/>
  <c r="N31" i="6"/>
  <c r="N23" i="6"/>
  <c r="AL56" i="6"/>
  <c r="AN19" i="6"/>
  <c r="AN24" i="6"/>
  <c r="AN44" i="6"/>
  <c r="AN17" i="6"/>
  <c r="AN8" i="6"/>
  <c r="AN15" i="6"/>
  <c r="AN40" i="6"/>
  <c r="AN46" i="6"/>
  <c r="AN6" i="6"/>
  <c r="AN13" i="6"/>
  <c r="AN38" i="6"/>
  <c r="AN31" i="6"/>
  <c r="AN29" i="6"/>
  <c r="AN27" i="6"/>
  <c r="AN4" i="6"/>
  <c r="AN11" i="6"/>
  <c r="AN36" i="6"/>
  <c r="AN3" i="6"/>
  <c r="AN9" i="6"/>
  <c r="AN20" i="6"/>
  <c r="AN22" i="6"/>
  <c r="AN10" i="6"/>
  <c r="AN12" i="6"/>
  <c r="AN14" i="6"/>
  <c r="AN23" i="6"/>
  <c r="AN25" i="6"/>
  <c r="AN35" i="6"/>
  <c r="AN37" i="6"/>
  <c r="AN39" i="6"/>
  <c r="AN41" i="6"/>
  <c r="AN45" i="6"/>
  <c r="AN21" i="6"/>
  <c r="AN43" i="6"/>
  <c r="AN5" i="6"/>
  <c r="AN16" i="6"/>
  <c r="AN33" i="6"/>
  <c r="Q53" i="6"/>
  <c r="AN7" i="6"/>
  <c r="AN18" i="6"/>
  <c r="AN28" i="6"/>
  <c r="AN30" i="6"/>
  <c r="AN32" i="6"/>
  <c r="AN34" i="6"/>
  <c r="Q52" i="6"/>
  <c r="Q51" i="6"/>
  <c r="Q54" i="6"/>
  <c r="AN47" i="6"/>
  <c r="AN48" i="6"/>
  <c r="M13" i="2" a="1"/>
  <c r="M13" i="2" s="1"/>
  <c r="M21" i="2" a="1"/>
  <c r="M21" i="2" s="1"/>
  <c r="M44" i="2" a="1"/>
  <c r="M44" i="2" s="1"/>
  <c r="M45" i="2" a="1"/>
  <c r="M45" i="2" s="1"/>
  <c r="M38" i="2" a="1"/>
  <c r="M38" i="2" s="1"/>
  <c r="M12" i="2" a="1"/>
  <c r="M12" i="2" s="1"/>
  <c r="M17" i="2" a="1"/>
  <c r="M17" i="2" s="1"/>
  <c r="M36" i="2" a="1"/>
  <c r="M36" i="2" s="1"/>
  <c r="M46" i="2" a="1"/>
  <c r="M46" i="2" s="1"/>
  <c r="M20" i="2" a="1"/>
  <c r="M20" i="2" s="1"/>
  <c r="M37" i="2" a="1"/>
  <c r="M37" i="2" s="1"/>
  <c r="M40" i="2" a="1"/>
  <c r="M40" i="2" s="1"/>
  <c r="M47" i="2" a="1"/>
  <c r="M47" i="2" s="1"/>
  <c r="M48" i="2" a="1"/>
  <c r="M48" i="2" s="1"/>
  <c r="M7" i="2" a="1"/>
  <c r="M7" i="2" s="1"/>
  <c r="M15" i="2" a="1"/>
  <c r="M15" i="2" s="1"/>
  <c r="M23" i="2" a="1"/>
  <c r="M23" i="2" s="1"/>
  <c r="M32" i="2" a="1"/>
  <c r="M32" i="2" s="1"/>
  <c r="M41" i="2" a="1"/>
  <c r="M41" i="2" s="1"/>
  <c r="M16" i="2" a="1"/>
  <c r="M16" i="2" s="1"/>
  <c r="M33" i="2" a="1"/>
  <c r="M33" i="2" s="1"/>
  <c r="M42" i="2" a="1"/>
  <c r="M42" i="2" s="1"/>
  <c r="Y56" i="4"/>
  <c r="N54" i="3"/>
  <c r="N51" i="3"/>
  <c r="R21" i="3" s="1"/>
  <c r="U21" i="3" s="1"/>
  <c r="W21" i="3" s="1"/>
  <c r="AA21" i="3" s="1"/>
  <c r="N53" i="4"/>
  <c r="N54" i="4"/>
  <c r="N52" i="4"/>
  <c r="R34" i="4" s="1"/>
  <c r="U34" i="4" s="1"/>
  <c r="W34" i="4" s="1"/>
  <c r="N51" i="4"/>
  <c r="K54" i="2"/>
  <c r="K53" i="2"/>
  <c r="K52" i="2"/>
  <c r="K51" i="2"/>
  <c r="O52" i="1"/>
  <c r="O51" i="1"/>
  <c r="N52" i="1"/>
  <c r="N51" i="1"/>
  <c r="N53" i="1"/>
  <c r="N54" i="1"/>
  <c r="O54" i="1"/>
  <c r="O53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30" i="1"/>
  <c r="Z31" i="1"/>
  <c r="Z32" i="1"/>
  <c r="Z33" i="1"/>
  <c r="Z34" i="1"/>
  <c r="Z35" i="1"/>
  <c r="Z36" i="1"/>
  <c r="Z37" i="1"/>
  <c r="Z39" i="1"/>
  <c r="Z40" i="1"/>
  <c r="Z42" i="1"/>
  <c r="Z43" i="1"/>
  <c r="Z44" i="1"/>
  <c r="Z45" i="1"/>
  <c r="Z46" i="1"/>
  <c r="Z47" i="1"/>
  <c r="Z48" i="1"/>
  <c r="Z5" i="1"/>
  <c r="Z6" i="1"/>
  <c r="Z7" i="1"/>
  <c r="Z4" i="1"/>
  <c r="M6" i="2" a="1"/>
  <c r="M6" i="2" s="1"/>
  <c r="I2" i="5"/>
  <c r="I5" i="2"/>
  <c r="M3" i="5"/>
  <c r="M25" i="2" a="1"/>
  <c r="M25" i="2" s="1"/>
  <c r="P9" i="4"/>
  <c r="P8" i="4"/>
  <c r="M4" i="5"/>
  <c r="M2" i="5" a="1"/>
  <c r="M2" i="5" s="1"/>
  <c r="P21" i="3"/>
  <c r="P42" i="3"/>
  <c r="P7" i="4"/>
  <c r="Z46" i="3"/>
  <c r="P6" i="3"/>
  <c r="P18" i="4"/>
  <c r="P6" i="4"/>
  <c r="P5" i="4"/>
  <c r="P10" i="4"/>
  <c r="P11" i="4"/>
  <c r="P12" i="4"/>
  <c r="P13" i="4"/>
  <c r="P14" i="4"/>
  <c r="P15" i="4"/>
  <c r="P16" i="4"/>
  <c r="P17" i="4"/>
  <c r="P19" i="4"/>
  <c r="P20" i="4"/>
  <c r="P21" i="4"/>
  <c r="P22" i="4"/>
  <c r="P23" i="4"/>
  <c r="P24" i="4"/>
  <c r="P25" i="4"/>
  <c r="P27" i="4"/>
  <c r="R28" i="4"/>
  <c r="U28" i="4" s="1"/>
  <c r="W28" i="4" s="1"/>
  <c r="P28" i="4"/>
  <c r="P29" i="4"/>
  <c r="P30" i="4"/>
  <c r="P31" i="4"/>
  <c r="P32" i="4"/>
  <c r="P33" i="4"/>
  <c r="P34" i="4"/>
  <c r="P35" i="4"/>
  <c r="P36" i="4"/>
  <c r="P37" i="4"/>
  <c r="P4" i="4"/>
  <c r="P38" i="4"/>
  <c r="P39" i="4"/>
  <c r="P40" i="4"/>
  <c r="R41" i="4"/>
  <c r="U41" i="4" s="1"/>
  <c r="W41" i="4" s="1"/>
  <c r="P41" i="4"/>
  <c r="P42" i="4"/>
  <c r="P43" i="4"/>
  <c r="R44" i="4"/>
  <c r="U44" i="4" s="1"/>
  <c r="W44" i="4" s="1"/>
  <c r="P44" i="4"/>
  <c r="P45" i="4"/>
  <c r="P46" i="4"/>
  <c r="P47" i="4"/>
  <c r="P48" i="4"/>
  <c r="M34" i="2" a="1"/>
  <c r="M34" i="2" s="1"/>
  <c r="M4" i="2" a="1"/>
  <c r="M4" i="2" s="1"/>
  <c r="P5" i="1"/>
  <c r="P48" i="1"/>
  <c r="P47" i="1"/>
  <c r="P4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Z30" i="3" l="1"/>
  <c r="Z37" i="3"/>
  <c r="Z21" i="3"/>
  <c r="Z14" i="3"/>
  <c r="R37" i="3"/>
  <c r="U37" i="3" s="1"/>
  <c r="W37" i="3" s="1"/>
  <c r="AA37" i="3" s="1"/>
  <c r="R39" i="3"/>
  <c r="R36" i="3"/>
  <c r="R23" i="3"/>
  <c r="U23" i="3" s="1"/>
  <c r="W23" i="3" s="1"/>
  <c r="AA23" i="3" s="1"/>
  <c r="R22" i="3"/>
  <c r="U22" i="3" s="1"/>
  <c r="W22" i="3" s="1"/>
  <c r="AA22" i="3" s="1"/>
  <c r="R35" i="3"/>
  <c r="U35" i="3" s="1"/>
  <c r="W35" i="3" s="1"/>
  <c r="AA35" i="3" s="1"/>
  <c r="R19" i="3"/>
  <c r="R34" i="3"/>
  <c r="U34" i="3" s="1"/>
  <c r="W34" i="3" s="1"/>
  <c r="AA34" i="3" s="1"/>
  <c r="R18" i="3"/>
  <c r="R6" i="3"/>
  <c r="R33" i="3"/>
  <c r="U33" i="3" s="1"/>
  <c r="W33" i="3" s="1"/>
  <c r="AA33" i="3" s="1"/>
  <c r="R17" i="3"/>
  <c r="U17" i="3" s="1"/>
  <c r="W17" i="3" s="1"/>
  <c r="AA17" i="3" s="1"/>
  <c r="R20" i="3"/>
  <c r="R16" i="3"/>
  <c r="R48" i="3"/>
  <c r="U48" i="3" s="1"/>
  <c r="W48" i="3" s="1"/>
  <c r="AA48" i="3" s="1"/>
  <c r="R15" i="3"/>
  <c r="R32" i="3"/>
  <c r="U32" i="3" s="1"/>
  <c r="W32" i="3" s="1"/>
  <c r="AA32" i="3" s="1"/>
  <c r="R47" i="3"/>
  <c r="R31" i="3"/>
  <c r="U31" i="3" s="1"/>
  <c r="W31" i="3" s="1"/>
  <c r="AA31" i="3" s="1"/>
  <c r="R46" i="3"/>
  <c r="R30" i="3"/>
  <c r="U30" i="3" s="1"/>
  <c r="W30" i="3" s="1"/>
  <c r="AA30" i="3" s="1"/>
  <c r="R14" i="3"/>
  <c r="R13" i="3"/>
  <c r="R44" i="3"/>
  <c r="R12" i="3"/>
  <c r="R45" i="3"/>
  <c r="U45" i="3" s="1"/>
  <c r="W45" i="3" s="1"/>
  <c r="AA45" i="3" s="1"/>
  <c r="R29" i="3"/>
  <c r="U29" i="3" s="1"/>
  <c r="W29" i="3" s="1"/>
  <c r="AA29" i="3" s="1"/>
  <c r="R28" i="3"/>
  <c r="U28" i="3" s="1"/>
  <c r="W28" i="3" s="1"/>
  <c r="AA28" i="3" s="1"/>
  <c r="R43" i="3"/>
  <c r="R27" i="3"/>
  <c r="U27" i="3" s="1"/>
  <c r="W27" i="3" s="1"/>
  <c r="AA27" i="3" s="1"/>
  <c r="R11" i="3"/>
  <c r="U11" i="3" s="1"/>
  <c r="W11" i="3" s="1"/>
  <c r="AA11" i="3" s="1"/>
  <c r="R42" i="3"/>
  <c r="U42" i="3" s="1"/>
  <c r="W42" i="3" s="1"/>
  <c r="R26" i="3"/>
  <c r="U26" i="3" s="1"/>
  <c r="W26" i="3" s="1"/>
  <c r="AA26" i="3" s="1"/>
  <c r="R10" i="3"/>
  <c r="R41" i="3"/>
  <c r="R25" i="3"/>
  <c r="U25" i="3" s="1"/>
  <c r="W25" i="3" s="1"/>
  <c r="AA25" i="3" s="1"/>
  <c r="R9" i="3"/>
  <c r="U9" i="3" s="1"/>
  <c r="W9" i="3" s="1"/>
  <c r="AA9" i="3" s="1"/>
  <c r="R40" i="3"/>
  <c r="U40" i="3" s="1"/>
  <c r="W40" i="3" s="1"/>
  <c r="AA40" i="3" s="1"/>
  <c r="R24" i="3"/>
  <c r="U24" i="3" s="1"/>
  <c r="W24" i="3" s="1"/>
  <c r="AA24" i="3" s="1"/>
  <c r="R8" i="3"/>
  <c r="R38" i="3"/>
  <c r="Z36" i="3"/>
  <c r="Z19" i="3"/>
  <c r="Z34" i="3"/>
  <c r="Z6" i="3"/>
  <c r="Z33" i="3"/>
  <c r="Z17" i="3"/>
  <c r="Z20" i="3"/>
  <c r="Z18" i="3"/>
  <c r="Z48" i="3"/>
  <c r="Z32" i="3"/>
  <c r="Z16" i="3"/>
  <c r="Z35" i="3"/>
  <c r="Z47" i="3"/>
  <c r="Z31" i="3"/>
  <c r="Z3" i="3"/>
  <c r="Z4" i="3"/>
  <c r="Z12" i="3"/>
  <c r="Z43" i="3"/>
  <c r="Z27" i="3"/>
  <c r="Z11" i="3"/>
  <c r="Z44" i="3"/>
  <c r="Z42" i="3"/>
  <c r="Z26" i="3"/>
  <c r="Z10" i="3"/>
  <c r="Z41" i="3"/>
  <c r="Z25" i="3"/>
  <c r="Z9" i="3"/>
  <c r="R7" i="3"/>
  <c r="U7" i="3" s="1"/>
  <c r="W7" i="3" s="1"/>
  <c r="AA7" i="3" s="1"/>
  <c r="R3" i="3"/>
  <c r="U3" i="3" s="1"/>
  <c r="W3" i="3" s="1"/>
  <c r="AA3" i="3" s="1"/>
  <c r="R4" i="3"/>
  <c r="U4" i="3" s="1"/>
  <c r="W4" i="3" s="1"/>
  <c r="AA4" i="3" s="1"/>
  <c r="Z45" i="3"/>
  <c r="Z13" i="3"/>
  <c r="Z40" i="3"/>
  <c r="Z24" i="3"/>
  <c r="Z8" i="3"/>
  <c r="Z23" i="3"/>
  <c r="Z7" i="3"/>
  <c r="Z29" i="3"/>
  <c r="Z28" i="3"/>
  <c r="Z39" i="3"/>
  <c r="Z38" i="3"/>
  <c r="Z22" i="3"/>
  <c r="R47" i="4"/>
  <c r="U47" i="4" s="1"/>
  <c r="W47" i="4" s="1"/>
  <c r="AA47" i="4" s="1"/>
  <c r="R39" i="4"/>
  <c r="U39" i="4" s="1"/>
  <c r="W39" i="4" s="1"/>
  <c r="AA39" i="4" s="1"/>
  <c r="R31" i="4"/>
  <c r="U31" i="4" s="1"/>
  <c r="W31" i="4" s="1"/>
  <c r="AA31" i="4" s="1"/>
  <c r="R40" i="4"/>
  <c r="U40" i="4" s="1"/>
  <c r="W40" i="4" s="1"/>
  <c r="AA40" i="4" s="1"/>
  <c r="R33" i="4"/>
  <c r="U33" i="4" s="1"/>
  <c r="W33" i="4" s="1"/>
  <c r="R48" i="4"/>
  <c r="U48" i="4" s="1"/>
  <c r="W48" i="4" s="1"/>
  <c r="AA48" i="4" s="1"/>
  <c r="R46" i="4"/>
  <c r="U46" i="4" s="1"/>
  <c r="W46" i="4" s="1"/>
  <c r="AA46" i="4" s="1"/>
  <c r="R38" i="4"/>
  <c r="U38" i="4" s="1"/>
  <c r="W38" i="4" s="1"/>
  <c r="R30" i="4"/>
  <c r="U30" i="4" s="1"/>
  <c r="W30" i="4" s="1"/>
  <c r="AA30" i="4" s="1"/>
  <c r="R45" i="4"/>
  <c r="U45" i="4" s="1"/>
  <c r="W45" i="4" s="1"/>
  <c r="R29" i="4"/>
  <c r="U29" i="4" s="1"/>
  <c r="W29" i="4" s="1"/>
  <c r="AA29" i="4" s="1"/>
  <c r="AA45" i="4"/>
  <c r="R37" i="4"/>
  <c r="U37" i="4" s="1"/>
  <c r="W37" i="4" s="1"/>
  <c r="AA37" i="4" s="1"/>
  <c r="AA28" i="4"/>
  <c r="R32" i="4"/>
  <c r="U32" i="4" s="1"/>
  <c r="W32" i="4" s="1"/>
  <c r="AA32" i="4" s="1"/>
  <c r="R36" i="4"/>
  <c r="U36" i="4" s="1"/>
  <c r="W36" i="4" s="1"/>
  <c r="AA36" i="4"/>
  <c r="R43" i="4"/>
  <c r="U43" i="4" s="1"/>
  <c r="W43" i="4" s="1"/>
  <c r="R27" i="4"/>
  <c r="U27" i="4" s="1"/>
  <c r="W27" i="4" s="1"/>
  <c r="AA27" i="4" s="1"/>
  <c r="AA34" i="4"/>
  <c r="R35" i="4"/>
  <c r="U35" i="4" s="1"/>
  <c r="W35" i="4" s="1"/>
  <c r="AA35" i="4" s="1"/>
  <c r="R15" i="4"/>
  <c r="R42" i="4"/>
  <c r="U42" i="4" s="1"/>
  <c r="W42" i="4" s="1"/>
  <c r="AA42" i="4" s="1"/>
  <c r="AA41" i="4"/>
  <c r="AA33" i="4"/>
  <c r="AA38" i="4"/>
  <c r="AA44" i="4"/>
  <c r="AA43" i="4"/>
  <c r="AB11" i="6"/>
  <c r="W53" i="6"/>
  <c r="W63" i="6"/>
  <c r="W62" i="6"/>
  <c r="W60" i="6"/>
  <c r="W58" i="6"/>
  <c r="W59" i="6"/>
  <c r="W54" i="6"/>
  <c r="W52" i="6"/>
  <c r="W51" i="6"/>
  <c r="AA42" i="3"/>
  <c r="R3" i="4"/>
  <c r="U3" i="4" s="1"/>
  <c r="W3" i="4" s="1"/>
  <c r="R4" i="4"/>
  <c r="U4" i="4" s="1"/>
  <c r="W4" i="4" s="1"/>
  <c r="AA4" i="4" s="1"/>
  <c r="R3" i="1"/>
  <c r="U3" i="1" s="1"/>
  <c r="W3" i="1" s="1"/>
  <c r="X3" i="1" s="1"/>
  <c r="R4" i="1"/>
  <c r="U4" i="1" s="1"/>
  <c r="W4" i="1" s="1"/>
  <c r="O3" i="2"/>
  <c r="R3" i="2" s="1"/>
  <c r="T3" i="2" s="1"/>
  <c r="O5" i="2"/>
  <c r="O4" i="2"/>
  <c r="Y56" i="3"/>
  <c r="Z15" i="6"/>
  <c r="AB15" i="6"/>
  <c r="AB4" i="6"/>
  <c r="Z4" i="6"/>
  <c r="AB23" i="6"/>
  <c r="Z23" i="6"/>
  <c r="Z34" i="6"/>
  <c r="AB34" i="6"/>
  <c r="Z6" i="6"/>
  <c r="AB6" i="6"/>
  <c r="AB27" i="6"/>
  <c r="Z27" i="6"/>
  <c r="AB48" i="6"/>
  <c r="Z48" i="6"/>
  <c r="AB9" i="6"/>
  <c r="Z9" i="6"/>
  <c r="Z33" i="6"/>
  <c r="AB33" i="6"/>
  <c r="Z36" i="6"/>
  <c r="AB36" i="6"/>
  <c r="AB44" i="6"/>
  <c r="Z44" i="6"/>
  <c r="Z32" i="6"/>
  <c r="AB32" i="6"/>
  <c r="AB43" i="6"/>
  <c r="Z43" i="6"/>
  <c r="Z40" i="6"/>
  <c r="AB40" i="6"/>
  <c r="AB13" i="6"/>
  <c r="Z13" i="6"/>
  <c r="Z25" i="6"/>
  <c r="AB25" i="6"/>
  <c r="Z8" i="6"/>
  <c r="AB8" i="6"/>
  <c r="U39" i="6"/>
  <c r="Z39" i="6"/>
  <c r="AB39" i="6"/>
  <c r="Z14" i="6"/>
  <c r="AB14" i="6"/>
  <c r="Z31" i="6"/>
  <c r="AB31" i="6"/>
  <c r="AB45" i="6"/>
  <c r="Z45" i="6"/>
  <c r="U16" i="6"/>
  <c r="Z16" i="6"/>
  <c r="AB16" i="6"/>
  <c r="AB30" i="6"/>
  <c r="Z30" i="6"/>
  <c r="U35" i="6"/>
  <c r="AB35" i="6"/>
  <c r="Z35" i="6"/>
  <c r="AB37" i="6"/>
  <c r="Z37" i="6"/>
  <c r="Z29" i="6"/>
  <c r="AB29" i="6"/>
  <c r="Z17" i="6"/>
  <c r="AB17" i="6"/>
  <c r="AB10" i="6"/>
  <c r="Z10" i="6"/>
  <c r="AB24" i="6"/>
  <c r="Z24" i="6"/>
  <c r="AB20" i="6"/>
  <c r="Z20" i="6"/>
  <c r="AB46" i="6"/>
  <c r="Z46" i="6"/>
  <c r="U42" i="6"/>
  <c r="Z42" i="6"/>
  <c r="AB42" i="6"/>
  <c r="AB26" i="6"/>
  <c r="Z26" i="6"/>
  <c r="AB28" i="6"/>
  <c r="Z28" i="6"/>
  <c r="Z7" i="6"/>
  <c r="AB7" i="6"/>
  <c r="AB19" i="6"/>
  <c r="Z19" i="6"/>
  <c r="AB21" i="6"/>
  <c r="Z21" i="6"/>
  <c r="Z41" i="6"/>
  <c r="AB41" i="6"/>
  <c r="Z11" i="6"/>
  <c r="AB5" i="6"/>
  <c r="Z5" i="6"/>
  <c r="Z18" i="6"/>
  <c r="AB18" i="6"/>
  <c r="Z47" i="6"/>
  <c r="AB47" i="6"/>
  <c r="Z12" i="6"/>
  <c r="AB12" i="6"/>
  <c r="AB38" i="6"/>
  <c r="Z38" i="6"/>
  <c r="Z22" i="6"/>
  <c r="AB22" i="6"/>
  <c r="U14" i="6"/>
  <c r="U23" i="6"/>
  <c r="U38" i="6"/>
  <c r="U34" i="6"/>
  <c r="X4" i="6"/>
  <c r="U43" i="6"/>
  <c r="U10" i="6"/>
  <c r="U29" i="6"/>
  <c r="U5" i="6"/>
  <c r="X21" i="6"/>
  <c r="X8" i="6"/>
  <c r="X30" i="6"/>
  <c r="X39" i="6"/>
  <c r="X35" i="6"/>
  <c r="X36" i="6"/>
  <c r="X29" i="6"/>
  <c r="X32" i="6"/>
  <c r="X38" i="6"/>
  <c r="X16" i="6"/>
  <c r="X47" i="6"/>
  <c r="X43" i="6"/>
  <c r="X44" i="6"/>
  <c r="X37" i="6"/>
  <c r="X48" i="6"/>
  <c r="X46" i="6"/>
  <c r="X24" i="6"/>
  <c r="X45" i="6"/>
  <c r="X40" i="6"/>
  <c r="X7" i="6"/>
  <c r="X3" i="6"/>
  <c r="Y11" i="6" s="1"/>
  <c r="U4" i="6"/>
  <c r="X17" i="6"/>
  <c r="X33" i="6"/>
  <c r="X34" i="6"/>
  <c r="X25" i="6"/>
  <c r="X18" i="6"/>
  <c r="X9" i="6"/>
  <c r="X41" i="6"/>
  <c r="X10" i="6"/>
  <c r="X26" i="6"/>
  <c r="X42" i="6"/>
  <c r="U27" i="6"/>
  <c r="U45" i="6"/>
  <c r="X6" i="6"/>
  <c r="X15" i="6"/>
  <c r="X11" i="6"/>
  <c r="X12" i="6"/>
  <c r="U19" i="6"/>
  <c r="X14" i="6"/>
  <c r="X23" i="6"/>
  <c r="X19" i="6"/>
  <c r="X20" i="6"/>
  <c r="X5" i="6"/>
  <c r="U32" i="6"/>
  <c r="X13" i="6"/>
  <c r="X22" i="6"/>
  <c r="X31" i="6"/>
  <c r="X27" i="6"/>
  <c r="X28" i="6"/>
  <c r="U26" i="6"/>
  <c r="U46" i="6"/>
  <c r="U17" i="6"/>
  <c r="U30" i="6"/>
  <c r="U6" i="6"/>
  <c r="U21" i="6"/>
  <c r="U48" i="6"/>
  <c r="U44" i="6"/>
  <c r="U18" i="6"/>
  <c r="U33" i="6"/>
  <c r="U28" i="6"/>
  <c r="U24" i="6"/>
  <c r="U47" i="6"/>
  <c r="U12" i="6"/>
  <c r="U7" i="6"/>
  <c r="U20" i="6"/>
  <c r="U22" i="6"/>
  <c r="U37" i="6"/>
  <c r="U31" i="6"/>
  <c r="U15" i="6"/>
  <c r="U41" i="6"/>
  <c r="U11" i="6"/>
  <c r="U36" i="6"/>
  <c r="U9" i="6"/>
  <c r="U40" i="6"/>
  <c r="U13" i="6"/>
  <c r="U25" i="6"/>
  <c r="U8" i="6"/>
  <c r="AF3" i="6"/>
  <c r="AI3" i="6" s="1"/>
  <c r="AK3" i="6" s="1"/>
  <c r="AO3" i="6" s="1"/>
  <c r="H52" i="6"/>
  <c r="H51" i="6"/>
  <c r="AE4" i="6" s="1"/>
  <c r="AF43" i="6"/>
  <c r="AI43" i="6" s="1"/>
  <c r="AK43" i="6" s="1"/>
  <c r="AO43" i="6" s="1"/>
  <c r="AF34" i="6"/>
  <c r="AI34" i="6" s="1"/>
  <c r="AK34" i="6" s="1"/>
  <c r="AO34" i="6" s="1"/>
  <c r="AF25" i="6"/>
  <c r="AI25" i="6" s="1"/>
  <c r="AK25" i="6" s="1"/>
  <c r="AO25" i="6" s="1"/>
  <c r="AF22" i="6"/>
  <c r="AI22" i="6" s="1"/>
  <c r="AK22" i="6" s="1"/>
  <c r="AO22" i="6" s="1"/>
  <c r="AF14" i="6"/>
  <c r="AI14" i="6" s="1"/>
  <c r="AK14" i="6" s="1"/>
  <c r="AO14" i="6" s="1"/>
  <c r="AF8" i="6"/>
  <c r="AI8" i="6" s="1"/>
  <c r="AK8" i="6" s="1"/>
  <c r="AO8" i="6" s="1"/>
  <c r="AF4" i="6"/>
  <c r="AI4" i="6" s="1"/>
  <c r="AK4" i="6" s="1"/>
  <c r="AF44" i="6"/>
  <c r="AI44" i="6" s="1"/>
  <c r="AK44" i="6" s="1"/>
  <c r="AO44" i="6" s="1"/>
  <c r="AF30" i="6"/>
  <c r="AI30" i="6" s="1"/>
  <c r="AK30" i="6" s="1"/>
  <c r="AO30" i="6" s="1"/>
  <c r="AF46" i="6"/>
  <c r="AI46" i="6" s="1"/>
  <c r="AK46" i="6" s="1"/>
  <c r="AO46" i="6" s="1"/>
  <c r="AF37" i="6"/>
  <c r="AI37" i="6" s="1"/>
  <c r="AK37" i="6" s="1"/>
  <c r="AO37" i="6" s="1"/>
  <c r="AF32" i="6"/>
  <c r="AI32" i="6" s="1"/>
  <c r="AK32" i="6" s="1"/>
  <c r="AO32" i="6" s="1"/>
  <c r="AF29" i="6"/>
  <c r="AI29" i="6" s="1"/>
  <c r="AK29" i="6" s="1"/>
  <c r="AO29" i="6" s="1"/>
  <c r="AF17" i="6"/>
  <c r="AI17" i="6" s="1"/>
  <c r="AK17" i="6" s="1"/>
  <c r="AO17" i="6" s="1"/>
  <c r="AF27" i="6"/>
  <c r="AI27" i="6" s="1"/>
  <c r="AK27" i="6" s="1"/>
  <c r="AO27" i="6" s="1"/>
  <c r="AF15" i="6"/>
  <c r="AI15" i="6" s="1"/>
  <c r="AK15" i="6" s="1"/>
  <c r="AO15" i="6" s="1"/>
  <c r="AF41" i="6"/>
  <c r="AI41" i="6" s="1"/>
  <c r="AK41" i="6" s="1"/>
  <c r="AO41" i="6" s="1"/>
  <c r="AF20" i="6"/>
  <c r="AI20" i="6" s="1"/>
  <c r="AK20" i="6" s="1"/>
  <c r="AO20" i="6" s="1"/>
  <c r="AF12" i="6"/>
  <c r="AI12" i="6" s="1"/>
  <c r="AK12" i="6" s="1"/>
  <c r="AO12" i="6" s="1"/>
  <c r="AF9" i="6"/>
  <c r="AI9" i="6" s="1"/>
  <c r="AK9" i="6" s="1"/>
  <c r="AO9" i="6" s="1"/>
  <c r="AF5" i="6"/>
  <c r="AI5" i="6" s="1"/>
  <c r="AK5" i="6" s="1"/>
  <c r="AO5" i="6" s="1"/>
  <c r="AF38" i="6"/>
  <c r="AI38" i="6" s="1"/>
  <c r="AK38" i="6" s="1"/>
  <c r="AO38" i="6" s="1"/>
  <c r="AF23" i="6"/>
  <c r="AI23" i="6" s="1"/>
  <c r="AK23" i="6" s="1"/>
  <c r="AO23" i="6" s="1"/>
  <c r="AF48" i="6"/>
  <c r="AI48" i="6" s="1"/>
  <c r="AK48" i="6" s="1"/>
  <c r="AO48" i="6" s="1"/>
  <c r="AF40" i="6"/>
  <c r="AI40" i="6" s="1"/>
  <c r="AK40" i="6" s="1"/>
  <c r="AO40" i="6" s="1"/>
  <c r="AF19" i="6"/>
  <c r="AI19" i="6" s="1"/>
  <c r="AK19" i="6" s="1"/>
  <c r="AO19" i="6" s="1"/>
  <c r="AF11" i="6"/>
  <c r="AI11" i="6" s="1"/>
  <c r="AK11" i="6" s="1"/>
  <c r="AO11" i="6" s="1"/>
  <c r="AF35" i="6"/>
  <c r="AI35" i="6" s="1"/>
  <c r="AK35" i="6" s="1"/>
  <c r="AO35" i="6" s="1"/>
  <c r="AF42" i="6"/>
  <c r="AI42" i="6" s="1"/>
  <c r="AK42" i="6" s="1"/>
  <c r="AO42" i="6" s="1"/>
  <c r="AF28" i="6"/>
  <c r="AI28" i="6" s="1"/>
  <c r="AK28" i="6" s="1"/>
  <c r="AO28" i="6" s="1"/>
  <c r="AF13" i="6"/>
  <c r="AI13" i="6" s="1"/>
  <c r="AK13" i="6" s="1"/>
  <c r="AO13" i="6" s="1"/>
  <c r="AF21" i="6"/>
  <c r="AI21" i="6" s="1"/>
  <c r="AK21" i="6" s="1"/>
  <c r="AO21" i="6" s="1"/>
  <c r="AF36" i="6"/>
  <c r="AI36" i="6" s="1"/>
  <c r="AK36" i="6" s="1"/>
  <c r="AO36" i="6" s="1"/>
  <c r="AF31" i="6"/>
  <c r="AI31" i="6" s="1"/>
  <c r="AK31" i="6" s="1"/>
  <c r="AO31" i="6" s="1"/>
  <c r="AF16" i="6"/>
  <c r="AI16" i="6" s="1"/>
  <c r="AK16" i="6" s="1"/>
  <c r="AO16" i="6" s="1"/>
  <c r="AF45" i="6"/>
  <c r="AI45" i="6" s="1"/>
  <c r="AK45" i="6" s="1"/>
  <c r="AO45" i="6" s="1"/>
  <c r="AF39" i="6"/>
  <c r="AI39" i="6" s="1"/>
  <c r="AK39" i="6" s="1"/>
  <c r="AO39" i="6" s="1"/>
  <c r="AF7" i="6"/>
  <c r="AI7" i="6" s="1"/>
  <c r="AK7" i="6" s="1"/>
  <c r="AO7" i="6" s="1"/>
  <c r="AF6" i="6"/>
  <c r="AI6" i="6" s="1"/>
  <c r="AK6" i="6" s="1"/>
  <c r="AO6" i="6" s="1"/>
  <c r="AF33" i="6"/>
  <c r="AI33" i="6" s="1"/>
  <c r="AK33" i="6" s="1"/>
  <c r="AO33" i="6" s="1"/>
  <c r="AF18" i="6"/>
  <c r="AI18" i="6" s="1"/>
  <c r="AK18" i="6" s="1"/>
  <c r="AO18" i="6" s="1"/>
  <c r="AF47" i="6"/>
  <c r="AI47" i="6" s="1"/>
  <c r="AK47" i="6" s="1"/>
  <c r="AO47" i="6" s="1"/>
  <c r="AF24" i="6"/>
  <c r="AI24" i="6" s="1"/>
  <c r="AK24" i="6" s="1"/>
  <c r="AO24" i="6" s="1"/>
  <c r="AF10" i="6"/>
  <c r="AI10" i="6" s="1"/>
  <c r="AK10" i="6" s="1"/>
  <c r="AO10" i="6" s="1"/>
  <c r="H55" i="6"/>
  <c r="H53" i="6"/>
  <c r="H54" i="6"/>
  <c r="G51" i="1"/>
  <c r="Q3" i="1" s="1"/>
  <c r="G54" i="3"/>
  <c r="G53" i="3"/>
  <c r="G52" i="3"/>
  <c r="G51" i="3"/>
  <c r="G55" i="3"/>
  <c r="G54" i="4"/>
  <c r="G55" i="4"/>
  <c r="G51" i="4"/>
  <c r="G52" i="4"/>
  <c r="G53" i="4"/>
  <c r="Q3" i="4" s="1"/>
  <c r="M5" i="2" a="1"/>
  <c r="M5" i="2" s="1"/>
  <c r="G52" i="1"/>
  <c r="G53" i="1"/>
  <c r="G54" i="1"/>
  <c r="G55" i="1"/>
  <c r="O2" i="5"/>
  <c r="O4" i="5"/>
  <c r="O3" i="5"/>
  <c r="U39" i="3"/>
  <c r="W39" i="3" s="1"/>
  <c r="AA39" i="3" s="1"/>
  <c r="U38" i="3"/>
  <c r="W38" i="3" s="1"/>
  <c r="AA38" i="3" s="1"/>
  <c r="U6" i="3"/>
  <c r="W6" i="3" s="1"/>
  <c r="U20" i="3"/>
  <c r="W20" i="3" s="1"/>
  <c r="AA20" i="3" s="1"/>
  <c r="U19" i="3"/>
  <c r="W19" i="3" s="1"/>
  <c r="AA19" i="3" s="1"/>
  <c r="U18" i="3"/>
  <c r="W18" i="3" s="1"/>
  <c r="AA18" i="3" s="1"/>
  <c r="U16" i="3"/>
  <c r="W16" i="3" s="1"/>
  <c r="AA16" i="3" s="1"/>
  <c r="U15" i="3"/>
  <c r="W15" i="3" s="1"/>
  <c r="AA15" i="3" s="1"/>
  <c r="U14" i="3"/>
  <c r="W14" i="3" s="1"/>
  <c r="AA14" i="3" s="1"/>
  <c r="U13" i="3"/>
  <c r="W13" i="3" s="1"/>
  <c r="AA13" i="3" s="1"/>
  <c r="U12" i="3"/>
  <c r="W12" i="3" s="1"/>
  <c r="AA12" i="3" s="1"/>
  <c r="U10" i="3"/>
  <c r="W10" i="3" s="1"/>
  <c r="AA10" i="3" s="1"/>
  <c r="U8" i="3"/>
  <c r="W8" i="3" s="1"/>
  <c r="AA8" i="3" s="1"/>
  <c r="R5" i="4"/>
  <c r="U5" i="4" s="1"/>
  <c r="W5" i="4" s="1"/>
  <c r="AA5" i="4" s="1"/>
  <c r="R6" i="4"/>
  <c r="R7" i="4"/>
  <c r="U7" i="4" s="1"/>
  <c r="W7" i="4" s="1"/>
  <c r="AA7" i="4" s="1"/>
  <c r="R8" i="4"/>
  <c r="U8" i="4" s="1"/>
  <c r="W8" i="4" s="1"/>
  <c r="AA8" i="4" s="1"/>
  <c r="R9" i="4"/>
  <c r="U9" i="4" s="1"/>
  <c r="W9" i="4" s="1"/>
  <c r="AA9" i="4" s="1"/>
  <c r="R10" i="4"/>
  <c r="U10" i="4" s="1"/>
  <c r="W10" i="4" s="1"/>
  <c r="AA10" i="4" s="1"/>
  <c r="R11" i="4"/>
  <c r="U11" i="4" s="1"/>
  <c r="W11" i="4" s="1"/>
  <c r="AA11" i="4" s="1"/>
  <c r="R12" i="4"/>
  <c r="U12" i="4" s="1"/>
  <c r="W12" i="4" s="1"/>
  <c r="AA12" i="4" s="1"/>
  <c r="R13" i="4"/>
  <c r="U13" i="4" s="1"/>
  <c r="W13" i="4" s="1"/>
  <c r="AA13" i="4" s="1"/>
  <c r="R14" i="4"/>
  <c r="U14" i="4" s="1"/>
  <c r="W14" i="4" s="1"/>
  <c r="AA14" i="4" s="1"/>
  <c r="U15" i="4"/>
  <c r="W15" i="4" s="1"/>
  <c r="AA15" i="4" s="1"/>
  <c r="R16" i="4"/>
  <c r="U16" i="4" s="1"/>
  <c r="W16" i="4" s="1"/>
  <c r="AA16" i="4" s="1"/>
  <c r="R17" i="4"/>
  <c r="U17" i="4" s="1"/>
  <c r="W17" i="4" s="1"/>
  <c r="AA17" i="4" s="1"/>
  <c r="R18" i="4"/>
  <c r="U18" i="4" s="1"/>
  <c r="W18" i="4" s="1"/>
  <c r="AA18" i="4" s="1"/>
  <c r="R19" i="4"/>
  <c r="U19" i="4" s="1"/>
  <c r="W19" i="4" s="1"/>
  <c r="AA19" i="4" s="1"/>
  <c r="R20" i="4"/>
  <c r="U20" i="4" s="1"/>
  <c r="W20" i="4" s="1"/>
  <c r="AA20" i="4" s="1"/>
  <c r="R21" i="4"/>
  <c r="U21" i="4" s="1"/>
  <c r="W21" i="4" s="1"/>
  <c r="AA21" i="4" s="1"/>
  <c r="R22" i="4"/>
  <c r="U22" i="4" s="1"/>
  <c r="W22" i="4" s="1"/>
  <c r="AA22" i="4" s="1"/>
  <c r="R23" i="4"/>
  <c r="U23" i="4" s="1"/>
  <c r="W23" i="4" s="1"/>
  <c r="AA23" i="4" s="1"/>
  <c r="R24" i="4"/>
  <c r="U24" i="4" s="1"/>
  <c r="W24" i="4" s="1"/>
  <c r="AA24" i="4" s="1"/>
  <c r="R25" i="4"/>
  <c r="U25" i="4" s="1"/>
  <c r="W25" i="4" s="1"/>
  <c r="AA25" i="4" s="1"/>
  <c r="R5" i="2"/>
  <c r="O6" i="2"/>
  <c r="R6" i="2" s="1"/>
  <c r="T6" i="2" s="1"/>
  <c r="O7" i="2"/>
  <c r="R7" i="2" s="1"/>
  <c r="T7" i="2" s="1"/>
  <c r="O8" i="2"/>
  <c r="R8" i="2" s="1"/>
  <c r="T8" i="2" s="1"/>
  <c r="O9" i="2"/>
  <c r="R9" i="2" s="1"/>
  <c r="T9" i="2" s="1"/>
  <c r="O10" i="2"/>
  <c r="R10" i="2" s="1"/>
  <c r="T10" i="2" s="1"/>
  <c r="O11" i="2"/>
  <c r="R11" i="2" s="1"/>
  <c r="T11" i="2" s="1"/>
  <c r="O12" i="2"/>
  <c r="R12" i="2" s="1"/>
  <c r="T12" i="2" s="1"/>
  <c r="O13" i="2"/>
  <c r="R13" i="2" s="1"/>
  <c r="T13" i="2" s="1"/>
  <c r="O14" i="2"/>
  <c r="R14" i="2" s="1"/>
  <c r="T14" i="2" s="1"/>
  <c r="O15" i="2"/>
  <c r="R15" i="2" s="1"/>
  <c r="T15" i="2" s="1"/>
  <c r="O16" i="2"/>
  <c r="R16" i="2" s="1"/>
  <c r="T16" i="2" s="1"/>
  <c r="O17" i="2"/>
  <c r="R17" i="2" s="1"/>
  <c r="T17" i="2" s="1"/>
  <c r="O18" i="2"/>
  <c r="R18" i="2" s="1"/>
  <c r="T18" i="2" s="1"/>
  <c r="O19" i="2"/>
  <c r="R19" i="2" s="1"/>
  <c r="T19" i="2" s="1"/>
  <c r="O20" i="2"/>
  <c r="R20" i="2" s="1"/>
  <c r="T20" i="2" s="1"/>
  <c r="O21" i="2"/>
  <c r="R21" i="2" s="1"/>
  <c r="T21" i="2" s="1"/>
  <c r="O22" i="2"/>
  <c r="R22" i="2" s="1"/>
  <c r="T22" i="2" s="1"/>
  <c r="O23" i="2"/>
  <c r="R23" i="2" s="1"/>
  <c r="T23" i="2" s="1"/>
  <c r="O24" i="2"/>
  <c r="R24" i="2" s="1"/>
  <c r="T24" i="2" s="1"/>
  <c r="O25" i="2"/>
  <c r="R25" i="2" s="1"/>
  <c r="T25" i="2" s="1"/>
  <c r="O27" i="2"/>
  <c r="R27" i="2" s="1"/>
  <c r="T27" i="2" s="1"/>
  <c r="O28" i="2"/>
  <c r="R28" i="2" s="1"/>
  <c r="T28" i="2" s="1"/>
  <c r="O29" i="2"/>
  <c r="R29" i="2" s="1"/>
  <c r="T29" i="2" s="1"/>
  <c r="O30" i="2"/>
  <c r="R30" i="2" s="1"/>
  <c r="T30" i="2" s="1"/>
  <c r="O31" i="2"/>
  <c r="R31" i="2" s="1"/>
  <c r="T31" i="2" s="1"/>
  <c r="O32" i="2"/>
  <c r="R32" i="2" s="1"/>
  <c r="T32" i="2" s="1"/>
  <c r="O33" i="2"/>
  <c r="R33" i="2" s="1"/>
  <c r="T33" i="2" s="1"/>
  <c r="O34" i="2"/>
  <c r="R34" i="2" s="1"/>
  <c r="T34" i="2" s="1"/>
  <c r="O35" i="2"/>
  <c r="R35" i="2" s="1"/>
  <c r="T35" i="2" s="1"/>
  <c r="O36" i="2"/>
  <c r="R36" i="2" s="1"/>
  <c r="T36" i="2" s="1"/>
  <c r="O37" i="2"/>
  <c r="R37" i="2" s="1"/>
  <c r="T37" i="2" s="1"/>
  <c r="O38" i="2"/>
  <c r="R38" i="2" s="1"/>
  <c r="T38" i="2" s="1"/>
  <c r="O39" i="2"/>
  <c r="R39" i="2" s="1"/>
  <c r="T39" i="2" s="1"/>
  <c r="O40" i="2"/>
  <c r="R40" i="2" s="1"/>
  <c r="T40" i="2" s="1"/>
  <c r="O41" i="2"/>
  <c r="R41" i="2" s="1"/>
  <c r="T41" i="2" s="1"/>
  <c r="R4" i="2"/>
  <c r="T4" i="2" s="1"/>
  <c r="O42" i="2"/>
  <c r="R42" i="2" s="1"/>
  <c r="T42" i="2" s="1"/>
  <c r="O43" i="2"/>
  <c r="R43" i="2" s="1"/>
  <c r="T43" i="2" s="1"/>
  <c r="O44" i="2"/>
  <c r="R44" i="2" s="1"/>
  <c r="T44" i="2" s="1"/>
  <c r="O45" i="2"/>
  <c r="R45" i="2" s="1"/>
  <c r="T45" i="2" s="1"/>
  <c r="O46" i="2"/>
  <c r="R46" i="2" s="1"/>
  <c r="T46" i="2" s="1"/>
  <c r="O47" i="2"/>
  <c r="R47" i="2" s="1"/>
  <c r="T47" i="2" s="1"/>
  <c r="O48" i="2"/>
  <c r="R48" i="2" s="1"/>
  <c r="T48" i="2" s="1"/>
  <c r="R48" i="1"/>
  <c r="U48" i="1" s="1"/>
  <c r="W48" i="1" s="1"/>
  <c r="R47" i="1"/>
  <c r="U47" i="1" s="1"/>
  <c r="W47" i="1" s="1"/>
  <c r="AA47" i="1" s="1"/>
  <c r="R46" i="1"/>
  <c r="U46" i="1" s="1"/>
  <c r="W46" i="1" s="1"/>
  <c r="R45" i="1"/>
  <c r="U45" i="1" s="1"/>
  <c r="W45" i="1" s="1"/>
  <c r="R44" i="1"/>
  <c r="U44" i="1" s="1"/>
  <c r="W44" i="1" s="1"/>
  <c r="AA44" i="1" s="1"/>
  <c r="R43" i="1"/>
  <c r="U43" i="1" s="1"/>
  <c r="W43" i="1" s="1"/>
  <c r="AA43" i="1" s="1"/>
  <c r="R42" i="1"/>
  <c r="U42" i="1" s="1"/>
  <c r="W42" i="1" s="1"/>
  <c r="AA42" i="1" s="1"/>
  <c r="R41" i="1"/>
  <c r="U41" i="1" s="1"/>
  <c r="W41" i="1" s="1"/>
  <c r="R40" i="1"/>
  <c r="U40" i="1" s="1"/>
  <c r="W40" i="1" s="1"/>
  <c r="AA40" i="1" s="1"/>
  <c r="R39" i="1"/>
  <c r="U39" i="1" s="1"/>
  <c r="W39" i="1" s="1"/>
  <c r="AA39" i="1" s="1"/>
  <c r="R38" i="1"/>
  <c r="U38" i="1" s="1"/>
  <c r="W38" i="1" s="1"/>
  <c r="R37" i="1"/>
  <c r="U37" i="1" s="1"/>
  <c r="W37" i="1" s="1"/>
  <c r="AA37" i="1" s="1"/>
  <c r="R36" i="1"/>
  <c r="U36" i="1" s="1"/>
  <c r="W36" i="1" s="1"/>
  <c r="AA36" i="1" s="1"/>
  <c r="R35" i="1"/>
  <c r="U35" i="1" s="1"/>
  <c r="W35" i="1" s="1"/>
  <c r="AA35" i="1" s="1"/>
  <c r="R34" i="1"/>
  <c r="U34" i="1" s="1"/>
  <c r="W34" i="1" s="1"/>
  <c r="AA34" i="1" s="1"/>
  <c r="R33" i="1"/>
  <c r="U33" i="1" s="1"/>
  <c r="W33" i="1" s="1"/>
  <c r="AA33" i="1" s="1"/>
  <c r="R32" i="1"/>
  <c r="U32" i="1" s="1"/>
  <c r="W32" i="1" s="1"/>
  <c r="R31" i="1"/>
  <c r="U31" i="1" s="1"/>
  <c r="W31" i="1" s="1"/>
  <c r="AA31" i="1" s="1"/>
  <c r="R30" i="1"/>
  <c r="U30" i="1" s="1"/>
  <c r="W30" i="1" s="1"/>
  <c r="R29" i="1"/>
  <c r="U29" i="1" s="1"/>
  <c r="W29" i="1" s="1"/>
  <c r="R28" i="1"/>
  <c r="U28" i="1" s="1"/>
  <c r="W28" i="1" s="1"/>
  <c r="AA28" i="1" s="1"/>
  <c r="R27" i="1"/>
  <c r="U27" i="1" s="1"/>
  <c r="W27" i="1" s="1"/>
  <c r="AA27" i="1" s="1"/>
  <c r="R25" i="1"/>
  <c r="U25" i="1" s="1"/>
  <c r="W25" i="1" s="1"/>
  <c r="R24" i="1"/>
  <c r="U24" i="1" s="1"/>
  <c r="W24" i="1" s="1"/>
  <c r="AA24" i="1" s="1"/>
  <c r="R23" i="1"/>
  <c r="U23" i="1" s="1"/>
  <c r="W23" i="1" s="1"/>
  <c r="AA23" i="1" s="1"/>
  <c r="R22" i="1"/>
  <c r="U22" i="1" s="1"/>
  <c r="W22" i="1" s="1"/>
  <c r="AA22" i="1" s="1"/>
  <c r="R21" i="1"/>
  <c r="U21" i="1" s="1"/>
  <c r="W21" i="1" s="1"/>
  <c r="AA21" i="1" s="1"/>
  <c r="R20" i="1"/>
  <c r="U20" i="1" s="1"/>
  <c r="W20" i="1" s="1"/>
  <c r="AA20" i="1" s="1"/>
  <c r="R19" i="1"/>
  <c r="U19" i="1" s="1"/>
  <c r="W19" i="1" s="1"/>
  <c r="R18" i="1"/>
  <c r="U18" i="1" s="1"/>
  <c r="W18" i="1" s="1"/>
  <c r="R17" i="1"/>
  <c r="U17" i="1" s="1"/>
  <c r="W17" i="1" s="1"/>
  <c r="AA17" i="1" s="1"/>
  <c r="R16" i="1"/>
  <c r="U16" i="1" s="1"/>
  <c r="W16" i="1" s="1"/>
  <c r="AA16" i="1" s="1"/>
  <c r="R15" i="1"/>
  <c r="U15" i="1" s="1"/>
  <c r="W15" i="1" s="1"/>
  <c r="R14" i="1"/>
  <c r="U14" i="1" s="1"/>
  <c r="W14" i="1" s="1"/>
  <c r="AA14" i="1" s="1"/>
  <c r="R13" i="1"/>
  <c r="U13" i="1" s="1"/>
  <c r="W13" i="1" s="1"/>
  <c r="AA13" i="1" s="1"/>
  <c r="R12" i="1"/>
  <c r="U12" i="1" s="1"/>
  <c r="W12" i="1" s="1"/>
  <c r="R11" i="1"/>
  <c r="U11" i="1" s="1"/>
  <c r="W11" i="1" s="1"/>
  <c r="AA11" i="1" s="1"/>
  <c r="R10" i="1"/>
  <c r="U10" i="1" s="1"/>
  <c r="W10" i="1" s="1"/>
  <c r="AA10" i="1" s="1"/>
  <c r="R9" i="1"/>
  <c r="U9" i="1" s="1"/>
  <c r="W9" i="1" s="1"/>
  <c r="R8" i="1"/>
  <c r="U8" i="1" s="1"/>
  <c r="W8" i="1" s="1"/>
  <c r="AA8" i="1" s="1"/>
  <c r="R7" i="1"/>
  <c r="U7" i="1" s="1"/>
  <c r="W7" i="1" s="1"/>
  <c r="R6" i="1"/>
  <c r="U6" i="1" s="1"/>
  <c r="W6" i="1" s="1"/>
  <c r="AA6" i="1" s="1"/>
  <c r="R5" i="1"/>
  <c r="Q8" i="3" l="1"/>
  <c r="Q59" i="3" s="1"/>
  <c r="S59" i="3" s="1"/>
  <c r="Q4" i="3"/>
  <c r="Q3" i="3"/>
  <c r="W51" i="3"/>
  <c r="G56" i="1"/>
  <c r="AB52" i="6"/>
  <c r="AB51" i="6"/>
  <c r="AB53" i="6"/>
  <c r="AB59" i="6"/>
  <c r="AB54" i="6"/>
  <c r="AB58" i="6"/>
  <c r="AB60" i="6"/>
  <c r="AB62" i="6"/>
  <c r="AB63" i="6"/>
  <c r="AC4" i="6" s="1"/>
  <c r="Z59" i="6"/>
  <c r="Z51" i="6"/>
  <c r="Z62" i="6"/>
  <c r="Z63" i="6"/>
  <c r="Z58" i="6"/>
  <c r="Z54" i="6"/>
  <c r="Z53" i="6"/>
  <c r="Z52" i="6"/>
  <c r="Z60" i="6"/>
  <c r="X51" i="6"/>
  <c r="X52" i="6"/>
  <c r="X63" i="6"/>
  <c r="X62" i="6"/>
  <c r="X58" i="6"/>
  <c r="X59" i="6"/>
  <c r="X60" i="6"/>
  <c r="X53" i="6"/>
  <c r="X54" i="6"/>
  <c r="AA3" i="4"/>
  <c r="AA3" i="1"/>
  <c r="X4" i="2"/>
  <c r="X3" i="2"/>
  <c r="Q36" i="3"/>
  <c r="Q79" i="3" s="1"/>
  <c r="S79" i="3" s="1"/>
  <c r="Q28" i="3"/>
  <c r="Q73" i="3" s="1"/>
  <c r="S73" i="3" s="1"/>
  <c r="Q20" i="3"/>
  <c r="Q66" i="3" s="1"/>
  <c r="S66" i="3" s="1"/>
  <c r="Q37" i="3"/>
  <c r="Q80" i="3" s="1"/>
  <c r="S80" i="3" s="1"/>
  <c r="Q46" i="3"/>
  <c r="Q35" i="3"/>
  <c r="Q78" i="3" s="1"/>
  <c r="S78" i="3" s="1"/>
  <c r="Q27" i="3"/>
  <c r="Q72" i="3" s="1"/>
  <c r="S72" i="3" s="1"/>
  <c r="Q11" i="3"/>
  <c r="Q45" i="3"/>
  <c r="Q85" i="3" s="1"/>
  <c r="S85" i="3" s="1"/>
  <c r="Q34" i="3"/>
  <c r="Q77" i="3" s="1"/>
  <c r="S77" i="3" s="1"/>
  <c r="Q26" i="3"/>
  <c r="Q18" i="3"/>
  <c r="Q10" i="3"/>
  <c r="Q6" i="3"/>
  <c r="Q57" i="3" s="1"/>
  <c r="S57" i="3" s="1"/>
  <c r="Q42" i="3"/>
  <c r="Q84" i="3" s="1"/>
  <c r="S84" i="3" s="1"/>
  <c r="Q31" i="3"/>
  <c r="Q75" i="3" s="1"/>
  <c r="S75" i="3" s="1"/>
  <c r="Q23" i="3"/>
  <c r="Q69" i="3" s="1"/>
  <c r="S69" i="3" s="1"/>
  <c r="Q15" i="3"/>
  <c r="Q62" i="3" s="1"/>
  <c r="S62" i="3" s="1"/>
  <c r="Q7" i="3"/>
  <c r="Q58" i="3" s="1"/>
  <c r="S58" i="3" s="1"/>
  <c r="Q48" i="3"/>
  <c r="Q86" i="3" s="1"/>
  <c r="S86" i="3" s="1"/>
  <c r="Q41" i="3"/>
  <c r="Q30" i="3"/>
  <c r="Q22" i="3"/>
  <c r="Q68" i="3" s="1"/>
  <c r="S68" i="3" s="1"/>
  <c r="Q14" i="3"/>
  <c r="Q61" i="3" s="1"/>
  <c r="S61" i="3" s="1"/>
  <c r="Q47" i="3"/>
  <c r="Q39" i="3"/>
  <c r="Q82" i="3" s="1"/>
  <c r="S82" i="3" s="1"/>
  <c r="Q29" i="3"/>
  <c r="Q74" i="3" s="1"/>
  <c r="S74" i="3" s="1"/>
  <c r="Q21" i="3"/>
  <c r="Q67" i="3" s="1"/>
  <c r="S67" i="3" s="1"/>
  <c r="Q13" i="3"/>
  <c r="Q60" i="3" s="1"/>
  <c r="S60" i="3" s="1"/>
  <c r="Q12" i="3"/>
  <c r="Q38" i="3"/>
  <c r="Q81" i="3" s="1"/>
  <c r="S81" i="3" s="1"/>
  <c r="Q44" i="3"/>
  <c r="Q33" i="3"/>
  <c r="Q76" i="3" s="1"/>
  <c r="S76" i="3" s="1"/>
  <c r="Q25" i="3"/>
  <c r="Q71" i="3" s="1"/>
  <c r="S71" i="3" s="1"/>
  <c r="Q17" i="3"/>
  <c r="Q64" i="3" s="1"/>
  <c r="S64" i="3" s="1"/>
  <c r="Q9" i="3"/>
  <c r="Q19" i="3"/>
  <c r="Q65" i="3" s="1"/>
  <c r="S65" i="3" s="1"/>
  <c r="Q40" i="3"/>
  <c r="Q83" i="3" s="1"/>
  <c r="S83" i="3" s="1"/>
  <c r="Q43" i="3"/>
  <c r="Q32" i="3"/>
  <c r="Q24" i="3"/>
  <c r="Q70" i="3" s="1"/>
  <c r="S70" i="3" s="1"/>
  <c r="Q16" i="3"/>
  <c r="Q63" i="3" s="1"/>
  <c r="S63" i="3" s="1"/>
  <c r="U60" i="6"/>
  <c r="U63" i="6"/>
  <c r="U51" i="6"/>
  <c r="U62" i="6"/>
  <c r="U59" i="6"/>
  <c r="U58" i="6"/>
  <c r="U52" i="6"/>
  <c r="Y5" i="6"/>
  <c r="Y6" i="6"/>
  <c r="Y7" i="6"/>
  <c r="Y3" i="6"/>
  <c r="Y8" i="6"/>
  <c r="Y14" i="6"/>
  <c r="Y38" i="6"/>
  <c r="Y32" i="6"/>
  <c r="Y44" i="6"/>
  <c r="Y21" i="6"/>
  <c r="Y23" i="6"/>
  <c r="Y48" i="6"/>
  <c r="Y43" i="6"/>
  <c r="Y33" i="6"/>
  <c r="Y29" i="6"/>
  <c r="Y15" i="6"/>
  <c r="Y24" i="6"/>
  <c r="Y35" i="6"/>
  <c r="Y27" i="6"/>
  <c r="Y13" i="6"/>
  <c r="Y30" i="6"/>
  <c r="Y22" i="6"/>
  <c r="Y42" i="6"/>
  <c r="Y41" i="6"/>
  <c r="Y37" i="6"/>
  <c r="Y36" i="6"/>
  <c r="Y4" i="6"/>
  <c r="Y19" i="6"/>
  <c r="Y9" i="6"/>
  <c r="Y31" i="6"/>
  <c r="Y26" i="6"/>
  <c r="Y25" i="6"/>
  <c r="Y28" i="6"/>
  <c r="Y34" i="6"/>
  <c r="Y39" i="6"/>
  <c r="Y18" i="6"/>
  <c r="Y17" i="6"/>
  <c r="Y40" i="6"/>
  <c r="Y20" i="6"/>
  <c r="Y45" i="6"/>
  <c r="Y47" i="6"/>
  <c r="Y10" i="6"/>
  <c r="Y16" i="6"/>
  <c r="Y46" i="6"/>
  <c r="Y12" i="6"/>
  <c r="U54" i="6"/>
  <c r="U53" i="6"/>
  <c r="AE28" i="6"/>
  <c r="AD82" i="6" s="1"/>
  <c r="AE46" i="6"/>
  <c r="AD100" i="6" s="1"/>
  <c r="AE9" i="6"/>
  <c r="AD63" i="6" s="1"/>
  <c r="AE5" i="6"/>
  <c r="AD59" i="6" s="1"/>
  <c r="AE25" i="6"/>
  <c r="AD79" i="6" s="1"/>
  <c r="AE31" i="6"/>
  <c r="AD85" i="6" s="1"/>
  <c r="AE20" i="6"/>
  <c r="AD74" i="6" s="1"/>
  <c r="AE12" i="6"/>
  <c r="AD66" i="6" s="1"/>
  <c r="AE38" i="6"/>
  <c r="AD92" i="6" s="1"/>
  <c r="AE21" i="6"/>
  <c r="AD75" i="6" s="1"/>
  <c r="AE43" i="6"/>
  <c r="AD97" i="6" s="1"/>
  <c r="AE6" i="6"/>
  <c r="AD60" i="6" s="1"/>
  <c r="AE48" i="6"/>
  <c r="AD102" i="6" s="1"/>
  <c r="AE3" i="6"/>
  <c r="AE23" i="6"/>
  <c r="AD77" i="6" s="1"/>
  <c r="AE36" i="6"/>
  <c r="AD90" i="6" s="1"/>
  <c r="AE41" i="6"/>
  <c r="AD95" i="6" s="1"/>
  <c r="AE15" i="6"/>
  <c r="AD69" i="6" s="1"/>
  <c r="AE45" i="6"/>
  <c r="AD99" i="6" s="1"/>
  <c r="AE47" i="6"/>
  <c r="AD101" i="6" s="1"/>
  <c r="AE44" i="6"/>
  <c r="AD98" i="6" s="1"/>
  <c r="AE42" i="6"/>
  <c r="AD96" i="6" s="1"/>
  <c r="AD58" i="6"/>
  <c r="O60" i="6" s="1" a="1"/>
  <c r="O60" i="6" s="1"/>
  <c r="AE27" i="6"/>
  <c r="AD81" i="6" s="1"/>
  <c r="AE30" i="6"/>
  <c r="AD84" i="6" s="1"/>
  <c r="AE37" i="6"/>
  <c r="AD91" i="6" s="1"/>
  <c r="AE34" i="6"/>
  <c r="AD88" i="6" s="1"/>
  <c r="AJ54" i="6"/>
  <c r="AJ53" i="6"/>
  <c r="AJ52" i="6"/>
  <c r="AJ51" i="6"/>
  <c r="AJ55" i="6"/>
  <c r="AO4" i="6"/>
  <c r="AE33" i="6"/>
  <c r="AD87" i="6" s="1"/>
  <c r="AE39" i="6"/>
  <c r="AD93" i="6" s="1"/>
  <c r="AE17" i="6"/>
  <c r="AD71" i="6" s="1"/>
  <c r="AE14" i="6"/>
  <c r="AD68" i="6" s="1"/>
  <c r="AE19" i="6"/>
  <c r="AD73" i="6" s="1"/>
  <c r="AE35" i="6"/>
  <c r="AD89" i="6" s="1"/>
  <c r="AE8" i="6"/>
  <c r="AD62" i="6" s="1"/>
  <c r="H56" i="6"/>
  <c r="AE10" i="6"/>
  <c r="AD64" i="6" s="1"/>
  <c r="AE13" i="6"/>
  <c r="AD67" i="6" s="1"/>
  <c r="AE7" i="6"/>
  <c r="AD61" i="6" s="1"/>
  <c r="AE29" i="6"/>
  <c r="AD83" i="6" s="1"/>
  <c r="AE22" i="6"/>
  <c r="AD76" i="6" s="1"/>
  <c r="AE40" i="6"/>
  <c r="AD94" i="6" s="1"/>
  <c r="AE18" i="6"/>
  <c r="AD72" i="6" s="1"/>
  <c r="AE11" i="6"/>
  <c r="AD65" i="6" s="1"/>
  <c r="AE24" i="6"/>
  <c r="AD78" i="6" s="1"/>
  <c r="AE16" i="6"/>
  <c r="AD70" i="6" s="1"/>
  <c r="AE32" i="6"/>
  <c r="AD86" i="6" s="1"/>
  <c r="AA6" i="3"/>
  <c r="W55" i="3"/>
  <c r="W54" i="3"/>
  <c r="W53" i="3"/>
  <c r="X6" i="3" s="1"/>
  <c r="W51" i="1"/>
  <c r="AA7" i="1"/>
  <c r="W52" i="3"/>
  <c r="D55" i="2"/>
  <c r="D54" i="2"/>
  <c r="D51" i="2"/>
  <c r="D53" i="2"/>
  <c r="N14" i="2" s="1"/>
  <c r="N68" i="2" s="1"/>
  <c r="D52" i="2"/>
  <c r="AA48" i="1"/>
  <c r="AA46" i="1"/>
  <c r="AA45" i="1"/>
  <c r="AA41" i="1"/>
  <c r="AA38" i="1"/>
  <c r="AA32" i="1"/>
  <c r="AA30" i="1"/>
  <c r="AA29" i="1"/>
  <c r="AA25" i="1"/>
  <c r="AA19" i="1"/>
  <c r="AA18" i="1"/>
  <c r="AA15" i="1"/>
  <c r="AA12" i="1"/>
  <c r="AA9" i="1"/>
  <c r="AA4" i="1"/>
  <c r="W55" i="1"/>
  <c r="W54" i="1"/>
  <c r="W53" i="1"/>
  <c r="W52" i="1"/>
  <c r="U6" i="4"/>
  <c r="R4" i="5"/>
  <c r="U5" i="1"/>
  <c r="R3" i="5"/>
  <c r="R2" i="5"/>
  <c r="G56" i="3"/>
  <c r="Q7" i="1"/>
  <c r="Q57" i="1" s="1"/>
  <c r="S57" i="1" s="1"/>
  <c r="N4" i="5"/>
  <c r="N43" i="2"/>
  <c r="N97" i="2" s="1"/>
  <c r="Q48" i="4"/>
  <c r="Q96" i="4" s="1"/>
  <c r="S96" i="4" s="1"/>
  <c r="Q47" i="4"/>
  <c r="Q95" i="4" s="1"/>
  <c r="S95" i="4" s="1"/>
  <c r="Q46" i="4"/>
  <c r="Q94" i="4" s="1"/>
  <c r="S94" i="4" s="1"/>
  <c r="Q45" i="4"/>
  <c r="Q93" i="4" s="1"/>
  <c r="S93" i="4" s="1"/>
  <c r="Q44" i="4"/>
  <c r="Q92" i="4" s="1"/>
  <c r="S92" i="4" s="1"/>
  <c r="Q43" i="4"/>
  <c r="Q42" i="4"/>
  <c r="Q91" i="4" s="1"/>
  <c r="S91" i="4" s="1"/>
  <c r="Q41" i="4"/>
  <c r="Q90" i="4" s="1"/>
  <c r="S90" i="4" s="1"/>
  <c r="Q40" i="4"/>
  <c r="Q89" i="4" s="1"/>
  <c r="S89" i="4" s="1"/>
  <c r="Q39" i="4"/>
  <c r="Q88" i="4" s="1"/>
  <c r="S88" i="4" s="1"/>
  <c r="Q38" i="4"/>
  <c r="Q87" i="4" s="1"/>
  <c r="S87" i="4" s="1"/>
  <c r="Q4" i="4"/>
  <c r="Q37" i="4"/>
  <c r="Q86" i="4" s="1"/>
  <c r="S86" i="4" s="1"/>
  <c r="Q36" i="4"/>
  <c r="Q85" i="4" s="1"/>
  <c r="S85" i="4" s="1"/>
  <c r="Q35" i="4"/>
  <c r="Q84" i="4" s="1"/>
  <c r="S84" i="4" s="1"/>
  <c r="Q34" i="4"/>
  <c r="Q83" i="4" s="1"/>
  <c r="S83" i="4" s="1"/>
  <c r="Q33" i="4"/>
  <c r="Q32" i="4"/>
  <c r="Q82" i="4" s="1"/>
  <c r="S82" i="4" s="1"/>
  <c r="Q31" i="4"/>
  <c r="Q81" i="4" s="1"/>
  <c r="S81" i="4" s="1"/>
  <c r="Q30" i="4"/>
  <c r="Q80" i="4" s="1"/>
  <c r="S80" i="4" s="1"/>
  <c r="Q29" i="4"/>
  <c r="Q79" i="4" s="1"/>
  <c r="S79" i="4" s="1"/>
  <c r="Q28" i="4"/>
  <c r="Q78" i="4" s="1"/>
  <c r="S78" i="4" s="1"/>
  <c r="Q27" i="4"/>
  <c r="Q77" i="4" s="1"/>
  <c r="S77" i="4" s="1"/>
  <c r="G56" i="4"/>
  <c r="X27" i="1"/>
  <c r="X28" i="1"/>
  <c r="X31" i="1"/>
  <c r="X33" i="1"/>
  <c r="X34" i="1"/>
  <c r="X35" i="1"/>
  <c r="X36" i="1"/>
  <c r="X37" i="1"/>
  <c r="X39" i="1"/>
  <c r="X40" i="1"/>
  <c r="X42" i="1"/>
  <c r="X43" i="1"/>
  <c r="X44" i="1"/>
  <c r="X47" i="1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N9" i="2"/>
  <c r="N63" i="2" s="1"/>
  <c r="N15" i="2"/>
  <c r="N69" i="2" s="1"/>
  <c r="N18" i="2"/>
  <c r="N72" i="2" s="1"/>
  <c r="N19" i="2"/>
  <c r="N73" i="2" s="1"/>
  <c r="N28" i="2"/>
  <c r="N82" i="2" s="1"/>
  <c r="N31" i="2"/>
  <c r="N85" i="2" s="1"/>
  <c r="N36" i="2"/>
  <c r="N90" i="2" s="1"/>
  <c r="N37" i="2"/>
  <c r="N91" i="2" s="1"/>
  <c r="D56" i="2"/>
  <c r="Q6" i="1"/>
  <c r="Q8" i="1"/>
  <c r="Q9" i="1"/>
  <c r="Q58" i="1" s="1"/>
  <c r="S58" i="1" s="1"/>
  <c r="Q10" i="1"/>
  <c r="Q11" i="1"/>
  <c r="Q12" i="1"/>
  <c r="Q59" i="1" s="1"/>
  <c r="S59" i="1" s="1"/>
  <c r="Q13" i="1"/>
  <c r="Q14" i="1"/>
  <c r="Q15" i="1"/>
  <c r="Q60" i="1" s="1"/>
  <c r="S60" i="1" s="1"/>
  <c r="Q16" i="1"/>
  <c r="Q17" i="1"/>
  <c r="Q18" i="1"/>
  <c r="Q61" i="1" s="1"/>
  <c r="S61" i="1" s="1"/>
  <c r="Q19" i="1"/>
  <c r="Q62" i="1" s="1"/>
  <c r="S62" i="1" s="1"/>
  <c r="Q20" i="1"/>
  <c r="Q21" i="1"/>
  <c r="Q22" i="1"/>
  <c r="Q23" i="1"/>
  <c r="Q24" i="1"/>
  <c r="Q25" i="1"/>
  <c r="Q63" i="1" s="1"/>
  <c r="S63" i="1" s="1"/>
  <c r="Q27" i="1"/>
  <c r="Q28" i="1"/>
  <c r="Q29" i="1"/>
  <c r="Q64" i="1" s="1"/>
  <c r="S64" i="1" s="1"/>
  <c r="Q30" i="1"/>
  <c r="Q65" i="1" s="1"/>
  <c r="S65" i="1" s="1"/>
  <c r="Q31" i="1"/>
  <c r="Q32" i="1"/>
  <c r="Q66" i="1" s="1"/>
  <c r="S66" i="1" s="1"/>
  <c r="Q33" i="1"/>
  <c r="Q34" i="1"/>
  <c r="Q35" i="1"/>
  <c r="Q36" i="1"/>
  <c r="Q37" i="1"/>
  <c r="Q38" i="1"/>
  <c r="Q67" i="1" s="1"/>
  <c r="S67" i="1" s="1"/>
  <c r="Q39" i="1"/>
  <c r="Q68" i="1" s="1"/>
  <c r="S68" i="1" s="1"/>
  <c r="Q40" i="1"/>
  <c r="Q41" i="1"/>
  <c r="Q69" i="1" s="1"/>
  <c r="S69" i="1" s="1"/>
  <c r="Q42" i="1"/>
  <c r="Q43" i="1"/>
  <c r="Q44" i="1"/>
  <c r="Q45" i="1"/>
  <c r="Q70" i="1" s="1"/>
  <c r="S70" i="1" s="1"/>
  <c r="Q46" i="1"/>
  <c r="Q71" i="1" s="1"/>
  <c r="S71" i="1" s="1"/>
  <c r="Q4" i="1"/>
  <c r="Q47" i="1"/>
  <c r="Q48" i="1"/>
  <c r="Q72" i="1" s="1"/>
  <c r="S72" i="1" s="1"/>
  <c r="Q5" i="1"/>
  <c r="AA51" i="1" l="1"/>
  <c r="AB14" i="1" s="1"/>
  <c r="AB16" i="1"/>
  <c r="AB43" i="1"/>
  <c r="AB44" i="1"/>
  <c r="AB20" i="1"/>
  <c r="AB21" i="1"/>
  <c r="AB46" i="1"/>
  <c r="AB22" i="1"/>
  <c r="AB47" i="1"/>
  <c r="AB24" i="1"/>
  <c r="AB23" i="1"/>
  <c r="AB27" i="1"/>
  <c r="AB31" i="1"/>
  <c r="AB8" i="1"/>
  <c r="AB33" i="1"/>
  <c r="AB9" i="1"/>
  <c r="AB34" i="1"/>
  <c r="AB35" i="1"/>
  <c r="AB28" i="1"/>
  <c r="AB10" i="1"/>
  <c r="AB37" i="1"/>
  <c r="AB11" i="1"/>
  <c r="AB36" i="1"/>
  <c r="AB13" i="1"/>
  <c r="AA52" i="1"/>
  <c r="AC17" i="6"/>
  <c r="AC29" i="6"/>
  <c r="AC35" i="6"/>
  <c r="AC45" i="6"/>
  <c r="AC25" i="6"/>
  <c r="AC40" i="6"/>
  <c r="AC9" i="6"/>
  <c r="AC22" i="6"/>
  <c r="AC38" i="6"/>
  <c r="AC12" i="6"/>
  <c r="AC47" i="6"/>
  <c r="AC18" i="6"/>
  <c r="AC5" i="6"/>
  <c r="AC11" i="6"/>
  <c r="AC41" i="6"/>
  <c r="AC21" i="6"/>
  <c r="AC19" i="6"/>
  <c r="AC7" i="6"/>
  <c r="AC28" i="6"/>
  <c r="AC26" i="6"/>
  <c r="AC42" i="6"/>
  <c r="AC46" i="6"/>
  <c r="AC20" i="6"/>
  <c r="AC24" i="6"/>
  <c r="AC10" i="6"/>
  <c r="AC37" i="6"/>
  <c r="AC30" i="6"/>
  <c r="AC16" i="6"/>
  <c r="AC31" i="6"/>
  <c r="AC14" i="6"/>
  <c r="AC39" i="6"/>
  <c r="AC8" i="6"/>
  <c r="AC13" i="6"/>
  <c r="AC43" i="6"/>
  <c r="AC32" i="6"/>
  <c r="AC44" i="6"/>
  <c r="AC36" i="6"/>
  <c r="AC33" i="6"/>
  <c r="AC48" i="6"/>
  <c r="AC27" i="6"/>
  <c r="AC6" i="6"/>
  <c r="AC66" i="6" s="1"/>
  <c r="AC34" i="6"/>
  <c r="AC23" i="6"/>
  <c r="AC15" i="6"/>
  <c r="V26" i="6"/>
  <c r="V31" i="6"/>
  <c r="V25" i="6"/>
  <c r="V13" i="6"/>
  <c r="V40" i="6"/>
  <c r="V9" i="6"/>
  <c r="V36" i="6"/>
  <c r="V11" i="6"/>
  <c r="V41" i="6"/>
  <c r="V39" i="6"/>
  <c r="V16" i="6"/>
  <c r="V35" i="6"/>
  <c r="V42" i="6"/>
  <c r="V14" i="6"/>
  <c r="V23" i="6"/>
  <c r="V38" i="6"/>
  <c r="V34" i="6"/>
  <c r="V43" i="6"/>
  <c r="V10" i="6"/>
  <c r="V29" i="6"/>
  <c r="V5" i="6"/>
  <c r="V4" i="6"/>
  <c r="V27" i="6"/>
  <c r="V45" i="6"/>
  <c r="V19" i="6"/>
  <c r="V32" i="6"/>
  <c r="V15" i="6"/>
  <c r="V46" i="6"/>
  <c r="V17" i="6"/>
  <c r="V30" i="6"/>
  <c r="V6" i="6"/>
  <c r="V21" i="6"/>
  <c r="V48" i="6"/>
  <c r="V44" i="6"/>
  <c r="V18" i="6"/>
  <c r="V33" i="6"/>
  <c r="V28" i="6"/>
  <c r="V24" i="6"/>
  <c r="V47" i="6"/>
  <c r="V12" i="6"/>
  <c r="V7" i="6"/>
  <c r="V20" i="6"/>
  <c r="V22" i="6"/>
  <c r="V37" i="6"/>
  <c r="V8" i="6"/>
  <c r="Y63" i="6"/>
  <c r="Y51" i="6"/>
  <c r="Y52" i="6"/>
  <c r="Y54" i="6"/>
  <c r="Y53" i="6"/>
  <c r="Y59" i="6"/>
  <c r="Y58" i="6"/>
  <c r="Y60" i="6"/>
  <c r="Y62" i="6"/>
  <c r="X3" i="3"/>
  <c r="X4" i="3"/>
  <c r="AB3" i="1"/>
  <c r="X4" i="1"/>
  <c r="N3" i="2"/>
  <c r="N4" i="2"/>
  <c r="Q56" i="4"/>
  <c r="S56" i="4" s="1"/>
  <c r="Q56" i="1"/>
  <c r="M57" i="1"/>
  <c r="N57" i="1"/>
  <c r="O57" i="1"/>
  <c r="N57" i="3"/>
  <c r="O57" i="3"/>
  <c r="M57" i="3"/>
  <c r="Q56" i="3"/>
  <c r="AL3" i="6"/>
  <c r="O59" i="6"/>
  <c r="O61" i="6" s="1" a="1"/>
  <c r="O61" i="6" s="1"/>
  <c r="Q59" i="6"/>
  <c r="Q61" i="6" s="1" a="1"/>
  <c r="Q61" i="6" s="1"/>
  <c r="S59" i="6"/>
  <c r="S61" i="6" s="1" a="1"/>
  <c r="S61" i="6" s="1"/>
  <c r="AJ56" i="6"/>
  <c r="AL47" i="6"/>
  <c r="AL33" i="6"/>
  <c r="AL18" i="6"/>
  <c r="AL10" i="6"/>
  <c r="AL6" i="6"/>
  <c r="AL42" i="6"/>
  <c r="AL39" i="6"/>
  <c r="AL24" i="6"/>
  <c r="AL21" i="6"/>
  <c r="AL13" i="6"/>
  <c r="AL11" i="6"/>
  <c r="AL45" i="6"/>
  <c r="AL36" i="6"/>
  <c r="AL31" i="6"/>
  <c r="AL28" i="6"/>
  <c r="AL16" i="6"/>
  <c r="AL7" i="6"/>
  <c r="AL40" i="6"/>
  <c r="AL19" i="6"/>
  <c r="AL44" i="6"/>
  <c r="AL38" i="6"/>
  <c r="AL35" i="6"/>
  <c r="AL30" i="6"/>
  <c r="AL27" i="6"/>
  <c r="AL23" i="6"/>
  <c r="AL15" i="6"/>
  <c r="AL48" i="6"/>
  <c r="AL43" i="6"/>
  <c r="AL4" i="6"/>
  <c r="AL8" i="6"/>
  <c r="AL32" i="6"/>
  <c r="AL17" i="6"/>
  <c r="AL37" i="6"/>
  <c r="AL25" i="6"/>
  <c r="AL46" i="6"/>
  <c r="AL9" i="6"/>
  <c r="AL41" i="6"/>
  <c r="AL29" i="6"/>
  <c r="AL14" i="6"/>
  <c r="AL5" i="6"/>
  <c r="AL34" i="6"/>
  <c r="AL20" i="6"/>
  <c r="AL22" i="6"/>
  <c r="AL12" i="6"/>
  <c r="AN54" i="6"/>
  <c r="AN53" i="6"/>
  <c r="AN52" i="6"/>
  <c r="AN51" i="6"/>
  <c r="AN55" i="6"/>
  <c r="N42" i="2"/>
  <c r="N96" i="2" s="1"/>
  <c r="N35" i="2"/>
  <c r="N89" i="2" s="1"/>
  <c r="N17" i="2"/>
  <c r="N71" i="2" s="1"/>
  <c r="N45" i="2"/>
  <c r="N99" i="2" s="1"/>
  <c r="N10" i="2"/>
  <c r="N64" i="2" s="1"/>
  <c r="N7" i="2"/>
  <c r="N61" i="2" s="1"/>
  <c r="N27" i="2"/>
  <c r="N81" i="2" s="1"/>
  <c r="N25" i="2"/>
  <c r="N79" i="2" s="1"/>
  <c r="N20" i="2"/>
  <c r="N74" i="2" s="1"/>
  <c r="N48" i="2"/>
  <c r="N102" i="2" s="1"/>
  <c r="N38" i="2"/>
  <c r="N92" i="2" s="1"/>
  <c r="N29" i="2"/>
  <c r="N83" i="2" s="1"/>
  <c r="N11" i="2"/>
  <c r="N65" i="2" s="1"/>
  <c r="N33" i="2"/>
  <c r="N87" i="2" s="1"/>
  <c r="N16" i="2"/>
  <c r="N70" i="2" s="1"/>
  <c r="N23" i="2"/>
  <c r="N77" i="2" s="1"/>
  <c r="N47" i="2"/>
  <c r="N101" i="2" s="1"/>
  <c r="N34" i="2"/>
  <c r="N88" i="2" s="1"/>
  <c r="N24" i="2"/>
  <c r="N78" i="2" s="1"/>
  <c r="N32" i="2"/>
  <c r="N86" i="2" s="1"/>
  <c r="N40" i="2"/>
  <c r="N94" i="2" s="1"/>
  <c r="N22" i="2"/>
  <c r="N76" i="2" s="1"/>
  <c r="N46" i="2"/>
  <c r="N100" i="2" s="1"/>
  <c r="N41" i="2"/>
  <c r="N95" i="2" s="1"/>
  <c r="N39" i="2"/>
  <c r="N93" i="2" s="1"/>
  <c r="N30" i="2"/>
  <c r="N84" i="2" s="1"/>
  <c r="N21" i="2"/>
  <c r="N75" i="2" s="1"/>
  <c r="N12" i="2"/>
  <c r="N66" i="2" s="1"/>
  <c r="N58" i="2"/>
  <c r="J60" i="2" s="1" a="1"/>
  <c r="J60" i="2" s="1"/>
  <c r="N44" i="2"/>
  <c r="N98" i="2" s="1"/>
  <c r="W56" i="3"/>
  <c r="AA55" i="3"/>
  <c r="AA54" i="3"/>
  <c r="AA53" i="3"/>
  <c r="AA52" i="3"/>
  <c r="AA51" i="3"/>
  <c r="AB4" i="1"/>
  <c r="N5" i="2"/>
  <c r="N13" i="2"/>
  <c r="N67" i="2" s="1"/>
  <c r="N6" i="2"/>
  <c r="N60" i="2" s="1"/>
  <c r="W56" i="1"/>
  <c r="N8" i="2"/>
  <c r="N62" i="2" s="1"/>
  <c r="X46" i="1"/>
  <c r="X48" i="1"/>
  <c r="X41" i="1"/>
  <c r="X45" i="1"/>
  <c r="X32" i="1"/>
  <c r="X38" i="1"/>
  <c r="X29" i="1"/>
  <c r="X30" i="1"/>
  <c r="X19" i="1"/>
  <c r="X25" i="1"/>
  <c r="X15" i="1"/>
  <c r="X18" i="1"/>
  <c r="X9" i="1"/>
  <c r="X12" i="1"/>
  <c r="X7" i="1"/>
  <c r="AA55" i="1"/>
  <c r="AA54" i="1"/>
  <c r="AA53" i="1"/>
  <c r="AB15" i="1" s="1"/>
  <c r="W6" i="4"/>
  <c r="T4" i="5"/>
  <c r="U4" i="5" s="1"/>
  <c r="W5" i="1"/>
  <c r="T3" i="5"/>
  <c r="T5" i="2"/>
  <c r="T51" i="2" s="1"/>
  <c r="T2" i="5"/>
  <c r="AB6" i="1"/>
  <c r="X7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35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Q25" i="4"/>
  <c r="Q76" i="4" s="1"/>
  <c r="S76" i="4" s="1"/>
  <c r="Q24" i="4"/>
  <c r="Q75" i="4" s="1"/>
  <c r="S75" i="4" s="1"/>
  <c r="Q23" i="4"/>
  <c r="Q74" i="4" s="1"/>
  <c r="S74" i="4" s="1"/>
  <c r="Q22" i="4"/>
  <c r="Q73" i="4" s="1"/>
  <c r="S73" i="4" s="1"/>
  <c r="Q21" i="4"/>
  <c r="Q72" i="4" s="1"/>
  <c r="S72" i="4" s="1"/>
  <c r="Q20" i="4"/>
  <c r="Q71" i="4" s="1"/>
  <c r="S71" i="4" s="1"/>
  <c r="Q19" i="4"/>
  <c r="Q70" i="4" s="1"/>
  <c r="S70" i="4" s="1"/>
  <c r="Q18" i="4"/>
  <c r="Q69" i="4" s="1"/>
  <c r="S69" i="4" s="1"/>
  <c r="Q17" i="4"/>
  <c r="Q68" i="4" s="1"/>
  <c r="S68" i="4" s="1"/>
  <c r="Q16" i="4"/>
  <c r="Q15" i="4"/>
  <c r="Q67" i="4" s="1"/>
  <c r="S67" i="4" s="1"/>
  <c r="Q14" i="4"/>
  <c r="Q66" i="4" s="1"/>
  <c r="S66" i="4" s="1"/>
  <c r="Q13" i="4"/>
  <c r="Q65" i="4" s="1"/>
  <c r="S65" i="4" s="1"/>
  <c r="Q12" i="4"/>
  <c r="Q64" i="4" s="1"/>
  <c r="S64" i="4" s="1"/>
  <c r="Q11" i="4"/>
  <c r="Q63" i="4" s="1"/>
  <c r="S63" i="4" s="1"/>
  <c r="Q10" i="4"/>
  <c r="Q62" i="4" s="1"/>
  <c r="S62" i="4" s="1"/>
  <c r="Q9" i="4"/>
  <c r="Q61" i="4" s="1"/>
  <c r="S61" i="4" s="1"/>
  <c r="Q8" i="4"/>
  <c r="Q60" i="4" s="1"/>
  <c r="S60" i="4" s="1"/>
  <c r="Q7" i="4"/>
  <c r="Q59" i="4" s="1"/>
  <c r="S59" i="4" s="1"/>
  <c r="Q6" i="4"/>
  <c r="Q58" i="4" s="1"/>
  <c r="S58" i="4" s="1"/>
  <c r="Q5" i="4"/>
  <c r="V56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X5" i="1"/>
  <c r="X6" i="1"/>
  <c r="X8" i="1"/>
  <c r="X10" i="1"/>
  <c r="X11" i="1"/>
  <c r="X13" i="1"/>
  <c r="X14" i="1"/>
  <c r="X16" i="1"/>
  <c r="X17" i="1"/>
  <c r="X20" i="1"/>
  <c r="X21" i="1"/>
  <c r="X22" i="1"/>
  <c r="X23" i="1"/>
  <c r="X24" i="1"/>
  <c r="AB17" i="1" l="1"/>
  <c r="AB42" i="1"/>
  <c r="AB40" i="1"/>
  <c r="AP3" i="6"/>
  <c r="V67" i="6"/>
  <c r="V66" i="6"/>
  <c r="V68" i="6"/>
  <c r="AC67" i="6"/>
  <c r="AC68" i="6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3" i="3"/>
  <c r="AB44" i="3"/>
  <c r="AB45" i="3"/>
  <c r="AB46" i="3"/>
  <c r="AB47" i="3"/>
  <c r="AB48" i="3"/>
  <c r="AB42" i="3"/>
  <c r="Q57" i="4"/>
  <c r="S57" i="4" s="1"/>
  <c r="N57" i="4"/>
  <c r="N59" i="4" s="1" a="1"/>
  <c r="N59" i="4" s="1"/>
  <c r="O57" i="4"/>
  <c r="O59" i="4" s="1" a="1"/>
  <c r="O59" i="4" s="1"/>
  <c r="M57" i="4"/>
  <c r="M59" i="4" s="1" a="1"/>
  <c r="M59" i="4" s="1"/>
  <c r="M58" i="1"/>
  <c r="S56" i="1"/>
  <c r="S56" i="3"/>
  <c r="M58" i="3"/>
  <c r="AN56" i="6"/>
  <c r="AP48" i="6"/>
  <c r="AP40" i="6"/>
  <c r="AP19" i="6"/>
  <c r="AP11" i="6"/>
  <c r="AP12" i="6"/>
  <c r="AP43" i="6"/>
  <c r="AP34" i="6"/>
  <c r="AP25" i="6"/>
  <c r="AP22" i="6"/>
  <c r="AP14" i="6"/>
  <c r="AP8" i="6"/>
  <c r="AP4" i="6"/>
  <c r="AP46" i="6"/>
  <c r="AP37" i="6"/>
  <c r="AP32" i="6"/>
  <c r="AP29" i="6"/>
  <c r="AP17" i="6"/>
  <c r="AP20" i="6"/>
  <c r="AP45" i="6"/>
  <c r="AP36" i="6"/>
  <c r="AP31" i="6"/>
  <c r="AP28" i="6"/>
  <c r="AP16" i="6"/>
  <c r="AP7" i="6"/>
  <c r="AP41" i="6"/>
  <c r="AP9" i="6"/>
  <c r="AP5" i="6"/>
  <c r="AP27" i="6"/>
  <c r="AP47" i="6"/>
  <c r="AP35" i="6"/>
  <c r="AP21" i="6"/>
  <c r="AP39" i="6"/>
  <c r="AP38" i="6"/>
  <c r="AP30" i="6"/>
  <c r="AP24" i="6"/>
  <c r="AP23" i="6"/>
  <c r="AP10" i="6"/>
  <c r="AP6" i="6"/>
  <c r="AP13" i="6"/>
  <c r="AP44" i="6"/>
  <c r="AP33" i="6"/>
  <c r="AP18" i="6"/>
  <c r="AP42" i="6"/>
  <c r="AP15" i="6"/>
  <c r="N59" i="2"/>
  <c r="K59" i="2"/>
  <c r="K61" i="2" s="1" a="1"/>
  <c r="K61" i="2" s="1"/>
  <c r="L59" i="2"/>
  <c r="L61" i="2" s="1" a="1"/>
  <c r="L61" i="2" s="1"/>
  <c r="J59" i="2"/>
  <c r="J61" i="2" s="1" a="1"/>
  <c r="J61" i="2" s="1"/>
  <c r="AA56" i="3"/>
  <c r="AA56" i="1"/>
  <c r="W51" i="4"/>
  <c r="AA6" i="4"/>
  <c r="AA51" i="4" s="1"/>
  <c r="W55" i="4"/>
  <c r="W54" i="4"/>
  <c r="W53" i="4"/>
  <c r="W52" i="4"/>
  <c r="T55" i="2"/>
  <c r="T54" i="2"/>
  <c r="T53" i="2"/>
  <c r="T52" i="2"/>
  <c r="X5" i="2"/>
  <c r="AB7" i="1"/>
  <c r="AB12" i="1"/>
  <c r="AB18" i="1"/>
  <c r="AB19" i="1"/>
  <c r="AB25" i="1"/>
  <c r="AB29" i="1"/>
  <c r="AB30" i="1"/>
  <c r="AB32" i="1"/>
  <c r="AB38" i="1"/>
  <c r="AB39" i="1"/>
  <c r="AB41" i="1"/>
  <c r="AB45" i="1"/>
  <c r="AB48" i="1"/>
  <c r="AA5" i="1"/>
  <c r="AB5" i="1" s="1"/>
  <c r="X3" i="5"/>
  <c r="X2" i="5"/>
  <c r="AB3" i="4" l="1"/>
  <c r="X3" i="4"/>
  <c r="U4" i="2"/>
  <c r="U3" i="2"/>
  <c r="O59" i="1" a="1"/>
  <c r="O59" i="1" s="1"/>
  <c r="M59" i="1" a="1"/>
  <c r="M59" i="1" s="1"/>
  <c r="N59" i="1" a="1"/>
  <c r="N59" i="1" s="1"/>
  <c r="O59" i="3" a="1"/>
  <c r="O59" i="3" s="1"/>
  <c r="N59" i="3" a="1"/>
  <c r="N59" i="3" s="1"/>
  <c r="M59" i="3" a="1"/>
  <c r="M59" i="3" s="1"/>
  <c r="T56" i="2"/>
  <c r="W56" i="4"/>
  <c r="AA54" i="4"/>
  <c r="AA55" i="4"/>
  <c r="AA53" i="4"/>
  <c r="AB13" i="4" s="1"/>
  <c r="AA52" i="4"/>
  <c r="X55" i="2"/>
  <c r="X54" i="2"/>
  <c r="X26" i="4"/>
  <c r="X48" i="4"/>
  <c r="X47" i="4"/>
  <c r="X46" i="4"/>
  <c r="X45" i="4"/>
  <c r="X44" i="4"/>
  <c r="X43" i="4"/>
  <c r="X42" i="4"/>
  <c r="X41" i="4"/>
  <c r="X40" i="4"/>
  <c r="X39" i="4"/>
  <c r="X38" i="4"/>
  <c r="X4" i="4"/>
  <c r="X37" i="4"/>
  <c r="X36" i="4"/>
  <c r="X35" i="4"/>
  <c r="X34" i="4"/>
  <c r="X33" i="4"/>
  <c r="X32" i="4"/>
  <c r="X31" i="4"/>
  <c r="X30" i="4"/>
  <c r="X29" i="4"/>
  <c r="X28" i="4"/>
  <c r="X27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5" i="4"/>
  <c r="X6" i="4"/>
  <c r="X51" i="2"/>
  <c r="X53" i="2"/>
  <c r="X52" i="2"/>
  <c r="U7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6" i="2"/>
  <c r="U5" i="2"/>
  <c r="AA56" i="4" l="1"/>
  <c r="AB4" i="4"/>
  <c r="AB41" i="4"/>
  <c r="Y3" i="2"/>
  <c r="Y4" i="2"/>
  <c r="AB5" i="4"/>
  <c r="AB26" i="4"/>
  <c r="AB48" i="4"/>
  <c r="AB47" i="4"/>
  <c r="AB46" i="4"/>
  <c r="AB45" i="4"/>
  <c r="AB44" i="4"/>
  <c r="AB43" i="4"/>
  <c r="AB42" i="4"/>
  <c r="AB40" i="4"/>
  <c r="AB39" i="4"/>
  <c r="AB38" i="4"/>
  <c r="AB37" i="4"/>
  <c r="AB36" i="4"/>
  <c r="AB35" i="4"/>
  <c r="AB34" i="4"/>
  <c r="AB33" i="4"/>
  <c r="AB32" i="4"/>
  <c r="AB31" i="4"/>
  <c r="AB30" i="4"/>
  <c r="AB29" i="4"/>
  <c r="AB28" i="4"/>
  <c r="AB27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2" i="4"/>
  <c r="AB11" i="4"/>
  <c r="AB10" i="4"/>
  <c r="AB9" i="4"/>
  <c r="AB8" i="4"/>
  <c r="AB7" i="4"/>
  <c r="AB6" i="4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X56" i="2"/>
  <c r="M5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tc={F27BDFE4-316D-CC4C-84AE-55379B04B15B}</author>
    <author>tc={8A943EFD-4319-894D-BF09-F2E83315752A}</author>
    <author>tc={E9E91D49-218A-DE44-9A3D-3A2EEB9E820D}</author>
    <author>tc={CE2E76C2-15CF-CD4E-BB39-6873A6073C3F}</author>
    <author>tc={7DE0B96A-E06E-2D4F-825E-830ADA4EA8FB}</author>
    <author>tc={D1054FF4-FF51-3E48-A47C-9AB5E5F39DCB}</author>
    <author>tc={9F258554-55F6-FA46-8C78-5F687D2122DD}</author>
    <author>tc={3F8AAFC1-D8F9-7B45-B556-0285275008F3}</author>
    <author>tc={83820B4E-E1AF-D34D-A859-456961086B6D}</author>
    <author>tc={043EB6B2-4D6F-5543-9275-57F75071199E}</author>
    <author>tc={EE0FD6D0-2C78-D242-8135-498CCC547048}</author>
    <author>tc={175AFCEA-E136-C34B-A376-347251511022}</author>
    <author>tc={4A6E041C-7F73-E64B-AADC-4F3A982EDDD1}</author>
    <author>tc={61366FDB-0524-BD47-A4C0-06E5D0FCAA67}</author>
    <author>tc={A00FEEB4-147D-694E-92B2-B87A855CB7F7}</author>
    <author>tc={57F798AF-61C3-7A46-9C32-11E364D859AB}</author>
    <author>tc={CA15FB18-8491-6148-9A72-80904477D4D9}</author>
    <author>tc={DD45715D-0319-FF42-9495-ACA8019DEABC}</author>
    <author>tc={47EA5F43-3310-4B47-8E34-B59218672F35}</author>
    <author>tc={E5C59582-8605-4147-AD45-A6A7490A2477}</author>
    <author>tc={4717C4EB-560F-5640-A108-820DE187B459}</author>
    <author>tc={F89CCCA6-6F0C-5447-92C0-AEF6DA580AA6}</author>
    <author>tc={7693C052-2B34-BA47-905D-540E0D23F0E7}</author>
    <author>tc={94899BAB-49B7-5A4D-B000-A980186FFFC9}</author>
    <author>tc={B580A3E5-291F-3842-B1CA-5FDA37910297}</author>
    <author>tc={61317CE1-D69C-F34B-BA8B-5781099ECB7B}</author>
    <author>tc={F89A220F-A9EF-F543-BD4E-23C10B1C4ED1}</author>
    <author>tc={0D8CCC6C-313F-8C4F-A3DF-816C1B4D4181}</author>
  </authors>
  <commentList>
    <comment ref="B2" authorId="0" shapeId="0" xr:uid="{F27BDFE4-316D-CC4C-84AE-55379B04B15B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sacar de "Evaluacion_sheet_consensuado_CR3"
</t>
      </text>
    </comment>
    <comment ref="D2" authorId="1" shapeId="0" xr:uid="{8A943EFD-4319-894D-BF09-F2E83315752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sacar de "6 - Datos / Datos Self-efficacy / dataset_23_06_2025_06.40_vCleanedHashed_ANOTACIONES_excel"
</t>
      </text>
    </comment>
    <comment ref="F2" authorId="2" shapeId="0" xr:uid="{E9E91D49-218A-DE44-9A3D-3A2EEB9E82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Sacar de la columna de Clasificación</t>
      </text>
    </comment>
    <comment ref="H2" authorId="3" shapeId="0" xr:uid="{CE2E76C2-15CF-CD4E-BB39-6873A6073C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Código (Usando librería Radon)</t>
      </text>
    </comment>
    <comment ref="I2" authorId="4" shapeId="0" xr:uid="{7DE0B96A-E06E-2D4F-825E-830ADA4EA8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Comentarios (Usando librería Radon)</t>
      </text>
    </comment>
    <comment ref="J2" authorId="5" shapeId="0" xr:uid="{D1054FF4-FF51-3E48-A47C-9AB5E5F39D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Número de funciones(Usando librería Radon)</t>
      </text>
    </comment>
    <comment ref="K2" authorId="6" shapeId="0" xr:uid="{9F258554-55F6-FA46-8C78-5F687D2122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External Reuse Level(Calculado con formula E/L)
E: el total de items de repositorios externos (librerías o módulos), se calcula con nuestro script
L = el número total de lower level items (en este caso el total de líneas de código LOC)</t>
      </text>
    </comment>
    <comment ref="L2" authorId="7" shapeId="0" xr:uid="{3F8AAFC1-D8F9-7B45-B556-0285275008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Internal Reuse Level (IRL): IRL = M / L
M: el número total de items no externos que son usados más de una vez (funciones y métodos), el script nos lo da
L = el número total de lower level items (en este caso el total de líneas de código LOC)</t>
      </text>
    </comment>
    <comment ref="M2" authorId="8" shapeId="0" xr:uid="{83820B4E-E1AF-D34D-A859-456961086B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Replicación de Código (ERL+IRL)</t>
      </text>
    </comment>
    <comment ref="N2" authorId="9" shapeId="0" xr:uid="{043EB6B2-4D6F-5543-9275-57F7507119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closeness to reference</t>
      </text>
    </comment>
    <comment ref="O2" authorId="10" shapeId="0" xr:uid="{EE0FD6D0-2C78-D242-8135-498CCC54704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Complejidad Ciclomática (Usando librería Radon)</t>
      </text>
    </comment>
    <comment ref="P2" authorId="11" shapeId="0" xr:uid="{175AFCEA-E136-C34B-A376-3472515110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closeness to reference
Respuesta:
    podríamos definir unas heurísticas, por ejemplo, más de 10 es un valor de 0, no el máximo en los datos</t>
      </text>
    </comment>
    <comment ref="Q2" authorId="12" shapeId="0" xr:uid="{4A6E041C-7F73-E64B-AADC-4F3A982EDD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Tamaño promedio por función o método (LoCode/NoFunctions)</t>
      </text>
    </comment>
    <comment ref="R2" authorId="13" shapeId="0" xr:uid="{61366FDB-0524-BD47-A4C0-06E5D0FCAA6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closeness to reference</t>
      </text>
    </comment>
    <comment ref="S2" authorId="14" shapeId="0" xr:uid="{A00FEEB4-147D-694E-92B2-B87A855CB7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duplicación de código (lo tomamos con el script) Usando el algoritmo de Rabin-Karp</t>
      </text>
    </comment>
    <comment ref="T2" authorId="15" shapeId="0" xr:uid="{57F798AF-61C3-7A46-9C32-11E364D859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closeness to reference</t>
      </text>
    </comment>
    <comment ref="W2" authorId="16" shapeId="0" xr:uid="{CA15FB18-8491-6148-9A72-80904477D4D9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paper: https://doi.org/10.1016/j.jss.2023.111796
</t>
      </text>
    </comment>
    <comment ref="AD2" authorId="17" shapeId="0" xr:uid="{DD45715D-0319-FF42-9495-ACA8019DEA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Redefinir formula por los profes</t>
      </text>
    </comment>
    <comment ref="AE2" authorId="18" shapeId="0" xr:uid="{47EA5F43-3310-4B47-8E34-B59218672F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Explicar formula cuartiles</t>
      </text>
    </comment>
    <comment ref="AF2" authorId="19" shapeId="0" xr:uid="{E5C59582-8605-4147-AD45-A6A7490A24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Tamaño Promedio de Función o Método
Explicar formula con el maximo y el minimo</t>
      </text>
    </comment>
    <comment ref="AG2" authorId="20" shapeId="0" xr:uid="{4717C4EB-560F-5640-A108-820DE187B4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calcula usando el Jaccard Similarity</t>
      </text>
    </comment>
    <comment ref="AH2" authorId="21" shapeId="0" xr:uid="{F89CCCA6-6F0C-5447-92C0-AEF6DA580AA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 brinda nuestro script</t>
      </text>
    </comment>
    <comment ref="AI2" authorId="22" shapeId="0" xr:uid="{7693C052-2B34-BA47-905D-540E0D23F0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Claridad de Código</t>
      </text>
    </comment>
    <comment ref="AJ2" authorId="23" shapeId="0" xr:uid="{94899BAB-49B7-5A4D-B000-A980186FFF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Control de Complejidad
Revalorar umbral y si el indice es aplicable en el caso</t>
      </text>
    </comment>
    <comment ref="AL2" authorId="24" shapeId="0" xr:uid="{B580A3E5-291F-3842-B1CA-5FDA379102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Nivel de pensamiento algoritmico</t>
      </text>
    </comment>
    <comment ref="AM2" authorId="25" shapeId="0" xr:uid="{61317CE1-D69C-F34B-BA8B-5781099ECB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Normalización de Nombres(Usando script propio)</t>
      </text>
    </comment>
    <comment ref="AN2" authorId="26" shapeId="0" xr:uid="{F89A220F-A9EF-F543-BD4E-23C10B1C4E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Nivel de Representación de Datos</t>
      </text>
    </comment>
    <comment ref="AE5" authorId="27" shapeId="0" xr:uid="{0D8CCC6C-313F-8C4F-A3DF-816C1B4D41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corregir formula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tc={3CC91982-BB32-466A-AE66-52691EF533B7}</author>
    <author>tc={EB4E9B7B-1121-4FF9-9702-A9128CD5F126}</author>
    <author>tc={7AE47637-2C9B-4EC4-846D-1C001CAAF098}</author>
    <author>tc={FBD33E12-0569-4546-975E-367F8AFAFE0D}</author>
    <author>tc={21A4E156-54CB-4D36-880B-EE0D9BC164CB}</author>
    <author>tc={5CD1490B-BFDB-4B90-B265-AD155C884900}</author>
    <author>tc={DED99356-FFFC-4B10-A024-B3743069CFE5}</author>
    <author>tc={9DE86240-5071-4095-BF6A-C7D68E31221A}</author>
    <author>tc={D1840D17-1BEE-4FB1-B2BA-B809C3B6F7FE}</author>
    <author>tc={7956A189-058A-41F5-9920-28C5FD01941B}</author>
    <author>tc={14B6D7E0-54BE-47CB-8EAF-3583CD10E1BE}</author>
    <author>tc={E1106CCC-99A3-4DC8-BD05-80E372FE3D79}</author>
    <author>tc={E8FF683F-C8AB-4D42-B80E-60E6F9454D23}</author>
    <author>tc={B84B0E4D-C201-44BB-BBE7-4B953137693C}</author>
    <author>tc={48E64DBB-F992-4CAD-9B59-92D17361B05D}</author>
    <author>tc={916ADC0C-FB36-4D9B-B737-C16D74D855DD}</author>
    <author>tc={09EAE210-BA83-4A34-932E-BF9ABC21E8C2}</author>
    <author>tc={6C6F3942-9648-42B0-B0DD-9448F38F3583}</author>
    <author>tc={C0D8C07F-BF4F-4F20-9127-E1D021912EE0}</author>
    <author>tc={EE6935A1-0CA0-4ED3-A0F6-41C33B786148}</author>
    <author>tc={E1B12224-BDF6-4A48-AFE0-2F288080BB66}</author>
  </authors>
  <commentList>
    <comment ref="D2" authorId="0" shapeId="0" xr:uid="{3CC91982-BB32-466A-AE66-52691EF533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Código (Usando librería Radon)</t>
      </text>
    </comment>
    <comment ref="E2" authorId="1" shapeId="0" xr:uid="{EB4E9B7B-1121-4FF9-9702-A9128CD5F1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Comentarios (Usando librería Radon)</t>
      </text>
    </comment>
    <comment ref="F2" authorId="2" shapeId="0" xr:uid="{7AE47637-2C9B-4EC4-846D-1C001CAAF0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Número de funciones(Usando librería Radon)</t>
      </text>
    </comment>
    <comment ref="G2" authorId="3" shapeId="0" xr:uid="{FBD33E12-0569-4546-975E-367F8AFAFE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External Reuse Level(Calculado con formula E/L)
E: el total de items de repositorios externos (librerías o módulos), se calcula con nuestro script
L = el número total de lower level items (en este caso el total de líneas de código LOC)</t>
      </text>
    </comment>
    <comment ref="H2" authorId="4" shapeId="0" xr:uid="{21A4E156-54CB-4D36-880B-EE0D9BC164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Internal Reuse Level (IRL): IRL = M / L
M: el número total de items no externos que son usados más de una vez (funciones y métodos), el script nos lo da
L = el número total de lower level items (en este caso el total de líneas de código LOC)</t>
      </text>
    </comment>
    <comment ref="I2" authorId="5" shapeId="0" xr:uid="{5CD1490B-BFDB-4B90-B265-AD155C8849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Replicación de Código (ERL+IRL)</t>
      </text>
    </comment>
    <comment ref="J2" authorId="6" shapeId="0" xr:uid="{DED99356-FFFC-4B10-A024-B3743069CF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Complejidad Ciclomática (Usando librería Radon)</t>
      </text>
    </comment>
    <comment ref="K2" authorId="7" shapeId="0" xr:uid="{9DE86240-5071-4095-BF6A-C7D68E3122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Tamaño promedio por función o método (LoCode/NoFunctions)</t>
      </text>
    </comment>
    <comment ref="L2" authorId="8" shapeId="0" xr:uid="{D1840D17-1BEE-4FB1-B2BA-B809C3B6F7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duplicación de código (lo tomamos con el script) Usando el algoritmo de Rabin-Karp</t>
      </text>
    </comment>
    <comment ref="M2" authorId="9" shapeId="0" xr:uid="{7956A189-058A-41F5-9920-28C5FD0194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Redefinir formula por los profes</t>
      </text>
    </comment>
    <comment ref="N2" authorId="10" shapeId="0" xr:uid="{14B6D7E0-54BE-47CB-8EAF-3583CD10E1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Explicar formula cuartiles</t>
      </text>
    </comment>
    <comment ref="O2" authorId="11" shapeId="0" xr:uid="{E1106CCC-99A3-4DC8-BD05-80E372FE3D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Tamaño Promedio de Función o Método
Explicar formula con el maximo y el minimo</t>
      </text>
    </comment>
    <comment ref="P2" authorId="12" shapeId="0" xr:uid="{E8FF683F-C8AB-4D42-B80E-60E6F9454D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calcula usando el Jaccard Similarity</t>
      </text>
    </comment>
    <comment ref="Q2" authorId="13" shapeId="0" xr:uid="{B84B0E4D-C201-44BB-BBE7-4B95313769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 brinda nuestro script</t>
      </text>
    </comment>
    <comment ref="R2" authorId="14" shapeId="0" xr:uid="{48E64DBB-F992-4CAD-9B59-92D17361B05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Claridad de Código</t>
      </text>
    </comment>
    <comment ref="S2" authorId="15" shapeId="0" xr:uid="{916ADC0C-FB36-4D9B-B737-C16D74D855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Control de Complejidad
Revalorar umbral y si el indice es aplicable en el caso</t>
      </text>
    </comment>
    <comment ref="U2" authorId="16" shapeId="0" xr:uid="{09EAE210-BA83-4A34-932E-BF9ABC21E8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Nivel de pensamiento algoritmico</t>
      </text>
    </comment>
    <comment ref="V2" authorId="17" shapeId="0" xr:uid="{6C6F3942-9648-42B0-B0DD-9448F38F35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Normalización de Nombres(Usando script propio)</t>
      </text>
    </comment>
    <comment ref="W2" authorId="18" shapeId="0" xr:uid="{C0D8C07F-BF4F-4F20-9127-E1D021912E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Nivel de Representación de Datos</t>
      </text>
    </comment>
    <comment ref="N5" authorId="19" shapeId="0" xr:uid="{EE6935A1-0CA0-4ED3-A0F6-41C33B78614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corregir formula</t>
      </text>
    </comment>
    <comment ref="I58" authorId="20" shapeId="0" xr:uid="{E1B12224-BDF6-4A48-AFE0-2F288080BB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tabla es únicamente para actualizar la documentación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tc={86C3F107-5ED1-4C70-BA2F-842ACF4813F3}</author>
    <author>tc={D6B722B9-EBC9-4E60-A3B0-49E28098F73C}</author>
    <author>tc={BCE84002-C1EA-4C52-A803-50835DBB6013}</author>
    <author>tc={20F51E5C-F547-4244-AB30-0BC65BAA4E5E}</author>
    <author>tc={AC836C89-CD52-4F13-BACB-0354673C1FF3}</author>
    <author>tc={5E4924D5-86D7-43C9-9BFD-603CAEAD06E0}</author>
    <author>tc={61B1997F-436D-4E07-BF2D-B05BE561FB55}</author>
    <author>tc={E463A961-E330-4967-9426-9DE1441DBE4F}</author>
    <author>tc={53C92F77-D355-4C14-9BBB-215EB5BCCF6A}</author>
    <author>tc={67B2F701-6074-4761-891D-F244148792DA}</author>
    <author>tc={2F4EF25F-F9F2-4A05-AC14-21AC9BD1D7C6}</author>
    <author>tc={20F43E5B-7A98-4249-8D47-FA82C58C93A1}</author>
    <author>tc={CA4DA8E5-85AA-4F3F-A795-F941F4815FC0}</author>
    <author>tc={7199800D-3A55-49DC-A877-44EF802DF835}</author>
    <author>tc={80E66304-5238-48A9-967B-811FCF1716AA}</author>
    <author>tc={EAA1C49F-D823-4F47-92E0-81295AEAFD4C}</author>
    <author>tc={EC9486B0-50CA-476B-9BCA-C7717DAA186D}</author>
  </authors>
  <commentList>
    <comment ref="B2" authorId="0" shapeId="0" xr:uid="{86C3F107-5ED1-4C70-BA2F-842ACF4813F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sacar de "Evaluacion_sheet_consensuado_CR3"
</t>
      </text>
    </comment>
    <comment ref="D2" authorId="1" shapeId="0" xr:uid="{D6B722B9-EBC9-4E60-A3B0-49E28098F73C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sacar de "6 - Datos / Datos Self-efficacy / dataset_23_06_2025_06.40_vCleanedHashed_ANOTACIONES_excel"
</t>
      </text>
    </comment>
    <comment ref="G2" authorId="2" shapeId="0" xr:uid="{BCE84002-C1EA-4C52-A803-50835DBB60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Código (Usando librería Radon)</t>
      </text>
    </comment>
    <comment ref="H2" authorId="3" shapeId="0" xr:uid="{20F51E5C-F547-4244-AB30-0BC65BAA4E5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Comentarios (Usando librería Radon)</t>
      </text>
    </comment>
    <comment ref="I2" authorId="4" shapeId="0" xr:uid="{AC836C89-CD52-4F13-BACB-0354673C1F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Número de funciones(Usando librería Radon)</t>
      </text>
    </comment>
    <comment ref="J2" authorId="5" shapeId="0" xr:uid="{5E4924D5-86D7-43C9-9BFD-603CAEAD06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External Reuse Level(Calculado con formula E/L)
E: el total de items de repositorios externos (librerías o módulos)
L = el número total de lower level items (en este caso el total de líneas de código LOC)</t>
      </text>
    </comment>
    <comment ref="K2" authorId="6" shapeId="0" xr:uid="{61B1997F-436D-4E07-BF2D-B05BE561FB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Internal Reuse Level (IRL): IRL = M / L
M: el número total de items no externos que son usados más de una vez (funciones y métodos)
L = el número total de lower level items (en este caso el total de líneas de código LOC)</t>
      </text>
    </comment>
    <comment ref="L2" authorId="7" shapeId="0" xr:uid="{E463A961-E330-4967-9426-9DE1441DBE4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Replicación de Código (ERL+IRL)</t>
      </text>
    </comment>
    <comment ref="M2" authorId="8" shapeId="0" xr:uid="{53C92F77-D355-4C14-9BBB-215EB5BCCF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Complejidad Ciclomática (Usando librería Radon)</t>
      </text>
    </comment>
    <comment ref="N2" authorId="9" shapeId="0" xr:uid="{67B2F701-6074-4761-891D-F244148792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Tamaño promedio por función LoCode/NoFunctions</t>
      </text>
    </comment>
    <comment ref="O2" authorId="10" shapeId="0" xr:uid="{2F4EF25F-F9F2-4A05-AC14-21AC9BD1D7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duplicación de código</t>
      </text>
    </comment>
    <comment ref="R2" authorId="11" shapeId="0" xr:uid="{20F43E5B-7A98-4249-8D47-FA82C58C93A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Tamaño Promedio de Función o Método</t>
      </text>
    </comment>
    <comment ref="S2" authorId="12" shapeId="0" xr:uid="{CA4DA8E5-85AA-4F3F-A795-F941F4815F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calcula usando el Jaccard Similarity</t>
      </text>
    </comment>
    <comment ref="U2" authorId="13" shapeId="0" xr:uid="{7199800D-3A55-49DC-A877-44EF802DF8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Claridad de Código</t>
      </text>
    </comment>
    <comment ref="V2" authorId="14" shapeId="0" xr:uid="{80E66304-5238-48A9-967B-811FCF1716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Control de Complejidad</t>
      </text>
    </comment>
    <comment ref="Y2" authorId="15" shapeId="0" xr:uid="{EAA1C49F-D823-4F47-92E0-81295AEAFD4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Normalización de Nombres(Usando script propio)</t>
      </text>
    </comment>
    <comment ref="L56" authorId="16" shapeId="0" xr:uid="{EC9486B0-50CA-476B-9BCA-C7717DAA18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tabla es únicamente para actualizar datos de la documentación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tc={74880B37-3359-4AC2-9BAC-8F5155E75666}</author>
    <author>tc={00C36E5D-367C-472F-AC25-7F42D1356CA9}</author>
    <author>tc={91A52215-CF82-4A17-A416-0A23C49CC836}</author>
    <author>tc={85869729-7FF2-42B6-B22B-6E2270692D16}</author>
    <author>tc={A8EA94FB-5840-4CB4-8CF5-0CDD6EC50B90}</author>
    <author>tc={CED8143A-55EE-423A-A2E9-30C4E233DBC4}</author>
    <author>tc={8A80266F-20F3-43ED-B5D7-F77EF0DC2869}</author>
    <author>tc={1F0EEB0D-2353-48D5-9644-A12BFE03C04C}</author>
    <author>tc={9D8E35E7-AED7-49BB-AC18-B0A6CD2A532C}</author>
    <author>tc={C80F55C4-B6AB-49D6-9EDA-C8D7C3B77C97}</author>
    <author>tc={520C3B79-2893-4BD1-8EE8-4128D2E233F5}</author>
    <author>tc={C1266E29-A291-4936-9012-41B152C5BD01}</author>
    <author>tc={7654FE14-BEC4-4059-9BFB-DADD77664B9B}</author>
    <author>tc={8416B37A-7E44-4A76-AD07-2CA7BD689E83}</author>
    <author>tc={9DDD88D0-43BE-47A6-952E-74C9A0463638}</author>
    <author>tc={F1579A69-144A-4F1E-AB95-FAAA14228465}</author>
    <author>tc={1EF7B04E-2C6C-4CBC-AC92-CA97990F243C}</author>
  </authors>
  <commentList>
    <comment ref="B2" authorId="0" shapeId="0" xr:uid="{74880B37-3359-4AC2-9BAC-8F5155E7566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sacar de "Evaluacion_sheet_consensuado_CR3"
</t>
      </text>
    </comment>
    <comment ref="D2" authorId="1" shapeId="0" xr:uid="{00C36E5D-367C-472F-AC25-7F42D1356CA9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sacar de "6 - Datos / Datos Self-efficacy / dataset_23_06_2025_06.40_vCleanedHashed_ANOTACIONES_excel"
</t>
      </text>
    </comment>
    <comment ref="G2" authorId="2" shapeId="0" xr:uid="{91A52215-CF82-4A17-A416-0A23C49CC8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Código (Usando librería Radon)</t>
      </text>
    </comment>
    <comment ref="H2" authorId="3" shapeId="0" xr:uid="{85869729-7FF2-42B6-B22B-6E2270692D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Comentarios (Usando librería Radon)</t>
      </text>
    </comment>
    <comment ref="I2" authorId="4" shapeId="0" xr:uid="{A8EA94FB-5840-4CB4-8CF5-0CDD6EC50B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Número de funciones(Usando librería Radon)</t>
      </text>
    </comment>
    <comment ref="J2" authorId="5" shapeId="0" xr:uid="{CED8143A-55EE-423A-A2E9-30C4E233DB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External Reuse Level(Calculado con formula E/L)
E: el total de items de repositorios externos (librerías o módulos)
L = el número total de lower level items (en este caso el total de líneas de código LOC)</t>
      </text>
    </comment>
    <comment ref="K2" authorId="6" shapeId="0" xr:uid="{8A80266F-20F3-43ED-B5D7-F77EF0DC28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Internal Reuse Level (IRL): IRL = M / L
M: el número total de items no externos que son usados más de una vez (funciones y métodos)
L = el número total de lower level items (en este caso el total de líneas de código LOC)</t>
      </text>
    </comment>
    <comment ref="L2" authorId="7" shapeId="0" xr:uid="{1F0EEB0D-2353-48D5-9644-A12BFE03C04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Replicación de Código (ERL+IRL)</t>
      </text>
    </comment>
    <comment ref="M2" authorId="8" shapeId="0" xr:uid="{9D8E35E7-AED7-49BB-AC18-B0A6CD2A532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Complejidad Ciclomática (Usando librería Radon)</t>
      </text>
    </comment>
    <comment ref="N2" authorId="9" shapeId="0" xr:uid="{C80F55C4-B6AB-49D6-9EDA-C8D7C3B77C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Tamaño promedio por función LoCode/NoFunctions</t>
      </text>
    </comment>
    <comment ref="O2" authorId="10" shapeId="0" xr:uid="{520C3B79-2893-4BD1-8EE8-4128D2E233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duplicación de código</t>
      </text>
    </comment>
    <comment ref="R2" authorId="11" shapeId="0" xr:uid="{C1266E29-A291-4936-9012-41B152C5BD0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Tamaño Promedio de Función o Método</t>
      </text>
    </comment>
    <comment ref="S2" authorId="12" shapeId="0" xr:uid="{7654FE14-BEC4-4059-9BFB-DADD77664B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calcula usando el Jaccard Similarity</t>
      </text>
    </comment>
    <comment ref="U2" authorId="13" shapeId="0" xr:uid="{8416B37A-7E44-4A76-AD07-2CA7BD689E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Claridad de Código</t>
      </text>
    </comment>
    <comment ref="V2" authorId="14" shapeId="0" xr:uid="{9DDD88D0-43BE-47A6-952E-74C9A04636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Control de Complejidad</t>
      </text>
    </comment>
    <comment ref="Y2" authorId="15" shapeId="0" xr:uid="{F1579A69-144A-4F1E-AB95-FAAA1422846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Normalización de Nombres(Usando script propio)</t>
      </text>
    </comment>
    <comment ref="L56" authorId="16" shapeId="0" xr:uid="{1EF7B04E-2C6C-4CBC-AC92-CA97990F24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tabla es únicamente para actualizar datos de la documentación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tc={2BED2C97-E6D2-495D-81B4-CD156409A71B}</author>
    <author>tc={7961ECB2-43F1-4E78-835B-A9FB941078AA}</author>
    <author>tc={1BFDC824-F5AA-41AC-892C-3E5A327C972E}</author>
    <author>tc={065F3E81-72B9-41BF-AE24-3CA47664B418}</author>
    <author>tc={267F591D-CE24-44FF-85B1-CC5D18A0DDCC}</author>
    <author>tc={96750BFE-0996-4045-804E-F8F7A8325354}</author>
    <author>tc={F478B806-0DDA-4721-A78E-84E8C723F598}</author>
    <author>tc={442C733E-F9E7-4627-95F7-FD93C679AEE2}</author>
    <author>tc={0C7F462B-5431-4266-8A52-10511139D4F6}</author>
    <author>tc={3949195B-79B6-4825-9D72-D73713F402B9}</author>
    <author>tc={FA69C272-EDE2-49D7-85DE-BD0A089583DE}</author>
    <author>tc={74C07119-5D01-4654-A65F-83270AF1F464}</author>
    <author>tc={79AAE0B0-BDE8-441C-B03A-D148A51EE584}</author>
    <author>tc={43C10A40-BF15-4F0E-BC5C-17E2BEFBD5F4}</author>
    <author>tc={CE918725-8B6E-4291-A7A4-AE136F43D0C1}</author>
    <author>tc={D9D085FA-286A-4A2D-8766-230C56EE90F5}</author>
    <author>tc={C9A65E3C-9E1B-424D-B795-E7B1F83458BF}</author>
  </authors>
  <commentList>
    <comment ref="B2" authorId="0" shapeId="0" xr:uid="{2BED2C97-E6D2-495D-81B4-CD156409A71B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sacar de "Evaluacion_sheet_consensuado_CR3"
</t>
      </text>
    </comment>
    <comment ref="D2" authorId="1" shapeId="0" xr:uid="{7961ECB2-43F1-4E78-835B-A9FB941078A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sacar de "6 - Datos / Datos Self-efficacy / dataset_23_06_2025_06.40_vCleanedHashed_ANOTACIONES_excel"
</t>
      </text>
    </comment>
    <comment ref="G2" authorId="2" shapeId="0" xr:uid="{1BFDC824-F5AA-41AC-892C-3E5A327C97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Código (Usando librería Radon)</t>
      </text>
    </comment>
    <comment ref="H2" authorId="3" shapeId="0" xr:uid="{065F3E81-72B9-41BF-AE24-3CA47664B41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Comentarios (Usando librería Radon)</t>
      </text>
    </comment>
    <comment ref="I2" authorId="4" shapeId="0" xr:uid="{267F591D-CE24-44FF-85B1-CC5D18A0DD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Número de funciones(Usando librería Radon)</t>
      </text>
    </comment>
    <comment ref="J2" authorId="5" shapeId="0" xr:uid="{96750BFE-0996-4045-804E-F8F7A83253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External Reuse Level(Calculado con formula E/L)
E: el total de items de repositorios externos (librerías o módulos)
L = el número total de lower level items (en este caso el total de líneas de código LOC)</t>
      </text>
    </comment>
    <comment ref="K2" authorId="6" shapeId="0" xr:uid="{F478B806-0DDA-4721-A78E-84E8C723F5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Internal Reuse Level (IRL): IRL = M / L
M: el número total de items no externos que son usados más de una vez (funciones y métodos)
L = el número total de lower level items (en este caso el total de líneas de código LOC)</t>
      </text>
    </comment>
    <comment ref="L2" authorId="7" shapeId="0" xr:uid="{442C733E-F9E7-4627-95F7-FD93C679AEE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Replicación de Código (ERL+IRL)</t>
      </text>
    </comment>
    <comment ref="M2" authorId="8" shapeId="0" xr:uid="{0C7F462B-5431-4266-8A52-10511139D4F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Complejidad Ciclomática (Usando librería Radon)</t>
      </text>
    </comment>
    <comment ref="N2" authorId="9" shapeId="0" xr:uid="{3949195B-79B6-4825-9D72-D73713F402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Tamaño promedio por función LoCode/NoFunctions</t>
      </text>
    </comment>
    <comment ref="O2" authorId="10" shapeId="0" xr:uid="{FA69C272-EDE2-49D7-85DE-BD0A089583D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duplicación de código</t>
      </text>
    </comment>
    <comment ref="R2" authorId="11" shapeId="0" xr:uid="{74C07119-5D01-4654-A65F-83270AF1F4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Tamaño Promedio de Función o Método</t>
      </text>
    </comment>
    <comment ref="S2" authorId="12" shapeId="0" xr:uid="{79AAE0B0-BDE8-441C-B03A-D148A51EE58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calcula usando el Jaccard Similarity</t>
      </text>
    </comment>
    <comment ref="U2" authorId="13" shapeId="0" xr:uid="{43C10A40-BF15-4F0E-BC5C-17E2BEFBD5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Claridad de Código</t>
      </text>
    </comment>
    <comment ref="V2" authorId="14" shapeId="0" xr:uid="{CE918725-8B6E-4291-A7A4-AE136F43D0C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Control de Complejidad</t>
      </text>
    </comment>
    <comment ref="Y2" authorId="15" shapeId="0" xr:uid="{D9D085FA-286A-4A2D-8766-230C56EE90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Normalización de Nombres(Usando script propio)</t>
      </text>
    </comment>
    <comment ref="L56" authorId="16" shapeId="0" xr:uid="{C9A65E3C-9E1B-424D-B795-E7B1F83458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tabla es únicamente para actualizar datos de la documentación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<sst xmlns="http://schemas.openxmlformats.org/spreadsheetml/2006/main" count="757" uniqueCount="140">
  <si>
    <t>ABSTRACCIÓN</t>
  </si>
  <si>
    <t>Pensamiento algorítmico</t>
  </si>
  <si>
    <t>Representación de datos</t>
  </si>
  <si>
    <t>Carnet</t>
  </si>
  <si>
    <t>Clasificación</t>
  </si>
  <si>
    <t>Comentarios</t>
  </si>
  <si>
    <t>LoCode</t>
  </si>
  <si>
    <t>LoComments</t>
  </si>
  <si>
    <t>NoFunctions</t>
  </si>
  <si>
    <t>ERL</t>
  </si>
  <si>
    <t>IRL</t>
  </si>
  <si>
    <t>IRC</t>
  </si>
  <si>
    <t>IRC_ctr</t>
  </si>
  <si>
    <t>CC</t>
  </si>
  <si>
    <t>CC_ctr</t>
  </si>
  <si>
    <t>TPFM</t>
  </si>
  <si>
    <t>TPFM_ctr</t>
  </si>
  <si>
    <t>IDC</t>
  </si>
  <si>
    <t>IDC_ctr</t>
  </si>
  <si>
    <t>PROMEDIO</t>
  </si>
  <si>
    <t>GROUP (P)</t>
  </si>
  <si>
    <t>COSINE</t>
  </si>
  <si>
    <t>max_euclidean</t>
  </si>
  <si>
    <t>EUCLIDEAN</t>
  </si>
  <si>
    <t>COSINE_ctr</t>
  </si>
  <si>
    <t>max_euclidean_ctr</t>
  </si>
  <si>
    <t>EUCLIDEAN_ctr</t>
  </si>
  <si>
    <t xml:space="preserve">GROUP (E) </t>
  </si>
  <si>
    <t>Valor general</t>
  </si>
  <si>
    <t>Nivel de abstracción</t>
  </si>
  <si>
    <t>ITPFM</t>
  </si>
  <si>
    <t>Coherencia en nomenclatura</t>
  </si>
  <si>
    <t>Comentarios2</t>
  </si>
  <si>
    <t>ICLC</t>
  </si>
  <si>
    <t>ICC</t>
  </si>
  <si>
    <t>Valor general2</t>
  </si>
  <si>
    <t>Nivel de PA</t>
  </si>
  <si>
    <t>INN</t>
  </si>
  <si>
    <t>Nivel de RD</t>
  </si>
  <si>
    <t>Valor general de PC</t>
  </si>
  <si>
    <t>Nivel</t>
  </si>
  <si>
    <t>MODELO</t>
  </si>
  <si>
    <t>Buena</t>
  </si>
  <si>
    <t>Excelente solución</t>
  </si>
  <si>
    <t>Mala</t>
  </si>
  <si>
    <t>No sirve como debería.</t>
  </si>
  <si>
    <t>Regular</t>
  </si>
  <si>
    <t>If innecesarios</t>
  </si>
  <si>
    <t>Mucho código innecesario</t>
  </si>
  <si>
    <t>Hay código innecesario</t>
  </si>
  <si>
    <t>No recibe la lista de parámetro, está alambrado dentro de la función</t>
  </si>
  <si>
    <t>No funciona</t>
  </si>
  <si>
    <t>Hay muchas funciones innecesarias</t>
  </si>
  <si>
    <t>Uso innecesario de variables globales, contadores innecesarios, mala estandarización de nombres</t>
  </si>
  <si>
    <t>Variables innecesarias</t>
  </si>
  <si>
    <t>No funciona, mala indentación</t>
  </si>
  <si>
    <t>Umbral</t>
  </si>
  <si>
    <t>Cuartil 1</t>
  </si>
  <si>
    <t xml:space="preserve">MAX </t>
  </si>
  <si>
    <t>Cuartil 2</t>
  </si>
  <si>
    <t xml:space="preserve">MIN </t>
  </si>
  <si>
    <t>Cuartil 3</t>
  </si>
  <si>
    <t xml:space="preserve">Avrg </t>
  </si>
  <si>
    <t>Promedio</t>
  </si>
  <si>
    <t>Stnd Div</t>
  </si>
  <si>
    <t>Desv Std</t>
  </si>
  <si>
    <t>Coeficiente de varianza</t>
  </si>
  <si>
    <t>Alto</t>
  </si>
  <si>
    <t>Medio</t>
  </si>
  <si>
    <t>Bajo</t>
  </si>
  <si>
    <t>25th</t>
  </si>
  <si>
    <t>Cant</t>
  </si>
  <si>
    <t>50th</t>
  </si>
  <si>
    <t>r</t>
  </si>
  <si>
    <t>75th</t>
  </si>
  <si>
    <t>33rd</t>
  </si>
  <si>
    <t>66th</t>
  </si>
  <si>
    <t>group 1</t>
  </si>
  <si>
    <t>group 2</t>
  </si>
  <si>
    <t>group 3</t>
  </si>
  <si>
    <t>Solucion Modelo</t>
  </si>
  <si>
    <t>Avrg.</t>
  </si>
  <si>
    <t>IPTFM</t>
  </si>
  <si>
    <t>Excelente solución.</t>
  </si>
  <si>
    <t>No completada.</t>
  </si>
  <si>
    <t>No ejecuta.</t>
  </si>
  <si>
    <t>Buen uso de recursión, pasa todos los test excepto cuando la cadena está vacía.</t>
  </si>
  <si>
    <t>Buen uso de recursión, pasa todos los test.</t>
  </si>
  <si>
    <t>Buena solución, pero usa ciclos. Pasa todos los test excepto cuando la cadena está vacía.</t>
  </si>
  <si>
    <t>Tiene un error cuando ya la letra se había usado antes, pero buen uso de recursión.</t>
  </si>
  <si>
    <t>MAX</t>
  </si>
  <si>
    <t>MIN</t>
  </si>
  <si>
    <t>Avrg</t>
  </si>
  <si>
    <t>Buena solucion</t>
  </si>
  <si>
    <t>Imprime todos los candidatos</t>
  </si>
  <si>
    <t>Solo cuenta votos y no imprime ni retorna nada</t>
  </si>
  <si>
    <t>Imprime todos los votos</t>
  </si>
  <si>
    <t>Pide las palabras, no utiliza funcion.</t>
  </si>
  <si>
    <t>funciona de manera correcta</t>
  </si>
  <si>
    <t>No sirve.</t>
  </si>
  <si>
    <t>Pide las palabras, no recibe lista</t>
  </si>
  <si>
    <t>Imprime todos los votos, pero si imprime solo a los candidatos con más de 4000 votos</t>
  </si>
  <si>
    <t>Solucion eficiente, tiene una funcion para generar votos</t>
  </si>
  <si>
    <t>Solucion muy ineficiente recorre la lista de candidatos  5 veces</t>
  </si>
  <si>
    <t xml:space="preserve">Imprime a todos los candidatos </t>
  </si>
  <si>
    <t>Buena Solucion</t>
  </si>
  <si>
    <t>Buena solucion, tiene muchas funciones</t>
  </si>
  <si>
    <t>Imprime a todos los candidatos y la cantidad de votos de cada uno</t>
  </si>
  <si>
    <t>Buena solución</t>
  </si>
  <si>
    <t>Bunea solucion</t>
  </si>
  <si>
    <t>Codigo innecesario</t>
  </si>
  <si>
    <t>No los imprime, solo los retorna</t>
  </si>
  <si>
    <t>Buena solucion, aunque tambien los imprime a todos, especifica los que tienen mas de 4000</t>
  </si>
  <si>
    <t>Buena solucion, pero solo deja si hay mas de 9999 votos</t>
  </si>
  <si>
    <t>No filtra a los candidatos con más de 4000 votos</t>
  </si>
  <si>
    <t>Mal hecha la función</t>
  </si>
  <si>
    <t>Solucion modelo</t>
  </si>
  <si>
    <t>Excelente</t>
  </si>
  <si>
    <t>Ciclos innecesarios</t>
  </si>
  <si>
    <t>No completado</t>
  </si>
  <si>
    <t>No sirve como debería</t>
  </si>
  <si>
    <t>No ejecuta</t>
  </si>
  <si>
    <t>No completado, le quité lo del final y le puse : para poder sacar las métricas</t>
  </si>
  <si>
    <t>Uso excesivo de estructuras condicionales</t>
  </si>
  <si>
    <t>No cumple con todas las condiciones</t>
  </si>
  <si>
    <t>Se encicla</t>
  </si>
  <si>
    <t>No es enfocada a la eficiencia sino a la usabilidad</t>
  </si>
  <si>
    <t>Uso de doble ciclo</t>
  </si>
  <si>
    <t>No funciona como deberia, no dice cual jugador gano</t>
  </si>
  <si>
    <t>funciona pero hace procedimientos en fuera de funcion</t>
  </si>
  <si>
    <t>=SI([@M2]&lt; $D$49; "Alto"; SI([@M2]&lt; $D$51; "Medio"; "Bajo"))</t>
  </si>
  <si>
    <t>Ejercicio1</t>
  </si>
  <si>
    <t>Ejercicio 2</t>
  </si>
  <si>
    <t>No imprime a los candidatos</t>
  </si>
  <si>
    <t>Ejercicio 3</t>
  </si>
  <si>
    <t>Clasificación_valor</t>
  </si>
  <si>
    <t>Clasificación_asistentes</t>
  </si>
  <si>
    <t>Nivel_Abstracción_MANUAL profes</t>
  </si>
  <si>
    <t>Nivel_Abstracción_ENCUESTA Inke</t>
  </si>
  <si>
    <t>Evaluación 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</si>
</sst>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  <font>
      <sz val="11"/>
      <color rgb="FF000000"/>
      <name val="Aptos Narrow"/>
      <family val="2"/>
      <scheme val="minor"/>
    </font>
    <font>
      <b/>
      <sz val="12"/>
      <color theme="0"/>
      <name val="Aptos Display"/>
      <family val="2"/>
      <scheme val="major"/>
    </font>
    <font>
      <sz val="11"/>
      <color rgb="FF242424"/>
      <name val="Aptos Narrow"/>
      <family val="2"/>
    </font>
    <font>
      <sz val="11"/>
      <color theme="1"/>
      <name val="Aptos Narrow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0" borderId="0" xfId="0" applyNumberFormat="1"/>
    <xf numFmtId="2" fontId="0" fillId="3" borderId="0" xfId="0" applyNumberFormat="1" applyFill="1"/>
    <xf numFmtId="0" fontId="0" fillId="7" borderId="0" xfId="0" applyFill="1"/>
    <xf numFmtId="2" fontId="0" fillId="5" borderId="0" xfId="0" applyNumberFormat="1" applyFill="1"/>
    <xf numFmtId="0" fontId="0" fillId="8" borderId="0" xfId="0" applyFill="1"/>
    <xf numFmtId="0" fontId="0" fillId="9" borderId="0" xfId="0" quotePrefix="1" applyFill="1"/>
    <xf numFmtId="0" fontId="0" fillId="10" borderId="0" xfId="0" applyFill="1"/>
    <xf numFmtId="0" fontId="3" fillId="11" borderId="2" xfId="0" applyFont="1" applyFill="1" applyBorder="1"/>
    <xf numFmtId="0" fontId="0" fillId="12" borderId="0" xfId="0" applyFill="1"/>
    <xf numFmtId="2" fontId="0" fillId="12" borderId="0" xfId="0" applyNumberFormat="1" applyFill="1"/>
    <xf numFmtId="2" fontId="3" fillId="11" borderId="2" xfId="0" applyNumberFormat="1" applyFont="1" applyFill="1" applyBorder="1"/>
    <xf numFmtId="0" fontId="0" fillId="12" borderId="0" xfId="0" quotePrefix="1" applyFill="1"/>
    <xf numFmtId="0" fontId="0" fillId="13" borderId="0" xfId="0" quotePrefix="1" applyFill="1"/>
    <xf numFmtId="0" fontId="0" fillId="13" borderId="0" xfId="0" applyFill="1"/>
    <xf numFmtId="0" fontId="0" fillId="13" borderId="0" xfId="0" applyFill="1" applyAlignment="1">
      <alignment wrapText="1"/>
    </xf>
    <xf numFmtId="2" fontId="0" fillId="13" borderId="0" xfId="0" applyNumberFormat="1" applyFill="1"/>
    <xf numFmtId="0" fontId="0" fillId="14" borderId="0" xfId="0" applyFill="1"/>
    <xf numFmtId="2" fontId="1" fillId="0" borderId="0" xfId="0" applyNumberFormat="1" applyFont="1"/>
    <xf numFmtId="2" fontId="0" fillId="7" borderId="0" xfId="0" applyNumberFormat="1" applyFill="1"/>
    <xf numFmtId="2" fontId="0" fillId="8" borderId="0" xfId="0" applyNumberFormat="1" applyFill="1"/>
    <xf numFmtId="0" fontId="2" fillId="0" borderId="0" xfId="0" quotePrefix="1" applyFont="1"/>
    <xf numFmtId="0" fontId="2" fillId="0" borderId="0" xfId="0" applyFont="1"/>
    <xf numFmtId="2" fontId="2" fillId="0" borderId="0" xfId="0" applyNumberFormat="1" applyFont="1"/>
    <xf numFmtId="0" fontId="0" fillId="15" borderId="0" xfId="0" quotePrefix="1" applyFill="1"/>
    <xf numFmtId="0" fontId="0" fillId="15" borderId="0" xfId="0" applyFill="1"/>
    <xf numFmtId="2" fontId="0" fillId="15" borderId="0" xfId="0" applyNumberFormat="1" applyFill="1"/>
    <xf numFmtId="0" fontId="0" fillId="15" borderId="0" xfId="0" applyFill="1" applyAlignment="1">
      <alignment wrapText="1"/>
    </xf>
    <xf numFmtId="0" fontId="2" fillId="12" borderId="0" xfId="0" applyFont="1" applyFill="1"/>
    <xf numFmtId="0" fontId="2" fillId="12" borderId="0" xfId="0" applyFont="1" applyFill="1" applyAlignment="1">
      <alignment wrapText="1"/>
    </xf>
    <xf numFmtId="2" fontId="2" fillId="12" borderId="0" xfId="0" applyNumberFormat="1" applyFont="1" applyFill="1"/>
    <xf numFmtId="0" fontId="2" fillId="13" borderId="0" xfId="0" quotePrefix="1" applyFont="1" applyFill="1"/>
    <xf numFmtId="0" fontId="2" fillId="13" borderId="0" xfId="0" applyFont="1" applyFill="1"/>
    <xf numFmtId="2" fontId="2" fillId="13" borderId="0" xfId="0" applyNumberFormat="1" applyFont="1" applyFill="1"/>
    <xf numFmtId="0" fontId="2" fillId="15" borderId="0" xfId="0" quotePrefix="1" applyFont="1" applyFill="1"/>
    <xf numFmtId="0" fontId="2" fillId="15" borderId="0" xfId="0" applyFont="1" applyFill="1"/>
    <xf numFmtId="2" fontId="2" fillId="15" borderId="0" xfId="0" applyNumberFormat="1" applyFont="1" applyFill="1"/>
    <xf numFmtId="0" fontId="0" fillId="13" borderId="1" xfId="0" quotePrefix="1" applyFill="1" applyBorder="1"/>
    <xf numFmtId="0" fontId="0" fillId="16" borderId="0" xfId="0" quotePrefix="1" applyFill="1"/>
    <xf numFmtId="0" fontId="0" fillId="16" borderId="0" xfId="0" applyFill="1"/>
    <xf numFmtId="2" fontId="0" fillId="16" borderId="0" xfId="0" applyNumberFormat="1" applyFill="1"/>
    <xf numFmtId="0" fontId="0" fillId="16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0" borderId="3" xfId="0" applyBorder="1"/>
    <xf numFmtId="2" fontId="0" fillId="2" borderId="0" xfId="0" applyNumberFormat="1" applyFill="1"/>
    <xf numFmtId="2" fontId="1" fillId="17" borderId="0" xfId="0" applyNumberFormat="1" applyFont="1" applyFill="1"/>
    <xf numFmtId="2" fontId="1" fillId="18" borderId="0" xfId="0" applyNumberFormat="1" applyFont="1" applyFill="1"/>
    <xf numFmtId="0" fontId="0" fillId="19" borderId="0" xfId="0" applyFill="1"/>
    <xf numFmtId="2" fontId="0" fillId="19" borderId="0" xfId="0" applyNumberFormat="1" applyFill="1"/>
    <xf numFmtId="2" fontId="1" fillId="18" borderId="0" xfId="0" applyNumberFormat="1" applyFont="1" applyFill="1" applyAlignment="1">
      <alignment wrapText="1"/>
    </xf>
    <xf numFmtId="2" fontId="1" fillId="10" borderId="0" xfId="0" applyNumberFormat="1" applyFont="1" applyFill="1" applyAlignment="1">
      <alignment wrapText="1"/>
    </xf>
    <xf numFmtId="2" fontId="1" fillId="20" borderId="0" xfId="0" applyNumberFormat="1" applyFont="1" applyFill="1" applyAlignment="1">
      <alignment wrapText="1"/>
    </xf>
    <xf numFmtId="2" fontId="0" fillId="21" borderId="0" xfId="0" applyNumberFormat="1" applyFill="1"/>
    <xf numFmtId="2" fontId="0" fillId="0" borderId="4" xfId="0" applyNumberFormat="1" applyBorder="1"/>
    <xf numFmtId="0" fontId="0" fillId="7" borderId="5" xfId="0" applyFill="1" applyBorder="1"/>
    <xf numFmtId="0" fontId="0" fillId="0" borderId="5" xfId="0" applyBorder="1"/>
    <xf numFmtId="2" fontId="0" fillId="0" borderId="5" xfId="0" applyNumberFormat="1" applyBorder="1"/>
    <xf numFmtId="2" fontId="0" fillId="0" borderId="6" xfId="0" applyNumberFormat="1" applyBorder="1"/>
    <xf numFmtId="0" fontId="0" fillId="7" borderId="7" xfId="0" applyFill="1" applyBorder="1"/>
    <xf numFmtId="2" fontId="0" fillId="0" borderId="8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10" xfId="0" applyBorder="1"/>
    <xf numFmtId="2" fontId="0" fillId="0" borderId="11" xfId="0" applyNumberFormat="1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0" fillId="0" borderId="9" xfId="0" applyBorder="1"/>
    <xf numFmtId="1" fontId="0" fillId="12" borderId="0" xfId="0" applyNumberFormat="1" applyFill="1"/>
    <xf numFmtId="1" fontId="0" fillId="0" borderId="0" xfId="0" applyNumberFormat="1"/>
    <xf numFmtId="1" fontId="0" fillId="15" borderId="0" xfId="0" applyNumberFormat="1" applyFill="1"/>
    <xf numFmtId="0" fontId="1" fillId="15" borderId="0" xfId="0" applyFont="1" applyFill="1"/>
    <xf numFmtId="0" fontId="1" fillId="12" borderId="3" xfId="0" applyFont="1" applyFill="1" applyBorder="1"/>
    <xf numFmtId="0" fontId="1" fillId="12" borderId="0" xfId="0" applyFont="1" applyFill="1"/>
    <xf numFmtId="2" fontId="1" fillId="12" borderId="0" xfId="0" applyNumberFormat="1" applyFont="1" applyFill="1"/>
    <xf numFmtId="1" fontId="1" fillId="12" borderId="0" xfId="0" applyNumberFormat="1" applyFont="1" applyFill="1"/>
    <xf numFmtId="0" fontId="4" fillId="12" borderId="0" xfId="0" applyFont="1" applyFill="1"/>
    <xf numFmtId="0" fontId="5" fillId="12" borderId="0" xfId="0" applyFont="1" applyFill="1"/>
    <xf numFmtId="2" fontId="5" fillId="12" borderId="0" xfId="0" applyNumberFormat="1" applyFont="1" applyFill="1"/>
    <xf numFmtId="0" fontId="1" fillId="0" borderId="0" xfId="0" applyFont="1" applyAlignment="1">
      <alignment wrapText="1"/>
    </xf>
    <xf numFmtId="0" fontId="3" fillId="11" borderId="2" xfId="0" applyFont="1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1"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numFmt numFmtId="1" formatCode="0"/>
    </dxf>
    <dxf>
      <border diagonalUp="0" diagonalDown="0" outline="0">
        <left/>
        <right/>
        <top/>
        <bottom/>
      </border>
    </dxf>
    <dxf>
      <numFmt numFmtId="1" formatCode="0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s.rojas@estudiantec.cr" id="{0F501E56-C0A0-AD41-BE6C-8BDA380D57F8}" userId="S::urn:spo:guest#es.rojas@estudiantec.cr::" providerId="AD"/>
  <person displayName="Isaac Alpízar Chacón" id="{21DC54F4-5706-8647-9EDA-3E7E0FD1DB3B}" userId="S::ialpizar@itcr.ac.cr::9b232359-1754-4649-b654-9a9ddfb51598" providerId="AD"/>
  <person displayName="HARLEN DANIEL QUIROS GOMEZ" id="{CA6F44C7-3704-48A1-8AA1-AE1F0A9F0032}" userId="S::hquiros_estudiantec.cr#ext#@tecnube1.onmicrosoft.com::a4633bea-0fca-42a2-9277-a288059978e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637E80-4164-4443-A4EB-25EDA14E8779}" name="Tabla135" displayName="Tabla135" ref="A2:AP48" totalsRowShown="0" headerRowDxfId="150">
  <autoFilter ref="A2:AP48" xr:uid="{88A4A5F1-8909-456D-BD8D-F726CDF06316}"/>
  <sortState xmlns:xlrd2="http://schemas.microsoft.com/office/spreadsheetml/2017/richdata2" ref="A3:G48">
    <sortCondition ref="A2:A48"/>
  </sortState>
  <tableColumns count="42">
    <tableColumn id="1" xr3:uid="{5D6ED216-8798-E84F-AF9F-28EDADAEF90C}" name="Carnet" dataDxfId="149"/>
    <tableColumn id="40" xr3:uid="{914BB665-48F1-0540-A067-95C9C6EA0D54}" name="Nivel_Abstracción_MANUAL profes"/>
    <tableColumn id="42" xr3:uid="{218D02FA-CF2B-43B0-9DB5-D51ADA8E409A}" name="Evaluación SOLO"/>
    <tableColumn id="41" xr3:uid="{F64AC06B-B4D3-0647-8A0F-FC763A8283F2}" name="Nivel_Abstracción_ENCUESTA Inke"/>
    <tableColumn id="2" xr3:uid="{17E6DE15-912A-2140-A696-B77C2EA9338B}" name="Clasificación_asistentes"/>
    <tableColumn id="27" xr3:uid="{4F7C0829-FA47-944B-A2BE-A50A58E33578}" name="Clasificación_valor"/>
    <tableColumn id="3" xr3:uid="{927924D6-3190-1D4A-A5ED-931840FC64E0}" name="Comentarios"/>
    <tableColumn id="4" xr3:uid="{1C2D1D6F-D52C-2644-B3C6-4D2F113D2CE5}" name="LoCode"/>
    <tableColumn id="5" xr3:uid="{39A51FFC-6B54-3F43-A875-AB0E2BC75F1E}" name="LoComments"/>
    <tableColumn id="6" xr3:uid="{57B57CF4-F482-B64F-B4F6-19127C2ED468}" name="NoFunctions"/>
    <tableColumn id="7" xr3:uid="{B014EF63-99FD-C647-A64B-19EB36D55455}" name="ERL" dataDxfId="148"/>
    <tableColumn id="8" xr3:uid="{86836B3C-96CC-D145-A52D-899C044CD5DE}" name="IRL" dataDxfId="147"/>
    <tableColumn id="9" xr3:uid="{38196A65-1345-E74C-BC95-DE6C63305A33}" name="IRC" dataDxfId="146">
      <calculatedColumnFormula>Tabla135[[#This Row],[ERL]]+Tabla135[[#This Row],[IRL]]</calculatedColumnFormula>
    </tableColumn>
    <tableColumn id="28" xr3:uid="{ABDD170D-2950-9A41-BBC6-7E91E5A91F6D}" name="IRC_ctr" dataDxfId="145">
      <calculatedColumnFormula>1-ABS(M3-$M$3)/MAX(ABS($M$3-MIN($M$4:$M$48)),ABS($M$3-MAX($M$4:$M$48)))</calculatedColumnFormula>
    </tableColumn>
    <tableColumn id="10" xr3:uid="{52AAA408-8C2F-FB4F-8B2C-CC12E6C0CA4B}" name="CC" dataDxfId="144"/>
    <tableColumn id="29" xr3:uid="{E51301D4-86B0-074F-8A2D-78824272BD15}" name="CC_ctr" dataDxfId="143">
      <calculatedColumnFormula>1 - ABS(O3 - $O$3) / MAX(ABS($O$3 - MIN($O$4:$O$48)), ABS($O$3 - MAX($O$4:$O$48)))</calculatedColumnFormula>
    </tableColumn>
    <tableColumn id="11" xr3:uid="{75E4D573-91C4-AA48-97FF-A0B7EC11D03C}" name="TPFM" dataDxfId="142">
      <calculatedColumnFormula>Tabla135[[#This Row],[LoCode]]/Tabla135[[#This Row],[NoFunctions]]</calculatedColumnFormula>
    </tableColumn>
    <tableColumn id="30" xr3:uid="{B3EEE855-548F-F041-8AF4-2B716919135B}" name="TPFM_ctr" dataDxfId="141">
      <calculatedColumnFormula>1 - ABS(Q3 - $Q$3) / MAX(ABS($Q$3 - MIN($Q$4:$Q$48)), ABS($Q$3 - MAX($Q$4:$Q$48)))</calculatedColumnFormula>
    </tableColumn>
    <tableColumn id="12" xr3:uid="{FE6B73B0-4660-854F-A690-B6AE30BC14BF}" name="IDC" dataDxfId="140"/>
    <tableColumn id="31" xr3:uid="{C075E3E8-3183-D74F-850B-129AD02D39EF}" name="IDC_ctr" dataDxfId="139">
      <calculatedColumnFormula>1 - ABS(S3 - $S$3) / MAX(ABS($S$3 - MIN($S$4:$S$48)), ABS($S$3 - MAX($S$4:$S$48)))</calculatedColumnFormula>
    </tableColumn>
    <tableColumn id="32" xr3:uid="{CBABEAEC-21DD-ED4F-80B4-442B6C93492D}" name="PROMEDIO" dataDxfId="138">
      <calculatedColumnFormula>AVERAGE(N3,P3,R3,T3)</calculatedColumnFormula>
    </tableColumn>
    <tableColumn id="26" xr3:uid="{54B35BC5-9351-4847-ADEF-DEC328CC12C4}" name="GROUP (P)" dataDxfId="137">
      <calculatedColumnFormula>IF(U3&gt;=$U$63,"Group 1",
   IF(U3&gt;=$U$62,"Group 2","Group 3"))</calculatedColumnFormula>
    </tableColumn>
    <tableColumn id="33" xr3:uid="{C16CA375-C474-034D-88AE-40D924400FF4}" name="COSINE" dataDxfId="136">
      <calculatedColumnFormula>IFERROR(
 (M3*$M$3 + O3*$O$3 + Q3*$Q$3 + S3*$S$3) /
 (SQRT(M3^2+O3^2+Q3^2+S3^2) * SQRT($M$3^2+$O$3^2+$Q$3^2+$S$3^2)),
 "")</calculatedColumnFormula>
    </tableColumn>
    <tableColumn id="35" xr3:uid="{91342CD5-34AD-7547-A068-1637AC795EEA}" name="max_euclidean" dataDxfId="135">
      <calculatedColumnFormula>SQRT(4*(MAX($M$4:$S$48)-MIN($M$4:$S$48))^2)</calculatedColumnFormula>
    </tableColumn>
    <tableColumn id="34" xr3:uid="{A4486990-CD45-8240-96C8-69936537A7C0}" name="EUCLIDEAN" dataDxfId="134">
      <calculatedColumnFormula>1 - SQRT((M3-$M$3)^2 + (O3-$O$3)^2 + (Q3-$Q$3)^2 + (S3-$S$3)^2) / $X$3</calculatedColumnFormula>
    </tableColumn>
    <tableColumn id="36" xr3:uid="{AF77E73C-E41D-154A-B3E1-FB48D8119056}" name="COSINE_ctr" dataDxfId="133">
      <calculatedColumnFormula>IFERROR(
 (N3*$N$3 + P3*$P$3 + R3*$R$3 + T3*$T$3) /
 (SQRT(N3^2+P3^2+R3^2+T3^2) * SQRT($N$3^2+$P$3^2+$R$3^2+$T$3^2)),
"")</calculatedColumnFormula>
    </tableColumn>
    <tableColumn id="38" xr3:uid="{3AFA8BC2-3B32-9640-840C-7CD73DFE41C6}" name="max_euclidean_ctr" dataDxfId="132">
      <calculatedColumnFormula>2</calculatedColumnFormula>
    </tableColumn>
    <tableColumn id="37" xr3:uid="{28C117AF-5E72-474D-B166-D1718BE12C24}" name="EUCLIDEAN_ctr" dataDxfId="131">
      <calculatedColumnFormula>1 -SQRT((N3-$N$3)^2 + (P3-$P$3)^2 + (R3-$R$3)^2 + (T3-$T$3)^2) / $AA$3</calculatedColumnFormula>
    </tableColumn>
    <tableColumn id="39" xr3:uid="{D2E8C326-D1AC-9641-AEF1-B7E9D55A4585}" name="GROUP (E) " dataDxfId="130">
      <calculatedColumnFormula>IF(AB3&gt;=$AA$63,"Group 1",
   IF(AB3&gt;=$AA$62,"Group 2","Group 3"))</calculatedColumnFormula>
    </tableColumn>
    <tableColumn id="13" xr3:uid="{E9D6EC0A-1FD3-8C46-A3D9-B74FCB684FC3}" name="Valor general" dataDxfId="129">
      <calculatedColumnFormula array="1">SUM(Tabla135[[#This Row],[CC]:[IDC]] - Tabla135[[#This Row],[IRC]])</calculatedColumnFormula>
    </tableColumn>
    <tableColumn id="14" xr3:uid="{055F2A43-B8A9-7F4A-9B74-015B1A92199B}" name="Nivel de abstracción" dataDxfId="128">
      <calculatedColumnFormula>IF(AD23 &lt; $K$48, "Alto", IF(AD23 &lt; $K$50, "Medio", "Bajo"))</calculatedColumnFormula>
    </tableColumn>
    <tableColumn id="15" xr3:uid="{63FE1152-E471-D84C-8955-26A0FC6FBB83}" name="ITPFM" dataDxfId="127">
      <calculatedColumnFormula>1-((Tabla135[[#This Row],[TPFM]]-$Q$50) / ($Q$49-$Q$50))</calculatedColumnFormula>
    </tableColumn>
    <tableColumn id="16" xr3:uid="{4394EA25-9300-114C-87D2-FEC3747ABAB3}" name="Coherencia en nomenclatura" dataDxfId="126"/>
    <tableColumn id="17" xr3:uid="{31A1331A-8F8F-6841-9FDD-FDE122D0DA07}" name="Comentarios2" dataDxfId="125"/>
    <tableColumn id="18" xr3:uid="{02E18AF8-0F97-3C47-AB74-6530D7D153AE}" name="ICLC" dataDxfId="124">
      <calculatedColumnFormula>SUM(Tabla135[[#This Row],[ITPFM]:[Comentarios2]])/3</calculatedColumnFormula>
    </tableColumn>
    <tableColumn id="19" xr3:uid="{913193C7-868B-6046-85DF-A0E6AE8D6E2F}" name="ICC" dataDxfId="123">
      <calculatedColumnFormula>Tabla135[[#This Row],[CC]]/$AJ$47</calculatedColumnFormula>
    </tableColumn>
    <tableColumn id="20" xr3:uid="{28407678-14AF-2644-8BCF-23C961B666A4}" name="Valor general2" dataDxfId="122">
      <calculatedColumnFormula>(Tabla135[[#This Row],[ICLC]]+(1-Tabla135[[#This Row],[ICC]]))/2</calculatedColumnFormula>
    </tableColumn>
    <tableColumn id="21" xr3:uid="{B5FE3BBE-42AF-FD4F-B9DE-B05FBF6453F2}" name="Nivel de PA" dataDxfId="121">
      <calculatedColumnFormula>IF(Tabla135[[#This Row],[Valor general2]]&lt; $AJ$49, "Bajo", IF(Tabla135[[#This Row],[Valor general2]]&lt; $AJ$51, "Medio", "Alto"))</calculatedColumnFormula>
    </tableColumn>
    <tableColumn id="22" xr3:uid="{8C26FD12-B63E-8149-9F7D-E0CCE726D76B}" name="INN" dataDxfId="120"/>
    <tableColumn id="23" xr3:uid="{6882A736-4C37-5A4A-A99F-CB656E2C1D92}" name="Nivel de RD" dataDxfId="119">
      <calculatedColumnFormula>IF(Tabla135[[#This Row],[INN]]&lt; $AL$49, "Bajo", IF(Tabla135[[#This Row],[INN]]&lt; $AL$51, "Medio", "Alto"))</calculatedColumnFormula>
    </tableColumn>
    <tableColumn id="24" xr3:uid="{E40BB106-7C35-584A-A041-D69233D9A7ED}" name="Valor general de PC" dataDxfId="118">
      <calculatedColumnFormula>Tabla135[[#This Row],[Valor general]]-Tabla135[[#This Row],[Valor general2]]-Tabla135[[#This Row],[INN]]</calculatedColumnFormula>
    </tableColumn>
    <tableColumn id="25" xr3:uid="{1B26372A-54BE-3746-BDAC-53971415A0BF}" name="Nivel" dataDxfId="117">
      <calculatedColumnFormula>IF(Tabla135[[#This Row],[Valor general de PC]]&lt; $AN$49, "Alto", IF(Tabla135[[#This Row],[Valor general de PC]]&lt; $AN$51, "Medio", "Bajo"))</calculatedColumnFormula>
    </tableColumn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6FC902-025D-48D1-BAC2-E3899BA899F8}" name="Tabla13" displayName="Tabla13" ref="A2:Y48" totalsRowShown="0" headerRowDxfId="116">
  <autoFilter ref="A2:Y48" xr:uid="{88A4A5F1-8909-456D-BD8D-F726CDF06316}"/>
  <sortState xmlns:xlrd2="http://schemas.microsoft.com/office/spreadsheetml/2017/richdata2" ref="A3:C48">
    <sortCondition ref="A2:A48"/>
  </sortState>
  <tableColumns count="25">
    <tableColumn id="1" xr3:uid="{BFCEAE53-10DA-4B04-951C-0522BAEE15C6}" name="Carnet" dataDxfId="115"/>
    <tableColumn id="2" xr3:uid="{77D24329-72E8-4C36-81CA-C5D2425EEA92}" name="Clasificación"/>
    <tableColumn id="3" xr3:uid="{427CD299-B973-4022-91E6-43D92CA05A94}" name="Comentarios"/>
    <tableColumn id="4" xr3:uid="{C755C3D7-D60F-4DB4-B296-AEB8A7AC4E20}" name="LoCode"/>
    <tableColumn id="5" xr3:uid="{17E72BB3-78FA-44D0-BC04-1CCD4A97912F}" name="LoComments"/>
    <tableColumn id="6" xr3:uid="{5E53B3AF-A149-4A50-8C51-3A985B3E3915}" name="NoFunctions"/>
    <tableColumn id="7" xr3:uid="{0CCB5251-D55B-4815-8472-8D76830BD132}" name="ERL" dataDxfId="114"/>
    <tableColumn id="8" xr3:uid="{3488CAA0-5502-48AF-B3A2-25FBE0864474}" name="IRL" dataDxfId="113"/>
    <tableColumn id="9" xr3:uid="{DAEC9C4D-FA05-4472-BAAB-4207919FC695}" name="IRC" dataDxfId="112">
      <calculatedColumnFormula>Tabla13[[#This Row],[ERL]]+Tabla13[[#This Row],[IRL]]</calculatedColumnFormula>
    </tableColumn>
    <tableColumn id="10" xr3:uid="{B3BCCA85-588D-4F7A-B8EB-85BF26D6BB73}" name="CC" dataDxfId="111"/>
    <tableColumn id="11" xr3:uid="{8AB6E84F-370E-494B-91C4-83F42FEDE2E9}" name="TPFM" dataDxfId="110">
      <calculatedColumnFormula>Tabla13[[#This Row],[LoCode]]/Tabla13[[#This Row],[NoFunctions]]</calculatedColumnFormula>
    </tableColumn>
    <tableColumn id="12" xr3:uid="{19A9F5B6-2BCF-4330-A399-83A1B086E127}" name="IDC" dataDxfId="109"/>
    <tableColumn id="13" xr3:uid="{9037D444-328B-408C-A3E0-272E5CBF64F7}" name="Valor general" dataDxfId="108">
      <calculatedColumnFormula array="1">SUM(Tabla13[[#This Row],[CC]:[IDC]] - Tabla13[[#This Row],[IRC]])</calculatedColumnFormula>
    </tableColumn>
    <tableColumn id="14" xr3:uid="{F5FE1E32-0AFB-4F1A-B098-7F83BC594B6B}" name="Nivel de abstracción" dataDxfId="107">
      <calculatedColumnFormula>IF(M23 &lt; $G$48, "Alto", IF(M23 &lt; $G$50, "Medio", "Bajo"))</calculatedColumnFormula>
    </tableColumn>
    <tableColumn id="15" xr3:uid="{C4B16A55-CD55-4A63-AA1B-C7D2E0A928B7}" name="ITPFM" dataDxfId="106">
      <calculatedColumnFormula>1-((Tabla13[[#This Row],[TPFM]]-$K$50) / ($K$49-$K$50))</calculatedColumnFormula>
    </tableColumn>
    <tableColumn id="16" xr3:uid="{B4E87BF2-5BD8-49FE-B259-BACEEEC8354E}" name="Coherencia en nomenclatura" dataDxfId="105"/>
    <tableColumn id="17" xr3:uid="{A19A3609-C370-4818-B651-6FE3BB41A506}" name="Comentarios2" dataDxfId="104"/>
    <tableColumn id="18" xr3:uid="{56CDA073-2F27-4E53-976B-D1E654C3F519}" name="ICLC" dataDxfId="103">
      <calculatedColumnFormula>SUM(Tabla13[[#This Row],[ITPFM]:[Comentarios2]])/3</calculatedColumnFormula>
    </tableColumn>
    <tableColumn id="19" xr3:uid="{A95D6D4E-52AB-4FFD-A6ED-B5344C917A34}" name="ICC" dataDxfId="102">
      <calculatedColumnFormula>Tabla13[[#This Row],[CC]]/$S$47</calculatedColumnFormula>
    </tableColumn>
    <tableColumn id="20" xr3:uid="{F07E2ECB-DEAE-4627-AFDB-A23F8BC005DE}" name="Valor general2" dataDxfId="101">
      <calculatedColumnFormula>(Tabla13[[#This Row],[ICLC]]+(1-Tabla13[[#This Row],[ICC]]))/2</calculatedColumnFormula>
    </tableColumn>
    <tableColumn id="21" xr3:uid="{5683077C-FB45-4DBD-AB82-1DFC18192B65}" name="Nivel de PA" dataDxfId="100">
      <calculatedColumnFormula>IF(Tabla13[[#This Row],[Valor general2]]&lt; $T$49, "Bajo", IF(Tabla13[[#This Row],[Valor general2]]&lt; $T$51, "Medio", "Alto"))</calculatedColumnFormula>
    </tableColumn>
    <tableColumn id="22" xr3:uid="{A0610A88-B81E-4B79-9F83-60D3B472724F}" name="INN" dataDxfId="99"/>
    <tableColumn id="23" xr3:uid="{7C8D82C5-8EE0-48F9-87F6-DD9F14B7572F}" name="Nivel de RD" dataDxfId="98">
      <calculatedColumnFormula>IF(Tabla13[[#This Row],[INN]]&lt; $V$49, "Bajo", IF(Tabla13[[#This Row],[INN]]&lt; $V$51, "Medio", "Alto"))</calculatedColumnFormula>
    </tableColumn>
    <tableColumn id="24" xr3:uid="{46C94FAA-F269-452E-8D7A-9BF5DBCCC008}" name="Valor general de PC" dataDxfId="97">
      <calculatedColumnFormula>Tabla13[[#This Row],[Valor general]]-Tabla13[[#This Row],[Valor general2]]-Tabla13[[#This Row],[INN]]</calculatedColumnFormula>
    </tableColumn>
    <tableColumn id="25" xr3:uid="{25ADD77C-A8E0-40C1-A218-698A371519F1}" name="Nivel" dataDxfId="96">
      <calculatedColumnFormula>IF(Tabla13[[#This Row],[Valor general de PC]]&lt; $X$49, "Alto", IF(Tabla13[[#This Row],[Valor general de PC]]&lt; $X$51, "Medio", "Bajo"))</calculatedColumnFormula>
    </tableColumn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4A5F1-8909-456D-BD8D-F726CDF06316}" name="Tabla1" displayName="Tabla1" ref="A2:AB48" totalsRowShown="0" headerRowDxfId="95">
  <autoFilter ref="A2:AB48" xr:uid="{88A4A5F1-8909-456D-BD8D-F726CDF06316}"/>
  <sortState xmlns:xlrd2="http://schemas.microsoft.com/office/spreadsheetml/2017/richdata2" ref="A3:F48">
    <sortCondition ref="A2:A48"/>
  </sortState>
  <tableColumns count="28">
    <tableColumn id="1" xr3:uid="{56D3F157-C556-409A-81B8-8A57755A627D}" name="Carnet" dataDxfId="94" totalsRowDxfId="93"/>
    <tableColumn id="28" xr3:uid="{1E997523-71CD-43E9-9116-C9A74FB868D5}" name="Nivel_Abstracción_MANUAL profes" totalsRowDxfId="92"/>
    <tableColumn id="27" xr3:uid="{04D7FEEF-8BC1-4CB4-A902-B21E26B6B343}" name="Evaluación SOLO" totalsRowDxfId="91"/>
    <tableColumn id="26" xr3:uid="{D9CF57D0-036D-4FB8-A3BC-0A61EB0DD29C}" name="Nivel_Abstracción_ENCUESTA Inke" totalsRowDxfId="90"/>
    <tableColumn id="2" xr3:uid="{5AAF512F-6400-45ED-ACA0-7F4FEBC6E15E}" name="Clasificación" totalsRowDxfId="89"/>
    <tableColumn id="3" xr3:uid="{565BCD26-F575-4A88-942B-389A73A9982E}" name="Comentarios" totalsRowDxfId="88"/>
    <tableColumn id="4" xr3:uid="{C96BC0C6-9D9F-412D-BEA9-6FDD747E46B1}" name="LoCode" dataDxfId="87" totalsRowDxfId="86"/>
    <tableColumn id="5" xr3:uid="{4CE3ADE3-AC86-4D70-9EC0-D3306CDD0397}" name="LoComments" dataDxfId="85" totalsRowDxfId="84"/>
    <tableColumn id="6" xr3:uid="{7743901C-5A51-4952-B0B4-6BD99AA1A8A6}" name="NoFunctions" dataDxfId="83" totalsRowDxfId="82"/>
    <tableColumn id="7" xr3:uid="{1E1D651B-4DBF-4627-B1A9-86D9F0812AD5}" name="ERL" dataDxfId="81" totalsRowDxfId="80"/>
    <tableColumn id="8" xr3:uid="{0753FAAE-97F3-42EA-8D5C-7B11EEED0FC4}" name="IRL" dataDxfId="79" totalsRowDxfId="78"/>
    <tableColumn id="9" xr3:uid="{EA71DD97-92F3-44FC-BF5F-FB2FBF0290D2}" name="IRC" dataDxfId="77" totalsRowDxfId="76">
      <calculatedColumnFormula>Tabla1[[#This Row],[ERL]]+Tabla1[[#This Row],[IRL]]</calculatedColumnFormula>
    </tableColumn>
    <tableColumn id="10" xr3:uid="{C79AA6F0-BE2B-486B-8A60-DBE19A2F9033}" name="CC" dataDxfId="75" totalsRowDxfId="74"/>
    <tableColumn id="11" xr3:uid="{CC90B57D-326C-4883-B48B-74D26B09BBFC}" name="TPFM" dataDxfId="73" totalsRowDxfId="72">
      <calculatedColumnFormula>Tabla1[[#This Row],[LoCode]]/Tabla1[[#This Row],[NoFunctions]]</calculatedColumnFormula>
    </tableColumn>
    <tableColumn id="12" xr3:uid="{56413DEE-90FB-4281-9356-7E0C90A3C8E0}" name="IDC" dataDxfId="71" totalsRowDxfId="70"/>
    <tableColumn id="13" xr3:uid="{9F6F9577-E33D-412F-A985-E50ACAD16969}" name="Valor general" dataDxfId="69" totalsRowDxfId="68">
      <calculatedColumnFormula>SUM(Tabla1[[#This Row],[CC]:[IDC]]) - Tabla1[[#This Row],[IRC]]</calculatedColumnFormula>
    </tableColumn>
    <tableColumn id="14" xr3:uid="{6AA941FC-6B47-45AE-A4D3-929E2F837F2F}" name="Nivel de abstracción" dataDxfId="67" totalsRowDxfId="66">
      <calculatedColumnFormula>IF(P3 &lt; $G$49, "Alto", IF(P3 &lt; $G$51, "Medio", "Bajo"))</calculatedColumnFormula>
    </tableColumn>
    <tableColumn id="15" xr3:uid="{77EC9D60-6D43-4EBA-B953-C464380B8D38}" name="IPTFM" dataDxfId="65" totalsRowDxfId="64">
      <calculatedColumnFormula>1 - ((Tabla1[[#This Row],[TPFM]]- $N$50) / ($N$49 - $N$50))</calculatedColumnFormula>
    </tableColumn>
    <tableColumn id="16" xr3:uid="{9EB55A6D-6E51-4B86-98B8-049321728E9B}" name="Coherencia en nomenclatura" dataDxfId="63" totalsRowDxfId="62"/>
    <tableColumn id="17" xr3:uid="{143EA8DC-A538-49E9-B708-9AC256299540}" name="Comentarios2" dataDxfId="61" totalsRowDxfId="60"/>
    <tableColumn id="18" xr3:uid="{517664B3-8BA8-457A-87ED-8C7820B35F26}" name="ICLC" dataDxfId="59" totalsRowDxfId="58">
      <calculatedColumnFormula>SUM(Tabla1[[#This Row],[IPTFM]:[Comentarios2]]) / 3</calculatedColumnFormula>
    </tableColumn>
    <tableColumn id="19" xr3:uid="{4EF4417D-B595-476A-AA13-3923873EC1B6}" name="ICC" dataDxfId="57" totalsRowDxfId="56">
      <calculatedColumnFormula>Tabla1[[#This Row],[CC]]/10</calculatedColumnFormula>
    </tableColumn>
    <tableColumn id="20" xr3:uid="{38B1F1A2-67DE-402C-AF08-D329FB499366}" name="Valor general2" dataDxfId="55" totalsRowDxfId="54">
      <calculatedColumnFormula xml:space="preserve"> (Tabla1[[#This Row],[ICLC]] + (1 - Tabla1[[#This Row],[ICC]])) / 2</calculatedColumnFormula>
    </tableColumn>
    <tableColumn id="21" xr3:uid="{B85C086F-3B8F-4682-9B86-378AC6B64917}" name="Nivel de PA" dataDxfId="53" totalsRowDxfId="52">
      <calculatedColumnFormula>IF(W3 &lt; $S$47, "Bajo", IF(W3 &lt; $S$49, "Medio", "Alto"))</calculatedColumnFormula>
    </tableColumn>
    <tableColumn id="22" xr3:uid="{F92B72AB-D162-404F-BBDE-D1E37D3FCD39}" name="INN" dataDxfId="51" totalsRowDxfId="50"/>
    <tableColumn id="23" xr3:uid="{D897B942-4960-4BEC-A267-C1CA78DF927C}" name="Nivel de RD" dataDxfId="49" totalsRowDxfId="48">
      <calculatedColumnFormula>IF(Y3 &lt; $Y$47, "Bajo", IF(Y3 &gt;= $Y$49, "Alto", "Medio"))</calculatedColumnFormula>
    </tableColumn>
    <tableColumn id="24" xr3:uid="{6BB25B49-45FC-485B-8F42-2AD14F2000AF}" name="Valor general de PC" dataDxfId="47" totalsRowDxfId="46">
      <calculatedColumnFormula>Tabla1[[#This Row],[Valor general]]-Tabla1[[#This Row],[Valor general2]]-Tabla1[[#This Row],[INN]]</calculatedColumnFormula>
    </tableColumn>
    <tableColumn id="25" xr3:uid="{352CEB45-F099-4B66-A28E-2229922A956D}" name="Nivel" dataDxfId="45" totalsRowDxfId="44">
      <calculatedColumnFormula>IF(Tabla1[[#This Row],[Valor general de PC]]&lt; $AA$49, "Alto", IF(Tabla1[[#This Row],[Valor general de PC]]&lt; $AA$51, "Medio", "Bajo"))</calculatedColumnFormula>
    </tableColumn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819D21-D9D5-4FCD-9299-F5178FA0FC7F}" name="Tabla14" displayName="Tabla14" ref="A2:AB48" totalsRowShown="0" headerRowDxfId="43">
  <autoFilter ref="A2:AB48" xr:uid="{88A4A5F1-8909-456D-BD8D-F726CDF06316}"/>
  <sortState xmlns:xlrd2="http://schemas.microsoft.com/office/spreadsheetml/2017/richdata2" ref="A3:F48">
    <sortCondition ref="A2:A48"/>
  </sortState>
  <tableColumns count="28">
    <tableColumn id="1" xr3:uid="{D8D0A058-8862-42B8-8AFE-EB37200D5E0A}" name="Carnet" dataDxfId="42" totalsRowDxfId="41"/>
    <tableColumn id="28" xr3:uid="{47BA99CB-A47D-424C-B895-92E0D11635C9}" name="Nivel_Abstracción_MANUAL profes" totalsRowDxfId="40"/>
    <tableColumn id="27" xr3:uid="{B70CD460-FCF9-489A-9AB4-B0BD2C7227C9}" name="Evaluación SOLO" totalsRowDxfId="39"/>
    <tableColumn id="26" xr3:uid="{000F2E4C-AA66-4628-BE00-F05B0E0D7FDF}" name="Nivel_Abstracción_ENCUESTA Inke" totalsRowDxfId="38"/>
    <tableColumn id="2" xr3:uid="{B5226488-FF57-4A33-9E1C-9FD8AD66CCB2}" name="Clasificación" totalsRowDxfId="37"/>
    <tableColumn id="3" xr3:uid="{A3226F33-AD8D-4D4B-BA08-FFE777003AE3}" name="Comentarios" totalsRowDxfId="36"/>
    <tableColumn id="4" xr3:uid="{88B97310-9095-40C2-B2A7-48E9BBD1FAD3}" name="LoCode" totalsRowDxfId="35"/>
    <tableColumn id="5" xr3:uid="{ADA7AA67-925B-4E29-B5BA-C263CADA81BF}" name="LoComments" totalsRowDxfId="34"/>
    <tableColumn id="6" xr3:uid="{36024AD1-130B-4859-9A99-3E1B719FBB2A}" name="NoFunctions" totalsRowDxfId="33"/>
    <tableColumn id="7" xr3:uid="{373A420C-E52D-4781-A524-C1BB06CDBDBA}" name="ERL" totalsRowDxfId="32"/>
    <tableColumn id="8" xr3:uid="{77340BD5-3193-424C-89DC-ED2EE24A5153}" name="IRL" totalsRowDxfId="31"/>
    <tableColumn id="9" xr3:uid="{30BFF488-410C-4BB5-B33E-2DDFFF48968E}" name="IRC" dataDxfId="30" totalsRowDxfId="29">
      <calculatedColumnFormula>Tabla14[[#This Row],[ERL]]+Tabla14[[#This Row],[IRL]]</calculatedColumnFormula>
    </tableColumn>
    <tableColumn id="10" xr3:uid="{FCB40734-2031-4642-B552-E5384E42A425}" name="CC" totalsRowDxfId="28"/>
    <tableColumn id="11" xr3:uid="{E901A4A4-463B-486D-8CB2-132A95F30209}" name="TPFM" dataDxfId="27" totalsRowDxfId="26">
      <calculatedColumnFormula>Tabla14[[#This Row],[LoCode]]/Tabla14[[#This Row],[NoFunctions]]</calculatedColumnFormula>
    </tableColumn>
    <tableColumn id="12" xr3:uid="{B52B1488-6E93-4B05-A14A-739BD9377439}" name="IDC" dataDxfId="25" totalsRowDxfId="24"/>
    <tableColumn id="13" xr3:uid="{9B6D9185-7721-4F8F-828C-302747069C0E}" name="Valor general" dataDxfId="23" totalsRowDxfId="22">
      <calculatedColumnFormula>SUM(Tabla14[[#This Row],[CC]:[IDC]]) - Tabla14[[#This Row],[IRC]]</calculatedColumnFormula>
    </tableColumn>
    <tableColumn id="14" xr3:uid="{C74CA72C-9850-433A-974B-A4E5ECD84450}" name="Nivel de abstracción" dataDxfId="21" totalsRowDxfId="20">
      <calculatedColumnFormula>IF(P3 &lt; $J$47, "Alto", IF(P3 &lt; $G$51, "Medio", "Bajo"))</calculatedColumnFormula>
    </tableColumn>
    <tableColumn id="15" xr3:uid="{5A96DE51-45ED-4AEB-B0F4-9612B4C449C9}" name="IPTFM" dataDxfId="19" totalsRowDxfId="18">
      <calculatedColumnFormula>1 - ((Tabla14[[#This Row],[TPFM]]- $N$50) / ($N$47 - $N$50))</calculatedColumnFormula>
    </tableColumn>
    <tableColumn id="16" xr3:uid="{3E735E8D-0C8E-4B37-98CB-504F08D23469}" name="Coherencia en nomenclatura" dataDxfId="17" totalsRowDxfId="16"/>
    <tableColumn id="17" xr3:uid="{E5284601-0985-4223-ABEC-9F511EE4F411}" name="Comentarios2" dataDxfId="15" totalsRowDxfId="14"/>
    <tableColumn id="18" xr3:uid="{B59AD9FE-DE4D-4CB6-9D06-034AB3D1CABD}" name="ICLC" dataDxfId="13" totalsRowDxfId="12">
      <calculatedColumnFormula>SUM(Tabla14[[#This Row],[IPTFM]:[Comentarios2]]) / 3</calculatedColumnFormula>
    </tableColumn>
    <tableColumn id="19" xr3:uid="{D63E74F4-107A-40E6-8D4E-642F7880039F}" name="ICC" dataDxfId="11" totalsRowDxfId="10">
      <calculatedColumnFormula>Tabla14[[#This Row],[CC]]/10</calculatedColumnFormula>
    </tableColumn>
    <tableColumn id="20" xr3:uid="{F7FC70D5-4F3E-42A8-84B8-8EADF5D1A1A1}" name="Valor general2" dataDxfId="9" totalsRowDxfId="8">
      <calculatedColumnFormula xml:space="preserve"> (Tabla14[[#This Row],[ICLC]] + (1 - Tabla14[[#This Row],[ICC]])) / 2</calculatedColumnFormula>
    </tableColumn>
    <tableColumn id="21" xr3:uid="{552302A1-EC72-4EAE-9CDA-CA49E0A3186A}" name="Nivel de PA" dataDxfId="7" totalsRowDxfId="6">
      <calculatedColumnFormula>IF(W3 &lt; $W$50, "Bajo", IF(W3 &lt; $W$52, "Medio", "Alto"))</calculatedColumnFormula>
    </tableColumn>
    <tableColumn id="22" xr3:uid="{7A31D3B6-21CE-470C-B9C1-E8BF15441CCE}" name="INN" totalsRowDxfId="5"/>
    <tableColumn id="23" xr3:uid="{9DB5F818-2976-481A-AA73-0219EEFE9023}" name="Nivel de RD" dataDxfId="4">
      <calculatedColumnFormula>IF(Y3 &lt; $Y$51, "Bajo", IF(Y3 &gt;= $Y$53, "Alto", "Medio"))</calculatedColumnFormula>
    </tableColumn>
    <tableColumn id="24" xr3:uid="{F97DFCC1-125C-4090-B058-CBE2C57E9CBD}" name="Valor general de PC" dataDxfId="3" totalsRowDxfId="2">
      <calculatedColumnFormula>Tabla14[[#This Row],[Valor general]]-Tabla14[[#This Row],[Valor general2]]-Tabla14[[#This Row],[INN]]</calculatedColumnFormula>
    </tableColumn>
    <tableColumn id="25" xr3:uid="{DF435C8F-9408-46A4-B78D-448978D62B75}" name="Nivel" dataDxfId="1" totalsRowDxfId="0">
      <calculatedColumnFormula>IF(Tabla14[[#This Row],[Valor general de PC]]&lt; $AA$50, "Alto", IF(Tabla14[[#This Row],[Valor general de PC]]&lt; $AA$52, "Medio", "Bajo"))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5-09-16T16:44:05.95" personId="{21DC54F4-5706-8647-9EDA-3E7E0FD1DB3B}" id="{F27BDFE4-316D-CC4C-84AE-55379B04B15B}">
    <text xml:space="preserve">sacar de "Evaluacion_sheet_consensuado_CR3"
</text>
  </threadedComment>
  <threadedComment ref="D2" dT="2025-09-16T16:44:58.09" personId="{21DC54F4-5706-8647-9EDA-3E7E0FD1DB3B}" id="{8A943EFD-4319-894D-BF09-F2E83315752A}">
    <text xml:space="preserve">sacar de "6 - Datos / Datos Self-efficacy / dataset_23_06_2025_06.40_vCleanedHashed_ANOTACIONES_excel"
</text>
  </threadedComment>
  <threadedComment ref="F2" dT="2025-09-16T16:45:23.32" personId="{21DC54F4-5706-8647-9EDA-3E7E0FD1DB3B}" id="{E9E91D49-218A-DE44-9A3D-3A2EEB9E820D}">
    <text>Sacar de la columna de Clasificación</text>
  </threadedComment>
  <threadedComment ref="H2" dT="2025-08-18T11:15:44.03" personId="{CA6F44C7-3704-48A1-8AA1-AE1F0A9F0032}" id="{CE2E76C2-15CF-CD4E-BB39-6873A6073C3F}">
    <text>Líneas de Código (Usando librería Radon)</text>
  </threadedComment>
  <threadedComment ref="I2" dT="2025-08-18T11:16:24.52" personId="{CA6F44C7-3704-48A1-8AA1-AE1F0A9F0032}" id="{7DE0B96A-E06E-2D4F-825E-830ADA4EA8FB}">
    <text>Líneas de Comentarios (Usando librería Radon)</text>
  </threadedComment>
  <threadedComment ref="J2" dT="2025-08-18T11:16:44.44" personId="{CA6F44C7-3704-48A1-8AA1-AE1F0A9F0032}" id="{D1054FF4-FF51-3E48-A47C-9AB5E5F39DCB}">
    <text>Número de funciones(Usando librería Radon)</text>
  </threadedComment>
  <threadedComment ref="K2" dT="2025-08-18T11:09:51.42" personId="{CA6F44C7-3704-48A1-8AA1-AE1F0A9F0032}" id="{9F258554-55F6-FA46-8C78-5F687D2122DD}">
    <text>External Reuse Level(Calculado con formula E/L)
E: el total de items de repositorios externos (librerías o módulos), se calcula con nuestro script
L = el número total de lower level items (en este caso el total de líneas de código LOC)</text>
  </threadedComment>
  <threadedComment ref="L2" dT="2025-08-18T11:11:17.01" personId="{CA6F44C7-3704-48A1-8AA1-AE1F0A9F0032}" id="{3F8AAFC1-D8F9-7B45-B556-0285275008F3}">
    <text>Internal Reuse Level (IRL): IRL = M / L
M: el número total de items no externos que son usados más de una vez (funciones y métodos), el script nos lo da
L = el número total de lower level items (en este caso el total de líneas de código LOC)</text>
  </threadedComment>
  <threadedComment ref="M2" dT="2025-08-18T11:14:26.21" personId="{CA6F44C7-3704-48A1-8AA1-AE1F0A9F0032}" id="{83820B4E-E1AF-D34D-A859-456961086B6D}">
    <text>Índice de Replicación de Código (ERL+IRL)</text>
  </threadedComment>
  <threadedComment ref="N2" dT="2025-09-03T08:51:57.90" personId="{21DC54F4-5706-8647-9EDA-3E7E0FD1DB3B}" id="{043EB6B2-4D6F-5543-9275-57F75071199E}">
    <text>closeness to reference</text>
  </threadedComment>
  <threadedComment ref="O2" dT="2025-08-18T11:15:11.26" personId="{CA6F44C7-3704-48A1-8AA1-AE1F0A9F0032}" id="{EE0FD6D0-2C78-D242-8135-498CCC547048}">
    <text>Complejidad Ciclomática (Usando librería Radon)</text>
  </threadedComment>
  <threadedComment ref="P2" dT="2025-09-03T08:52:18.90" personId="{21DC54F4-5706-8647-9EDA-3E7E0FD1DB3B}" id="{175AFCEA-E136-C34B-A376-347251511022}">
    <text>closeness to reference</text>
  </threadedComment>
  <threadedComment ref="P2" dT="2025-09-03T08:54:37.98" personId="{21DC54F4-5706-8647-9EDA-3E7E0FD1DB3B}" id="{16D17ADF-AC46-3847-84E8-88B98285E3D5}" parentId="{175AFCEA-E136-C34B-A376-347251511022}">
    <text>podríamos definir unas heurísticas, por ejemplo, más de 10 es un valor de 0, no el máximo en los datos</text>
  </threadedComment>
  <threadedComment ref="Q2" dT="2025-08-18T11:17:26.79" personId="{CA6F44C7-3704-48A1-8AA1-AE1F0A9F0032}" id="{4A6E041C-7F73-E64B-AADC-4F3A982EDDD1}">
    <text>Tamaño promedio por función o método (LoCode/NoFunctions)</text>
  </threadedComment>
  <threadedComment ref="R2" dT="2025-09-03T08:52:26.86" personId="{21DC54F4-5706-8647-9EDA-3E7E0FD1DB3B}" id="{61366FDB-0524-BD47-A4C0-06E5D0FCAA67}">
    <text>closeness to reference</text>
  </threadedComment>
  <threadedComment ref="S2" dT="2025-08-18T11:19:00.53" personId="{CA6F44C7-3704-48A1-8AA1-AE1F0A9F0032}" id="{A00FEEB4-147D-694E-92B2-B87A855CB7F7}">
    <text>Índice de duplicación de código (lo tomamos con el script) Usando el algoritmo de Rabin-Karp</text>
  </threadedComment>
  <threadedComment ref="T2" dT="2025-09-03T08:52:34.47" personId="{21DC54F4-5706-8647-9EDA-3E7E0FD1DB3B}" id="{57F798AF-61C3-7A46-9C32-11E364D859AB}">
    <text>closeness to reference</text>
  </threadedComment>
  <threadedComment ref="W2" dT="2025-09-02T18:56:05.87" personId="{21DC54F4-5706-8647-9EDA-3E7E0FD1DB3B}" id="{CA15FB18-8491-6148-9A72-80904477D4D9}">
    <text xml:space="preserve">paper: https://doi.org/10.1016/j.jss.2023.111796
</text>
    <extLst>
      <x:ext xmlns:xltc2="http://schemas.microsoft.com/office/spreadsheetml/2020/threadedcomments2" uri="{F7C98A9C-CBB3-438F-8F68-D28B6AF4A901}">
        <xltc2:checksum>3837802309</xltc2:checksum>
        <xltc2:hyperlink startIndex="7" length="41" url="https://doi.org/10.1016/j.jss.2023.111796"/>
      </x:ext>
    </extLst>
  </threadedComment>
  <threadedComment ref="AD2" dT="2025-08-18T14:04:52.41" personId="{CA6F44C7-3704-48A1-8AA1-AE1F0A9F0032}" id="{DD45715D-0319-FF42-9495-ACA8019DEABC}">
    <text>Redefinir formula por los profes</text>
  </threadedComment>
  <threadedComment ref="AE2" dT="2025-08-18T14:03:43.26" personId="{CA6F44C7-3704-48A1-8AA1-AE1F0A9F0032}" id="{47EA5F43-3310-4B47-8E34-B59218672F35}">
    <text>Explicar formula cuartiles</text>
  </threadedComment>
  <threadedComment ref="AF2" dT="2025-08-18T11:41:51.06" personId="{CA6F44C7-3704-48A1-8AA1-AE1F0A9F0032}" id="{E5C59582-8605-4147-AD45-A6A7490A2477}">
    <text>Índice de Tamaño Promedio de Función o Método
Explicar formula con el maximo y el minimo</text>
  </threadedComment>
  <threadedComment ref="AG2" dT="2025-08-18T11:33:21.09" personId="{CA6F44C7-3704-48A1-8AA1-AE1F0A9F0032}" id="{4717C4EB-560F-5640-A108-820DE187B459}">
    <text>Se calcula usando el Jaccard Similarity</text>
  </threadedComment>
  <threadedComment ref="AH2" dT="2025-08-18T14:14:40.80" personId="{CA6F44C7-3704-48A1-8AA1-AE1F0A9F0032}" id="{F89CCCA6-6F0C-5447-92C0-AEF6DA580AA6}">
    <text>Lo brinda nuestro script</text>
  </threadedComment>
  <threadedComment ref="AI2" dT="2025-08-18T13:15:55.00" personId="{CA6F44C7-3704-48A1-8AA1-AE1F0A9F0032}" id="{7693C052-2B34-BA47-905D-540E0D23F0E7}">
    <text>Índice de Claridad de Código</text>
  </threadedComment>
  <threadedComment ref="AJ2" dT="2025-08-18T13:16:13.77" personId="{CA6F44C7-3704-48A1-8AA1-AE1F0A9F0032}" id="{94899BAB-49B7-5A4D-B000-A980186FFFC9}">
    <text>Índice de Control de Complejidad
Revalorar umbral y si el indice es aplicable en el caso</text>
  </threadedComment>
  <threadedComment ref="AL2" dT="2025-08-18T14:30:15.51" personId="{CA6F44C7-3704-48A1-8AA1-AE1F0A9F0032}" id="{B580A3E5-291F-3842-B1CA-5FDA37910297}">
    <text>Nivel de pensamiento algoritmico</text>
  </threadedComment>
  <threadedComment ref="AM2" dT="2025-08-18T11:31:40.39" personId="{CA6F44C7-3704-48A1-8AA1-AE1F0A9F0032}" id="{61317CE1-D69C-F34B-BA8B-5781099ECB7B}">
    <text>Índice de Normalización de Nombres(Usando script propio)</text>
  </threadedComment>
  <threadedComment ref="AN2" dT="2025-08-18T14:31:29.53" personId="{CA6F44C7-3704-48A1-8AA1-AE1F0A9F0032}" id="{F89A220F-A9EF-F543-BD4E-23C10B1C4ED1}">
    <text>Nivel de Representación de Datos</text>
  </threadedComment>
  <threadedComment ref="AE5" dT="2025-08-18T14:02:51.70" personId="{CA6F44C7-3704-48A1-8AA1-AE1F0A9F0032}" id="{0D8CCC6C-313F-8C4F-A3DF-816C1B4D4181}">
    <text>corregir formula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" dT="2025-08-18T11:15:44.03" personId="{CA6F44C7-3704-48A1-8AA1-AE1F0A9F0032}" id="{3CC91982-BB32-466A-AE66-52691EF533B7}">
    <text>Líneas de Código (Usando librería Radon)</text>
  </threadedComment>
  <threadedComment ref="E2" dT="2025-08-18T11:16:24.52" personId="{CA6F44C7-3704-48A1-8AA1-AE1F0A9F0032}" id="{EB4E9B7B-1121-4FF9-9702-A9128CD5F126}">
    <text>Líneas de Comentarios (Usando librería Radon)</text>
  </threadedComment>
  <threadedComment ref="F2" dT="2025-08-18T11:16:44.44" personId="{CA6F44C7-3704-48A1-8AA1-AE1F0A9F0032}" id="{7AE47637-2C9B-4EC4-846D-1C001CAAF098}">
    <text>Número de funciones(Usando librería Radon)</text>
  </threadedComment>
  <threadedComment ref="G2" dT="2025-08-18T11:09:51.42" personId="{CA6F44C7-3704-48A1-8AA1-AE1F0A9F0032}" id="{FBD33E12-0569-4546-975E-367F8AFAFE0D}">
    <text>External Reuse Level(Calculado con formula E/L)
E: el total de items de repositorios externos (librerías o módulos), se calcula con nuestro script
L = el número total de lower level items (en este caso el total de líneas de código LOC)</text>
  </threadedComment>
  <threadedComment ref="H2" dT="2025-08-18T11:11:17.01" personId="{CA6F44C7-3704-48A1-8AA1-AE1F0A9F0032}" id="{21A4E156-54CB-4D36-880B-EE0D9BC164CB}">
    <text>Internal Reuse Level (IRL): IRL = M / L
M: el número total de items no externos que son usados más de una vez (funciones y métodos), el script nos lo da
L = el número total de lower level items (en este caso el total de líneas de código LOC)</text>
  </threadedComment>
  <threadedComment ref="I2" dT="2025-08-18T11:14:26.21" personId="{CA6F44C7-3704-48A1-8AA1-AE1F0A9F0032}" id="{5CD1490B-BFDB-4B90-B265-AD155C884900}">
    <text>Índice de Replicación de Código (ERL+IRL)</text>
  </threadedComment>
  <threadedComment ref="J2" dT="2025-08-18T11:15:11.26" personId="{CA6F44C7-3704-48A1-8AA1-AE1F0A9F0032}" id="{DED99356-FFFC-4B10-A024-B3743069CFE5}">
    <text>Complejidad Ciclomática (Usando librería Radon)</text>
  </threadedComment>
  <threadedComment ref="K2" dT="2025-08-18T11:17:26.79" personId="{CA6F44C7-3704-48A1-8AA1-AE1F0A9F0032}" id="{9DE86240-5071-4095-BF6A-C7D68E31221A}">
    <text>Tamaño promedio por función o método (LoCode/NoFunctions)</text>
  </threadedComment>
  <threadedComment ref="L2" dT="2025-08-18T11:19:00.53" personId="{CA6F44C7-3704-48A1-8AA1-AE1F0A9F0032}" id="{D1840D17-1BEE-4FB1-B2BA-B809C3B6F7FE}">
    <text>Índice de duplicación de código (lo tomamos con el script) Usando el algoritmo de Rabin-Karp</text>
  </threadedComment>
  <threadedComment ref="M2" dT="2025-08-18T14:04:52.41" personId="{CA6F44C7-3704-48A1-8AA1-AE1F0A9F0032}" id="{7956A189-058A-41F5-9920-28C5FD01941B}">
    <text>Redefinir formula por los profes</text>
  </threadedComment>
  <threadedComment ref="N2" dT="2025-08-18T14:03:43.26" personId="{CA6F44C7-3704-48A1-8AA1-AE1F0A9F0032}" id="{14B6D7E0-54BE-47CB-8EAF-3583CD10E1BE}">
    <text>Explicar formula cuartiles</text>
  </threadedComment>
  <threadedComment ref="O2" dT="2025-08-18T11:41:51.06" personId="{CA6F44C7-3704-48A1-8AA1-AE1F0A9F0032}" id="{E1106CCC-99A3-4DC8-BD05-80E372FE3D79}">
    <text>Índice de Tamaño Promedio de Función o Método
Explicar formula con el maximo y el minimo</text>
  </threadedComment>
  <threadedComment ref="P2" dT="2025-08-18T11:33:21.09" personId="{CA6F44C7-3704-48A1-8AA1-AE1F0A9F0032}" id="{E8FF683F-C8AB-4D42-B80E-60E6F9454D23}">
    <text>Se calcula usando el Jaccard Similarity</text>
  </threadedComment>
  <threadedComment ref="Q2" dT="2025-08-18T14:14:40.80" personId="{CA6F44C7-3704-48A1-8AA1-AE1F0A9F0032}" id="{B84B0E4D-C201-44BB-BBE7-4B953137693C}">
    <text>Lo brinda nuestro script</text>
  </threadedComment>
  <threadedComment ref="R2" dT="2025-08-18T13:15:55.00" personId="{CA6F44C7-3704-48A1-8AA1-AE1F0A9F0032}" id="{48E64DBB-F992-4CAD-9B59-92D17361B05D}">
    <text>Índice de Claridad de Código</text>
  </threadedComment>
  <threadedComment ref="S2" dT="2025-08-18T13:16:13.77" personId="{CA6F44C7-3704-48A1-8AA1-AE1F0A9F0032}" id="{916ADC0C-FB36-4D9B-B737-C16D74D855DD}">
    <text>Índice de Control de Complejidad
Revalorar umbral y si el indice es aplicable en el caso</text>
  </threadedComment>
  <threadedComment ref="U2" dT="2025-08-18T14:30:15.51" personId="{CA6F44C7-3704-48A1-8AA1-AE1F0A9F0032}" id="{09EAE210-BA83-4A34-932E-BF9ABC21E8C2}">
    <text>Nivel de pensamiento algoritmico</text>
  </threadedComment>
  <threadedComment ref="V2" dT="2025-08-18T11:31:40.39" personId="{CA6F44C7-3704-48A1-8AA1-AE1F0A9F0032}" id="{6C6F3942-9648-42B0-B0DD-9448F38F3583}">
    <text>Índice de Normalización de Nombres(Usando script propio)</text>
  </threadedComment>
  <threadedComment ref="W2" dT="2025-08-18T14:31:29.53" personId="{CA6F44C7-3704-48A1-8AA1-AE1F0A9F0032}" id="{C0D8C07F-BF4F-4F20-9127-E1D021912EE0}">
    <text>Nivel de Representación de Datos</text>
  </threadedComment>
  <threadedComment ref="N5" dT="2025-08-18T14:02:51.70" personId="{CA6F44C7-3704-48A1-8AA1-AE1F0A9F0032}" id="{EE6935A1-0CA0-4ED3-A0F6-41C33B786148}">
    <text>corregir formula</text>
  </threadedComment>
  <threadedComment ref="I58" dT="2025-09-02T23:53:45.63" personId="{0F501E56-C0A0-AD41-BE6C-8BDA380D57F8}" id="{E1B12224-BDF6-4A48-AFE0-2F288080BB66}">
    <text>Esta tabla es únicamente para actualizar la documentación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" dT="2025-09-16T16:44:05.95" personId="{21DC54F4-5706-8647-9EDA-3E7E0FD1DB3B}" id="{86C3F107-5ED1-4C70-BA2F-842ACF4813F3}">
    <text xml:space="preserve">sacar de "Evaluacion_sheet_consensuado_CR3"
</text>
  </threadedComment>
  <threadedComment ref="D2" dT="2025-09-16T16:44:58.09" personId="{21DC54F4-5706-8647-9EDA-3E7E0FD1DB3B}" id="{D6B722B9-EBC9-4E60-A3B0-49E28098F73C}">
    <text xml:space="preserve">sacar de "6 - Datos / Datos Self-efficacy / dataset_23_06_2025_06.40_vCleanedHashed_ANOTACIONES_excel"
</text>
  </threadedComment>
  <threadedComment ref="G2" dT="2025-08-18T11:15:44.03" personId="{CA6F44C7-3704-48A1-8AA1-AE1F0A9F0032}" id="{BCE84002-C1EA-4C52-A803-50835DBB6013}">
    <text>Líneas de Código (Usando librería Radon)</text>
  </threadedComment>
  <threadedComment ref="H2" dT="2025-08-18T11:16:24.52" personId="{CA6F44C7-3704-48A1-8AA1-AE1F0A9F0032}" id="{20F51E5C-F547-4244-AB30-0BC65BAA4E5E}">
    <text>Líneas de Comentarios (Usando librería Radon)</text>
  </threadedComment>
  <threadedComment ref="I2" dT="2025-08-18T11:16:44.44" personId="{CA6F44C7-3704-48A1-8AA1-AE1F0A9F0032}" id="{AC836C89-CD52-4F13-BACB-0354673C1FF3}">
    <text>Número de funciones(Usando librería Radon)</text>
  </threadedComment>
  <threadedComment ref="J2" dT="2025-08-18T11:09:51.42" personId="{CA6F44C7-3704-48A1-8AA1-AE1F0A9F0032}" id="{5E4924D5-86D7-43C9-9BFD-603CAEAD06E0}">
    <text>External Reuse Level(Calculado con formula E/L)
E: el total de items de repositorios externos (librerías o módulos)
L = el número total de lower level items (en este caso el total de líneas de código LOC)</text>
  </threadedComment>
  <threadedComment ref="K2" dT="2025-08-18T11:11:17.01" personId="{CA6F44C7-3704-48A1-8AA1-AE1F0A9F0032}" id="{61B1997F-436D-4E07-BF2D-B05BE561FB55}">
    <text>Internal Reuse Level (IRL): IRL = M / L
M: el número total de items no externos que son usados más de una vez (funciones y métodos)
L = el número total de lower level items (en este caso el total de líneas de código LOC)</text>
  </threadedComment>
  <threadedComment ref="L2" dT="2025-08-18T11:14:26.21" personId="{CA6F44C7-3704-48A1-8AA1-AE1F0A9F0032}" id="{E463A961-E330-4967-9426-9DE1441DBE4F}">
    <text>Índice de Replicación de Código (ERL+IRL)</text>
  </threadedComment>
  <threadedComment ref="M2" dT="2025-08-18T11:15:11.26" personId="{CA6F44C7-3704-48A1-8AA1-AE1F0A9F0032}" id="{53C92F77-D355-4C14-9BBB-215EB5BCCF6A}">
    <text>Complejidad Ciclomática (Usando librería Radon)</text>
  </threadedComment>
  <threadedComment ref="N2" dT="2025-08-18T11:17:26.79" personId="{CA6F44C7-3704-48A1-8AA1-AE1F0A9F0032}" id="{67B2F701-6074-4761-891D-F244148792DA}">
    <text>Tamaño promedio por función LoCode/NoFunctions</text>
  </threadedComment>
  <threadedComment ref="O2" dT="2025-08-18T11:19:00.53" personId="{CA6F44C7-3704-48A1-8AA1-AE1F0A9F0032}" id="{2F4EF25F-F9F2-4A05-AC14-21AC9BD1D7C6}">
    <text>Índice de duplicación de código</text>
  </threadedComment>
  <threadedComment ref="R2" dT="2025-08-18T11:41:51.06" personId="{CA6F44C7-3704-48A1-8AA1-AE1F0A9F0032}" id="{20F43E5B-7A98-4249-8D47-FA82C58C93A1}">
    <text>Índice de Tamaño Promedio de Función o Método</text>
  </threadedComment>
  <threadedComment ref="S2" dT="2025-08-18T11:33:21.09" personId="{CA6F44C7-3704-48A1-8AA1-AE1F0A9F0032}" id="{CA4DA8E5-85AA-4F3F-A795-F941F4815FC0}">
    <text>Se calcula usando el Jaccard Similarity</text>
  </threadedComment>
  <threadedComment ref="U2" dT="2025-08-18T13:15:55.00" personId="{CA6F44C7-3704-48A1-8AA1-AE1F0A9F0032}" id="{7199800D-3A55-49DC-A877-44EF802DF835}">
    <text>Índice de Claridad de Código</text>
  </threadedComment>
  <threadedComment ref="V2" dT="2025-08-18T13:16:13.77" personId="{CA6F44C7-3704-48A1-8AA1-AE1F0A9F0032}" id="{80E66304-5238-48A9-967B-811FCF1716AA}">
    <text>Índice de Control de Complejidad</text>
  </threadedComment>
  <threadedComment ref="Y2" dT="2025-08-18T11:31:40.39" personId="{CA6F44C7-3704-48A1-8AA1-AE1F0A9F0032}" id="{EAA1C49F-D823-4F47-92E0-81295AEAFD4C}">
    <text>Índice de Normalización de Nombres(Usando script propio)</text>
  </threadedComment>
  <threadedComment ref="L56" dT="2025-09-02T23:52:55.48" personId="{0F501E56-C0A0-AD41-BE6C-8BDA380D57F8}" id="{EC9486B0-50CA-476B-9BCA-C7717DAA186D}">
    <text>Esta tabla es únicamente para actualizar datos de la documentación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2" dT="2025-09-16T16:44:05.95" personId="{21DC54F4-5706-8647-9EDA-3E7E0FD1DB3B}" id="{74880B37-3359-4AC2-9BAC-8F5155E75666}">
    <text xml:space="preserve">sacar de "Evaluacion_sheet_consensuado_CR3"
</text>
  </threadedComment>
  <threadedComment ref="D2" dT="2025-09-16T16:44:58.09" personId="{21DC54F4-5706-8647-9EDA-3E7E0FD1DB3B}" id="{00C36E5D-367C-472F-AC25-7F42D1356CA9}">
    <text xml:space="preserve">sacar de "6 - Datos / Datos Self-efficacy / dataset_23_06_2025_06.40_vCleanedHashed_ANOTACIONES_excel"
</text>
  </threadedComment>
  <threadedComment ref="G2" dT="2025-08-18T11:15:44.03" personId="{CA6F44C7-3704-48A1-8AA1-AE1F0A9F0032}" id="{91A52215-CF82-4A17-A416-0A23C49CC836}">
    <text>Líneas de Código (Usando librería Radon)</text>
  </threadedComment>
  <threadedComment ref="H2" dT="2025-08-18T11:16:24.52" personId="{CA6F44C7-3704-48A1-8AA1-AE1F0A9F0032}" id="{85869729-7FF2-42B6-B22B-6E2270692D16}">
    <text>Líneas de Comentarios (Usando librería Radon)</text>
  </threadedComment>
  <threadedComment ref="I2" dT="2025-08-18T11:16:44.44" personId="{CA6F44C7-3704-48A1-8AA1-AE1F0A9F0032}" id="{A8EA94FB-5840-4CB4-8CF5-0CDD6EC50B90}">
    <text>Número de funciones(Usando librería Radon)</text>
  </threadedComment>
  <threadedComment ref="J2" dT="2025-08-18T11:09:51.42" personId="{CA6F44C7-3704-48A1-8AA1-AE1F0A9F0032}" id="{CED8143A-55EE-423A-A2E9-30C4E233DBC4}">
    <text>External Reuse Level(Calculado con formula E/L)
E: el total de items de repositorios externos (librerías o módulos)
L = el número total de lower level items (en este caso el total de líneas de código LOC)</text>
  </threadedComment>
  <threadedComment ref="K2" dT="2025-08-18T11:11:17.01" personId="{CA6F44C7-3704-48A1-8AA1-AE1F0A9F0032}" id="{8A80266F-20F3-43ED-B5D7-F77EF0DC2869}">
    <text>Internal Reuse Level (IRL): IRL = M / L
M: el número total de items no externos que son usados más de una vez (funciones y métodos)
L = el número total de lower level items (en este caso el total de líneas de código LOC)</text>
  </threadedComment>
  <threadedComment ref="L2" dT="2025-08-18T11:14:26.21" personId="{CA6F44C7-3704-48A1-8AA1-AE1F0A9F0032}" id="{1F0EEB0D-2353-48D5-9644-A12BFE03C04C}">
    <text>Índice de Replicación de Código (ERL+IRL)</text>
  </threadedComment>
  <threadedComment ref="M2" dT="2025-08-18T11:15:11.26" personId="{CA6F44C7-3704-48A1-8AA1-AE1F0A9F0032}" id="{9D8E35E7-AED7-49BB-AC18-B0A6CD2A532C}">
    <text>Complejidad Ciclomática (Usando librería Radon)</text>
  </threadedComment>
  <threadedComment ref="N2" dT="2025-08-18T11:17:26.79" personId="{CA6F44C7-3704-48A1-8AA1-AE1F0A9F0032}" id="{C80F55C4-B6AB-49D6-9EDA-C8D7C3B77C97}">
    <text>Tamaño promedio por función LoCode/NoFunctions</text>
  </threadedComment>
  <threadedComment ref="O2" dT="2025-08-18T11:19:00.53" personId="{CA6F44C7-3704-48A1-8AA1-AE1F0A9F0032}" id="{520C3B79-2893-4BD1-8EE8-4128D2E233F5}">
    <text>Índice de duplicación de código</text>
  </threadedComment>
  <threadedComment ref="R2" dT="2025-08-18T11:41:51.06" personId="{CA6F44C7-3704-48A1-8AA1-AE1F0A9F0032}" id="{C1266E29-A291-4936-9012-41B152C5BD01}">
    <text>Índice de Tamaño Promedio de Función o Método</text>
  </threadedComment>
  <threadedComment ref="S2" dT="2025-08-18T11:33:21.09" personId="{CA6F44C7-3704-48A1-8AA1-AE1F0A9F0032}" id="{7654FE14-BEC4-4059-9BFB-DADD77664B9B}">
    <text>Se calcula usando el Jaccard Similarity</text>
  </threadedComment>
  <threadedComment ref="U2" dT="2025-08-18T13:15:55.00" personId="{CA6F44C7-3704-48A1-8AA1-AE1F0A9F0032}" id="{8416B37A-7E44-4A76-AD07-2CA7BD689E83}">
    <text>Índice de Claridad de Código</text>
  </threadedComment>
  <threadedComment ref="V2" dT="2025-08-18T13:16:13.77" personId="{CA6F44C7-3704-48A1-8AA1-AE1F0A9F0032}" id="{9DDD88D0-43BE-47A6-952E-74C9A0463638}">
    <text>Índice de Control de Complejidad</text>
  </threadedComment>
  <threadedComment ref="Y2" dT="2025-08-18T11:31:40.39" personId="{CA6F44C7-3704-48A1-8AA1-AE1F0A9F0032}" id="{F1579A69-144A-4F1E-AB95-FAAA14228465}">
    <text>Índice de Normalización de Nombres(Usando script propio)</text>
  </threadedComment>
  <threadedComment ref="L56" dT="2025-09-02T23:52:55.48" personId="{0F501E56-C0A0-AD41-BE6C-8BDA380D57F8}" id="{1EF7B04E-2C6C-4CBC-AC92-CA97990F243C}">
    <text>Esta tabla es únicamente para actualizar datos de la documentación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2" dT="2025-09-16T16:44:05.95" personId="{21DC54F4-5706-8647-9EDA-3E7E0FD1DB3B}" id="{2BED2C97-E6D2-495D-81B4-CD156409A71B}">
    <text xml:space="preserve">sacar de "Evaluacion_sheet_consensuado_CR3"
</text>
  </threadedComment>
  <threadedComment ref="D2" dT="2025-09-16T16:44:58.09" personId="{21DC54F4-5706-8647-9EDA-3E7E0FD1DB3B}" id="{7961ECB2-43F1-4E78-835B-A9FB941078AA}">
    <text xml:space="preserve">sacar de "6 - Datos / Datos Self-efficacy / dataset_23_06_2025_06.40_vCleanedHashed_ANOTACIONES_excel"
</text>
  </threadedComment>
  <threadedComment ref="G2" dT="2025-08-18T11:15:44.03" personId="{CA6F44C7-3704-48A1-8AA1-AE1F0A9F0032}" id="{1BFDC824-F5AA-41AC-892C-3E5A327C972E}">
    <text>Líneas de Código (Usando librería Radon)</text>
  </threadedComment>
  <threadedComment ref="H2" dT="2025-08-18T11:16:24.52" personId="{CA6F44C7-3704-48A1-8AA1-AE1F0A9F0032}" id="{065F3E81-72B9-41BF-AE24-3CA47664B418}">
    <text>Líneas de Comentarios (Usando librería Radon)</text>
  </threadedComment>
  <threadedComment ref="I2" dT="2025-08-18T11:16:44.44" personId="{CA6F44C7-3704-48A1-8AA1-AE1F0A9F0032}" id="{267F591D-CE24-44FF-85B1-CC5D18A0DDCC}">
    <text>Número de funciones(Usando librería Radon)</text>
  </threadedComment>
  <threadedComment ref="J2" dT="2025-08-18T11:09:51.42" personId="{CA6F44C7-3704-48A1-8AA1-AE1F0A9F0032}" id="{96750BFE-0996-4045-804E-F8F7A8325354}">
    <text>External Reuse Level(Calculado con formula E/L)
E: el total de items de repositorios externos (librerías o módulos)
L = el número total de lower level items (en este caso el total de líneas de código LOC)</text>
  </threadedComment>
  <threadedComment ref="K2" dT="2025-08-18T11:11:17.01" personId="{CA6F44C7-3704-48A1-8AA1-AE1F0A9F0032}" id="{F478B806-0DDA-4721-A78E-84E8C723F598}">
    <text>Internal Reuse Level (IRL): IRL = M / L
M: el número total de items no externos que son usados más de una vez (funciones y métodos)
L = el número total de lower level items (en este caso el total de líneas de código LOC)</text>
  </threadedComment>
  <threadedComment ref="L2" dT="2025-08-18T11:14:26.21" personId="{CA6F44C7-3704-48A1-8AA1-AE1F0A9F0032}" id="{442C733E-F9E7-4627-95F7-FD93C679AEE2}">
    <text>Índice de Replicación de Código (ERL+IRL)</text>
  </threadedComment>
  <threadedComment ref="M2" dT="2025-08-18T11:15:11.26" personId="{CA6F44C7-3704-48A1-8AA1-AE1F0A9F0032}" id="{0C7F462B-5431-4266-8A52-10511139D4F6}">
    <text>Complejidad Ciclomática (Usando librería Radon)</text>
  </threadedComment>
  <threadedComment ref="N2" dT="2025-08-18T11:17:26.79" personId="{CA6F44C7-3704-48A1-8AA1-AE1F0A9F0032}" id="{3949195B-79B6-4825-9D72-D73713F402B9}">
    <text>Tamaño promedio por función LoCode/NoFunctions</text>
  </threadedComment>
  <threadedComment ref="O2" dT="2025-08-18T11:19:00.53" personId="{CA6F44C7-3704-48A1-8AA1-AE1F0A9F0032}" id="{FA69C272-EDE2-49D7-85DE-BD0A089583DE}">
    <text>Índice de duplicación de código</text>
  </threadedComment>
  <threadedComment ref="R2" dT="2025-08-18T11:41:51.06" personId="{CA6F44C7-3704-48A1-8AA1-AE1F0A9F0032}" id="{74C07119-5D01-4654-A65F-83270AF1F464}">
    <text>Índice de Tamaño Promedio de Función o Método</text>
  </threadedComment>
  <threadedComment ref="S2" dT="2025-08-18T11:33:21.09" personId="{CA6F44C7-3704-48A1-8AA1-AE1F0A9F0032}" id="{79AAE0B0-BDE8-441C-B03A-D148A51EE584}">
    <text>Se calcula usando el Jaccard Similarity</text>
  </threadedComment>
  <threadedComment ref="U2" dT="2025-08-18T13:15:55.00" personId="{CA6F44C7-3704-48A1-8AA1-AE1F0A9F0032}" id="{43C10A40-BF15-4F0E-BC5C-17E2BEFBD5F4}">
    <text>Índice de Claridad de Código</text>
  </threadedComment>
  <threadedComment ref="V2" dT="2025-08-18T13:16:13.77" personId="{CA6F44C7-3704-48A1-8AA1-AE1F0A9F0032}" id="{CE918725-8B6E-4291-A7A4-AE136F43D0C1}">
    <text>Índice de Control de Complejidad</text>
  </threadedComment>
  <threadedComment ref="Y2" dT="2025-08-18T11:31:40.39" personId="{CA6F44C7-3704-48A1-8AA1-AE1F0A9F0032}" id="{D9D085FA-286A-4A2D-8766-230C56EE90F5}">
    <text>Índice de Normalización de Nombres(Usando script propio)</text>
  </threadedComment>
  <threadedComment ref="L56" dT="2025-09-02T23:52:55.48" personId="{0F501E56-C0A0-AD41-BE6C-8BDA380D57F8}" id="{C9A65E3C-9E1B-424D-B795-E7B1F83458BF}">
    <text>Esta tabla es únicamente para actualizar datos de la documentación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2194-A047-994A-90A1-B4A7491845D8}">
  <dimension ref="A1:AP102"/>
  <sheetViews>
    <sheetView zoomScale="96" zoomScaleNormal="96" workbookViewId="0">
      <selection activeCell="B2" sqref="B2:D2"/>
    </sheetView>
  </sheetViews>
  <sheetFormatPr baseColWidth="10" defaultColWidth="8.85546875" defaultRowHeight="15" x14ac:dyDescent="0.25"/>
  <cols>
    <col min="1" max="1" width="18.42578125" customWidth="1"/>
    <col min="2" max="2" width="25.140625" customWidth="1"/>
    <col min="3" max="3" width="19.5703125" customWidth="1"/>
    <col min="4" max="4" width="18.42578125" customWidth="1"/>
    <col min="5" max="5" width="18" customWidth="1"/>
    <col min="6" max="6" width="11.28515625" customWidth="1"/>
    <col min="7" max="7" width="42.28515625" customWidth="1"/>
    <col min="8" max="10" width="8.85546875" customWidth="1"/>
    <col min="11" max="11" width="7.140625" style="8" customWidth="1"/>
    <col min="12" max="12" width="8.85546875" customWidth="1"/>
    <col min="13" max="13" width="8.85546875" style="8" customWidth="1"/>
    <col min="14" max="14" width="10.7109375" style="8" customWidth="1"/>
    <col min="15" max="16" width="10.28515625" style="8" customWidth="1"/>
    <col min="17" max="17" width="8.85546875" style="8" customWidth="1"/>
    <col min="18" max="18" width="10.7109375" style="8" customWidth="1"/>
    <col min="19" max="19" width="8.140625" style="8" customWidth="1"/>
    <col min="20" max="20" width="9.85546875" style="8" customWidth="1"/>
    <col min="21" max="23" width="12.7109375" style="8" customWidth="1"/>
    <col min="24" max="24" width="12.7109375" style="8" hidden="1" customWidth="1"/>
    <col min="25" max="25" width="12.7109375" style="8" customWidth="1"/>
    <col min="26" max="26" width="13.85546875" style="8" bestFit="1" customWidth="1"/>
    <col min="27" max="28" width="12.7109375" style="8" customWidth="1"/>
    <col min="29" max="29" width="16.28515625" style="8" bestFit="1" customWidth="1"/>
    <col min="30" max="30" width="23.140625" bestFit="1" customWidth="1"/>
    <col min="31" max="31" width="9.42578125" style="8" bestFit="1" customWidth="1"/>
    <col min="32" max="32" width="31.42578125" style="8" bestFit="1" customWidth="1"/>
    <col min="33" max="33" width="17.28515625" style="8" bestFit="1" customWidth="1"/>
    <col min="34" max="34" width="8.28515625" style="8" bestFit="1" customWidth="1"/>
    <col min="35" max="35" width="20.7109375" style="8" bestFit="1" customWidth="1"/>
    <col min="36" max="36" width="17.42578125" style="8" bestFit="1" customWidth="1"/>
    <col min="37" max="37" width="20.7109375" bestFit="1" customWidth="1"/>
    <col min="38" max="38" width="7.28515625" style="8" bestFit="1" customWidth="1"/>
    <col min="39" max="39" width="20.7109375" bestFit="1" customWidth="1"/>
    <col min="40" max="40" width="22.42578125" bestFit="1" customWidth="1"/>
    <col min="41" max="41" width="8.42578125" bestFit="1" customWidth="1"/>
  </cols>
  <sheetData>
    <row r="1" spans="1:42" x14ac:dyDescent="0.25">
      <c r="K1" s="90" t="s">
        <v>0</v>
      </c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1" t="s">
        <v>1</v>
      </c>
      <c r="AF1" s="91"/>
      <c r="AG1" s="91"/>
      <c r="AH1" s="91"/>
      <c r="AI1" s="91"/>
      <c r="AJ1" s="91"/>
      <c r="AK1" s="91"/>
      <c r="AL1" s="92" t="s">
        <v>2</v>
      </c>
      <c r="AM1" s="92"/>
      <c r="AN1" s="93"/>
      <c r="AO1" s="93"/>
    </row>
    <row r="2" spans="1:42" ht="31.5" x14ac:dyDescent="0.25">
      <c r="A2" s="1" t="s">
        <v>3</v>
      </c>
      <c r="B2" s="88" t="s">
        <v>137</v>
      </c>
      <c r="C2" s="88" t="s">
        <v>139</v>
      </c>
      <c r="D2" s="88" t="s">
        <v>138</v>
      </c>
      <c r="E2" s="88" t="s">
        <v>136</v>
      </c>
      <c r="F2" s="88" t="s">
        <v>135</v>
      </c>
      <c r="G2" s="1" t="s">
        <v>5</v>
      </c>
      <c r="H2" s="1" t="s">
        <v>6</v>
      </c>
      <c r="I2" s="1" t="s">
        <v>7</v>
      </c>
      <c r="J2" s="1" t="s">
        <v>8</v>
      </c>
      <c r="K2" s="25" t="s">
        <v>9</v>
      </c>
      <c r="L2" s="1" t="s">
        <v>10</v>
      </c>
      <c r="M2" s="25" t="s">
        <v>11</v>
      </c>
      <c r="N2" s="52" t="s">
        <v>12</v>
      </c>
      <c r="O2" s="25" t="s">
        <v>13</v>
      </c>
      <c r="P2" s="52" t="s">
        <v>14</v>
      </c>
      <c r="Q2" s="25" t="s">
        <v>15</v>
      </c>
      <c r="R2" s="52" t="s">
        <v>16</v>
      </c>
      <c r="S2" s="25" t="s">
        <v>17</v>
      </c>
      <c r="T2" s="52" t="s">
        <v>18</v>
      </c>
      <c r="U2" s="52" t="s">
        <v>19</v>
      </c>
      <c r="V2" s="58" t="s">
        <v>20</v>
      </c>
      <c r="W2" s="53" t="s">
        <v>21</v>
      </c>
      <c r="X2" s="53" t="s">
        <v>22</v>
      </c>
      <c r="Y2" s="56" t="s">
        <v>23</v>
      </c>
      <c r="Z2" s="57" t="s">
        <v>24</v>
      </c>
      <c r="AA2" s="57" t="s">
        <v>25</v>
      </c>
      <c r="AB2" s="57" t="s">
        <v>26</v>
      </c>
      <c r="AC2" s="58" t="s">
        <v>27</v>
      </c>
      <c r="AD2" s="25" t="s">
        <v>28</v>
      </c>
      <c r="AE2" s="1" t="s">
        <v>29</v>
      </c>
      <c r="AF2" s="25" t="s">
        <v>30</v>
      </c>
      <c r="AG2" s="25" t="s">
        <v>31</v>
      </c>
      <c r="AH2" s="25" t="s">
        <v>32</v>
      </c>
      <c r="AI2" s="25" t="s">
        <v>33</v>
      </c>
      <c r="AJ2" s="25" t="s">
        <v>34</v>
      </c>
      <c r="AK2" s="25" t="s">
        <v>35</v>
      </c>
      <c r="AL2" s="1" t="s">
        <v>36</v>
      </c>
      <c r="AM2" s="25" t="s">
        <v>37</v>
      </c>
      <c r="AN2" s="1" t="s">
        <v>38</v>
      </c>
      <c r="AO2" s="1" t="s">
        <v>39</v>
      </c>
      <c r="AP2" s="1" t="s">
        <v>40</v>
      </c>
    </row>
    <row r="3" spans="1:42" x14ac:dyDescent="0.25">
      <c r="A3" s="19" t="s">
        <v>41</v>
      </c>
      <c r="B3" s="19"/>
      <c r="C3" s="19"/>
      <c r="D3" s="19"/>
      <c r="E3" s="16" t="s">
        <v>42</v>
      </c>
      <c r="F3" s="16">
        <v>1</v>
      </c>
      <c r="G3" s="16" t="s">
        <v>43</v>
      </c>
      <c r="H3" s="16">
        <v>6</v>
      </c>
      <c r="I3" s="16">
        <v>6</v>
      </c>
      <c r="J3" s="16">
        <v>1</v>
      </c>
      <c r="K3" s="17">
        <v>0</v>
      </c>
      <c r="L3" s="17">
        <v>0</v>
      </c>
      <c r="M3" s="17">
        <f>Tabla135[[#This Row],[ERL]]+Tabla135[[#This Row],[IRL]]</f>
        <v>0</v>
      </c>
      <c r="N3" s="17">
        <v>1</v>
      </c>
      <c r="O3" s="17">
        <v>3</v>
      </c>
      <c r="P3" s="17">
        <v>1</v>
      </c>
      <c r="Q3" s="17">
        <f>Tabla135[[#This Row],[LoCode]]/Tabla135[[#This Row],[NoFunctions]]</f>
        <v>6</v>
      </c>
      <c r="R3" s="17">
        <v>1</v>
      </c>
      <c r="S3" s="17">
        <v>0</v>
      </c>
      <c r="T3" s="17">
        <v>1</v>
      </c>
      <c r="U3" s="17"/>
      <c r="V3" s="17"/>
      <c r="W3" s="17">
        <f t="shared" ref="W3:W48" si="0">IFERROR(
 (M3*$M$3 + O3*$O$3 + Q3*$Q$3 + S3*$S$3) /
 (SQRT(M3^2+O3^2+Q3^2+S3^2) * SQRT($M$3^2+$O$3^2+$Q$3^2+$S$3^2)),
 "")</f>
        <v>0.99999999999999989</v>
      </c>
      <c r="X3" s="17">
        <f t="shared" ref="X3:X48" si="1">SQRT(4*(MAX($M$4:$S$48)-MIN($M$4:$S$48))^2)</f>
        <v>68</v>
      </c>
      <c r="Y3" s="17">
        <f t="shared" ref="Y3:Y48" si="2">1 - SQRT((M3-$M$3)^2 + (O3-$O$3)^2 + (Q3-$Q$3)^2 + (S3-$S$3)^2) / $X$3</f>
        <v>1</v>
      </c>
      <c r="Z3" s="17">
        <f t="shared" ref="Z3:Z48" si="3">IFERROR(
 (N3*$N$3 + P3*$P$3 + R3*$R$3 + T3*$T$3) /
 (SQRT(N3^2+P3^2+R3^2+T3^2) * SQRT($N$3^2+$P$3^2+$R$3^2+$T$3^2)),
"")</f>
        <v>1</v>
      </c>
      <c r="AA3" s="17">
        <f>2</f>
        <v>2</v>
      </c>
      <c r="AB3" s="17">
        <f t="shared" ref="AB3:AB48" si="4">1 -SQRT((N3-$N$3)^2 + (P3-$P$3)^2 + (R3-$R$3)^2 + (T3-$T$3)^2) / $AA$3</f>
        <v>1</v>
      </c>
      <c r="AC3" s="17"/>
      <c r="AD3" s="17" cm="1">
        <f t="array" ref="AD3">SUM(Tabla135[[#This Row],[CC]:[IDC]] - Tabla135[[#This Row],[IRC]])</f>
        <v>11</v>
      </c>
      <c r="AE3" s="16" t="str">
        <f>IF(Tabla135[[#This Row],[Valor general]]&lt; $H$51, "Alto", IF(Tabla135[[#This Row],[Valor general]]&lt; $H$53, "Medio", "Bajo"))</f>
        <v>Medio</v>
      </c>
      <c r="AF3" s="17">
        <f>1-((Tabla135[[#This Row],[TPFM]]-$Q$52) / ($Q$51-$Q$52))</f>
        <v>0.875</v>
      </c>
      <c r="AG3" s="17">
        <v>0.02</v>
      </c>
      <c r="AH3" s="17">
        <v>7.0000000000000007E-2</v>
      </c>
      <c r="AI3" s="17">
        <f>SUM(Tabla135[[#This Row],[ITPFM]:[Comentarios2]])/3</f>
        <v>0.32166666666666671</v>
      </c>
      <c r="AJ3" s="17">
        <f>Tabla135[[#This Row],[CC]]/$AI$49</f>
        <v>0.3</v>
      </c>
      <c r="AK3" s="17">
        <f>(Tabla135[[#This Row],[ICLC]]+(1-Tabla135[[#This Row],[ICC]]))/2</f>
        <v>0.51083333333333336</v>
      </c>
      <c r="AL3" s="16" t="str">
        <f>IF(Tabla135[[#This Row],[Valor general2]]&lt; $AJ$51, "Bajo", IF(Tabla135[[#This Row],[Valor general2]]&lt; $AJ$53, "Medio", "Alto"))</f>
        <v>Alto</v>
      </c>
      <c r="AM3" s="17">
        <v>1</v>
      </c>
      <c r="AN3" s="16" t="str">
        <f>IF(Tabla135[[#This Row],[INN]]&lt; $AL$51, "Bajo", IF(Tabla135[[#This Row],[INN]]&lt; $AL$53, "Medio", "Alto"))</f>
        <v>Alto</v>
      </c>
      <c r="AO3" s="17">
        <f>Tabla135[[#This Row],[Valor general]]-Tabla135[[#This Row],[Valor general2]]-Tabla135[[#This Row],[INN]]</f>
        <v>9.4891666666666659</v>
      </c>
      <c r="AP3" s="16" t="str">
        <f>IF(Tabla135[[#This Row],[Valor general de PC]]&lt; $AN$51, "Alto", IF(Tabla135[[#This Row],[Valor general de PC]]&lt; $AN$53, "Medio", "Bajo"))</f>
        <v>Medio</v>
      </c>
    </row>
    <row r="4" spans="1:42" x14ac:dyDescent="0.25">
      <c r="A4" s="2">
        <v>2024256560</v>
      </c>
      <c r="B4" s="2"/>
      <c r="C4" s="2"/>
      <c r="D4" s="2"/>
      <c r="E4" t="s">
        <v>42</v>
      </c>
      <c r="G4" t="s">
        <v>43</v>
      </c>
      <c r="H4">
        <v>5</v>
      </c>
      <c r="I4">
        <v>6</v>
      </c>
      <c r="J4">
        <v>1</v>
      </c>
      <c r="K4" s="8">
        <v>0</v>
      </c>
      <c r="L4" s="8">
        <v>0</v>
      </c>
      <c r="M4" s="8">
        <f>Tabla135[[#This Row],[ERL]]+Tabla135[[#This Row],[IRL]]</f>
        <v>0</v>
      </c>
      <c r="N4" s="8">
        <f t="shared" ref="N4:N48" si="5">1-ABS(M4-$M$3)/MAX(ABS($M$3-MIN($M$4:$M$48)),ABS($M$3-MAX($M$4:$M$48)))</f>
        <v>1</v>
      </c>
      <c r="O4" s="8">
        <v>3</v>
      </c>
      <c r="P4" s="8">
        <f t="shared" ref="P4:P48" si="6">1 - ABS(O4 - $O$3) / MAX(ABS($O$3 - MIN($O$4:$O$48)), ABS($O$3 - MAX($O$4:$O$48)))</f>
        <v>1</v>
      </c>
      <c r="Q4" s="8">
        <f>Tabla135[[#This Row],[LoCode]]/Tabla135[[#This Row],[NoFunctions]]</f>
        <v>5</v>
      </c>
      <c r="R4" s="8">
        <f t="shared" ref="R4:R48" si="7">1 - ABS(Q4 - $Q$3) / MAX(ABS($Q$3 - MIN($Q$4:$Q$48)), ABS($Q$3 - MAX($Q$4:$Q$48)))</f>
        <v>0.9642857142857143</v>
      </c>
      <c r="S4" s="8">
        <v>0.2</v>
      </c>
      <c r="T4" s="8">
        <f t="shared" ref="T4:T48" si="8">1 - ABS(S4 - $S$3) / MAX(ABS($S$3 - MIN($S$4:$S$48)), ABS($S$3 - MAX($S$4:$S$48)))</f>
        <v>0.70001499925003752</v>
      </c>
      <c r="U4" s="8">
        <f t="shared" ref="U4:U48" si="9">AVERAGE(N4,P4,R4,T4)</f>
        <v>0.91607517838393804</v>
      </c>
      <c r="V4" s="8" t="str">
        <f t="shared" ref="V4:V48" si="10">IF(U4&gt;=$U$63,"Group 1",
   IF(U4&gt;=$U$62,"Group 2","Group 3"))</f>
        <v>Group 1</v>
      </c>
      <c r="W4" s="8">
        <f t="shared" si="0"/>
        <v>0.99646849985854569</v>
      </c>
      <c r="X4" s="8">
        <f t="shared" si="1"/>
        <v>68</v>
      </c>
      <c r="Y4" s="8">
        <f t="shared" si="2"/>
        <v>0.98500288378355061</v>
      </c>
      <c r="Z4" s="8">
        <f t="shared" si="3"/>
        <v>0.99073257723982577</v>
      </c>
      <c r="AA4" s="8">
        <f>2</f>
        <v>2</v>
      </c>
      <c r="AB4" s="8">
        <f t="shared" si="4"/>
        <v>0.84894826144741287</v>
      </c>
      <c r="AC4" s="8" t="str">
        <f>IF(AB4&gt;=$AB$63,"Group 1",
   IF(AB4&gt;=$AB$62,"Group 2","Group 3"))</f>
        <v>Group 2</v>
      </c>
      <c r="AD4" s="8" cm="1">
        <f t="array" ref="AD4">SUM(Tabla135[[#This Row],[CC]:[IDC]] - Tabla135[[#This Row],[IRC]])</f>
        <v>10.164285714285713</v>
      </c>
      <c r="AE4" t="str">
        <f>IF(Tabla135[[#This Row],[Valor general]]&lt; $H$51, "Alto", IF(Tabla135[[#This Row],[Valor general]]&lt; $H$53, "Medio", "Bajo"))</f>
        <v>Alto</v>
      </c>
      <c r="AF4" s="8">
        <f>1-((Tabla135[[#This Row],[TPFM]]-$Q$52) / ($Q$51-$Q$52))</f>
        <v>0.90625</v>
      </c>
      <c r="AG4" s="8">
        <v>0.02</v>
      </c>
      <c r="AH4" s="8">
        <v>7.0000000000000007E-2</v>
      </c>
      <c r="AI4" s="8">
        <f>SUM(Tabla135[[#This Row],[ITPFM]:[Comentarios2]])/3</f>
        <v>0.33208333333333334</v>
      </c>
      <c r="AJ4" s="8">
        <f>Tabla135[[#This Row],[CC]]/$AI$49</f>
        <v>0.3</v>
      </c>
      <c r="AK4" s="8">
        <f>(Tabla135[[#This Row],[ICLC]]+(1-Tabla135[[#This Row],[ICC]]))/2</f>
        <v>0.51604166666666662</v>
      </c>
      <c r="AL4" t="str">
        <f>IF(Tabla135[[#This Row],[Valor general2]]&lt; $AJ$51, "Bajo", IF(Tabla135[[#This Row],[Valor general2]]&lt; $AJ$53, "Medio", "Alto"))</f>
        <v>Alto</v>
      </c>
      <c r="AM4" s="8">
        <v>1</v>
      </c>
      <c r="AN4" t="str">
        <f>IF(Tabla135[[#This Row],[INN]]&lt; $AL$51, "Bajo", IF(Tabla135[[#This Row],[INN]]&lt; $AL$53, "Medio", "Alto"))</f>
        <v>Alto</v>
      </c>
      <c r="AO4" s="8">
        <f>Tabla135[[#This Row],[Valor general]]-Tabla135[[#This Row],[Valor general2]]-Tabla135[[#This Row],[INN]]</f>
        <v>8.6482440476190465</v>
      </c>
      <c r="AP4" t="str">
        <f>IF(Tabla135[[#This Row],[Valor general de PC]]&lt; $AN$51, "Alto", IF(Tabla135[[#This Row],[Valor general de PC]]&lt; $AN$53, "Medio", "Bajo"))</f>
        <v>Alto</v>
      </c>
    </row>
    <row r="5" spans="1:42" x14ac:dyDescent="0.25">
      <c r="A5" s="2">
        <v>2016220461</v>
      </c>
      <c r="B5" s="2"/>
      <c r="C5" s="2"/>
      <c r="D5" s="2"/>
      <c r="E5" t="s">
        <v>44</v>
      </c>
      <c r="F5">
        <v>0</v>
      </c>
      <c r="G5" t="s">
        <v>45</v>
      </c>
      <c r="H5">
        <v>5</v>
      </c>
      <c r="I5">
        <v>0</v>
      </c>
      <c r="J5">
        <v>1</v>
      </c>
      <c r="K5" s="8">
        <v>0</v>
      </c>
      <c r="L5" s="8">
        <f>0/Tabla135[[#This Row],[LoCode]]</f>
        <v>0</v>
      </c>
      <c r="M5" s="8">
        <f>Tabla135[[#This Row],[ERL]]+Tabla135[[#This Row],[IRL]]</f>
        <v>0</v>
      </c>
      <c r="N5" s="8">
        <f t="shared" si="5"/>
        <v>1</v>
      </c>
      <c r="O5" s="8">
        <v>3</v>
      </c>
      <c r="P5" s="8">
        <f t="shared" si="6"/>
        <v>1</v>
      </c>
      <c r="Q5" s="8">
        <f>Tabla135[[#This Row],[LoCode]]/Tabla135[[#This Row],[NoFunctions]]</f>
        <v>5</v>
      </c>
      <c r="R5" s="8">
        <f t="shared" si="7"/>
        <v>0.9642857142857143</v>
      </c>
      <c r="S5" s="8">
        <v>0</v>
      </c>
      <c r="T5" s="8">
        <f t="shared" si="8"/>
        <v>1</v>
      </c>
      <c r="U5" s="8">
        <f t="shared" si="9"/>
        <v>0.9910714285714286</v>
      </c>
      <c r="V5" s="8" t="str">
        <f t="shared" si="10"/>
        <v>Group 1</v>
      </c>
      <c r="W5" s="8">
        <f t="shared" si="0"/>
        <v>0.99705448550158149</v>
      </c>
      <c r="X5" s="8">
        <f t="shared" si="1"/>
        <v>68</v>
      </c>
      <c r="Y5" s="8">
        <f t="shared" si="2"/>
        <v>0.98529411764705888</v>
      </c>
      <c r="Z5" s="8">
        <f t="shared" si="3"/>
        <v>0.99987827886267377</v>
      </c>
      <c r="AA5" s="8">
        <f>2</f>
        <v>2</v>
      </c>
      <c r="AB5" s="8">
        <f t="shared" si="4"/>
        <v>0.98214285714285721</v>
      </c>
      <c r="AC5" s="8" t="str">
        <f t="shared" ref="AC5:AC48" si="11">IF(AB5&gt;=$AB$63,"Group 1",
   IF(AB5&gt;=$AB$62,"Group 2","Group 3"))</f>
        <v>Group 1</v>
      </c>
      <c r="AD5" s="8" cm="1">
        <f t="array" ref="AD5">SUM(Tabla135[[#This Row],[CC]:[IDC]] - Tabla135[[#This Row],[IRC]])</f>
        <v>9.9642857142857135</v>
      </c>
      <c r="AE5" t="str">
        <f>IF(Tabla135[[#This Row],[Valor general]]&lt; $H$51, "Alto", IF(Tabla135[[#This Row],[Valor general]]&lt; $H$53, "Medio", "Bajo"))</f>
        <v>Alto</v>
      </c>
      <c r="AF5" s="8">
        <f>1-((Tabla135[[#This Row],[TPFM]]-$Q$52) / ($Q$51-$Q$52))</f>
        <v>0.90625</v>
      </c>
      <c r="AG5" s="8">
        <v>0.04</v>
      </c>
      <c r="AH5" s="8">
        <v>0</v>
      </c>
      <c r="AI5" s="8">
        <f>SUM(Tabla135[[#This Row],[ITPFM]:[Comentarios2]])/3</f>
        <v>0.31541666666666668</v>
      </c>
      <c r="AJ5" s="8">
        <f>Tabla135[[#This Row],[CC]]/$AI$49</f>
        <v>0.3</v>
      </c>
      <c r="AK5" s="8">
        <f>(Tabla135[[#This Row],[ICLC]]+(1-Tabla135[[#This Row],[ICC]]))/2</f>
        <v>0.50770833333333332</v>
      </c>
      <c r="AL5" t="str">
        <f>IF(Tabla135[[#This Row],[Valor general2]]&lt; $AJ$51, "Bajo", IF(Tabla135[[#This Row],[Valor general2]]&lt; $AJ$53, "Medio", "Alto"))</f>
        <v>Alto</v>
      </c>
      <c r="AM5" s="8">
        <v>1</v>
      </c>
      <c r="AN5" t="str">
        <f>IF(Tabla135[[#This Row],[INN]]&lt; $AL$51, "Bajo", IF(Tabla135[[#This Row],[INN]]&lt; $AL$53, "Medio", "Alto"))</f>
        <v>Alto</v>
      </c>
      <c r="AO5" s="8">
        <f>Tabla135[[#This Row],[Valor general]]-Tabla135[[#This Row],[Valor general2]]-Tabla135[[#This Row],[INN]]</f>
        <v>8.4565773809523801</v>
      </c>
      <c r="AP5" t="str">
        <f>IF(Tabla135[[#This Row],[Valor general de PC]]&lt; $AN$51, "Alto", IF(Tabla135[[#This Row],[Valor general de PC]]&lt; $AN$53, "Medio", "Bajo"))</f>
        <v>Alto</v>
      </c>
    </row>
    <row r="6" spans="1:42" x14ac:dyDescent="0.25">
      <c r="A6" s="28">
        <v>2020184824</v>
      </c>
      <c r="B6" s="28"/>
      <c r="C6" s="28"/>
      <c r="D6" s="28"/>
      <c r="E6" s="29" t="s">
        <v>42</v>
      </c>
      <c r="F6" s="29"/>
      <c r="G6" s="29" t="s">
        <v>43</v>
      </c>
      <c r="H6" s="29">
        <v>2</v>
      </c>
      <c r="I6" s="29">
        <v>0</v>
      </c>
      <c r="J6" s="29">
        <v>1</v>
      </c>
      <c r="K6" s="30">
        <v>0</v>
      </c>
      <c r="L6" s="8">
        <f>0/Tabla135[[#This Row],[LoCode]]</f>
        <v>0</v>
      </c>
      <c r="M6" s="30">
        <f>Tabla135[[#This Row],[ERL]]+Tabla135[[#This Row],[IRL]]</f>
        <v>0</v>
      </c>
      <c r="N6" s="30">
        <f t="shared" si="5"/>
        <v>1</v>
      </c>
      <c r="O6" s="30">
        <v>1</v>
      </c>
      <c r="P6" s="30">
        <f t="shared" si="6"/>
        <v>0.8</v>
      </c>
      <c r="Q6" s="30">
        <f>Tabla135[[#This Row],[LoCode]]/Tabla135[[#This Row],[NoFunctions]]</f>
        <v>2</v>
      </c>
      <c r="R6" s="30">
        <f t="shared" si="7"/>
        <v>0.85714285714285721</v>
      </c>
      <c r="S6" s="30">
        <v>0</v>
      </c>
      <c r="T6" s="30">
        <f t="shared" si="8"/>
        <v>1</v>
      </c>
      <c r="U6" s="8">
        <f t="shared" si="9"/>
        <v>0.91428571428571437</v>
      </c>
      <c r="V6" s="8" t="str">
        <f t="shared" si="10"/>
        <v>Group 2</v>
      </c>
      <c r="W6" s="8">
        <f t="shared" si="0"/>
        <v>0.99999999999999989</v>
      </c>
      <c r="X6" s="8">
        <f t="shared" si="1"/>
        <v>68</v>
      </c>
      <c r="Y6" s="8">
        <f t="shared" si="2"/>
        <v>0.93423329477941797</v>
      </c>
      <c r="Z6" s="8">
        <f t="shared" si="3"/>
        <v>0.99539335652000449</v>
      </c>
      <c r="AA6" s="8">
        <f>2</f>
        <v>2</v>
      </c>
      <c r="AB6" s="8">
        <f t="shared" si="4"/>
        <v>0.87710963904224826</v>
      </c>
      <c r="AC6" s="8" t="str">
        <f t="shared" si="11"/>
        <v>Group 1</v>
      </c>
      <c r="AD6" s="30" cm="1">
        <f t="array" ref="AD6">SUM(Tabla135[[#This Row],[CC]:[IDC]] - Tabla135[[#This Row],[IRC]])</f>
        <v>4.6571428571428566</v>
      </c>
      <c r="AE6" s="29" t="str">
        <f>IF(Tabla135[[#This Row],[Valor general]]&lt; $H$51, "Alto", IF(Tabla135[[#This Row],[Valor general]]&lt; $H$53, "Medio", "Bajo"))</f>
        <v>Alto</v>
      </c>
      <c r="AF6" s="30">
        <f>1-((Tabla135[[#This Row],[TPFM]]-$Q$52) / ($Q$51-$Q$52))</f>
        <v>1</v>
      </c>
      <c r="AG6" s="30">
        <v>0.02</v>
      </c>
      <c r="AH6" s="30">
        <v>0</v>
      </c>
      <c r="AI6" s="30">
        <f>SUM(Tabla135[[#This Row],[ITPFM]:[Comentarios2]])/3</f>
        <v>0.34</v>
      </c>
      <c r="AJ6" s="30">
        <f>Tabla135[[#This Row],[CC]]/$AI$49</f>
        <v>0.1</v>
      </c>
      <c r="AK6" s="30">
        <f>(Tabla135[[#This Row],[ICLC]]+(1-Tabla135[[#This Row],[ICC]]))/2</f>
        <v>0.62</v>
      </c>
      <c r="AL6" s="29" t="str">
        <f>IF(Tabla135[[#This Row],[Valor general2]]&lt; $AJ$51, "Bajo", IF(Tabla135[[#This Row],[Valor general2]]&lt; $AJ$53, "Medio", "Alto"))</f>
        <v>Alto</v>
      </c>
      <c r="AM6" s="8">
        <v>1</v>
      </c>
      <c r="AN6" s="29" t="str">
        <f>IF(Tabla135[[#This Row],[INN]]&lt; $AL$51, "Bajo", IF(Tabla135[[#This Row],[INN]]&lt; $AL$53, "Medio", "Alto"))</f>
        <v>Alto</v>
      </c>
      <c r="AO6" s="30">
        <f>Tabla135[[#This Row],[Valor general]]-Tabla135[[#This Row],[Valor general2]]-Tabla135[[#This Row],[INN]]</f>
        <v>3.0371428571428565</v>
      </c>
      <c r="AP6" s="29" t="str">
        <f>IF(Tabla135[[#This Row],[Valor general de PC]]&lt; $AN$51, "Alto", IF(Tabla135[[#This Row],[Valor general de PC]]&lt; $AN$53, "Medio", "Bajo"))</f>
        <v>Alto</v>
      </c>
    </row>
    <row r="7" spans="1:42" x14ac:dyDescent="0.25">
      <c r="A7" s="2">
        <v>2022000033</v>
      </c>
      <c r="B7" s="2"/>
      <c r="C7" s="2"/>
      <c r="D7" s="2"/>
      <c r="E7" t="s">
        <v>46</v>
      </c>
      <c r="G7" t="s">
        <v>47</v>
      </c>
      <c r="H7">
        <v>8</v>
      </c>
      <c r="I7">
        <v>2</v>
      </c>
      <c r="J7">
        <v>1</v>
      </c>
      <c r="K7" s="8">
        <v>0</v>
      </c>
      <c r="L7" s="8">
        <f>0/Tabla135[[#This Row],[LoCode]]</f>
        <v>0</v>
      </c>
      <c r="M7" s="8">
        <f>Tabla135[[#This Row],[ERL]]+Tabla135[[#This Row],[IRL]]</f>
        <v>0</v>
      </c>
      <c r="N7" s="8">
        <f t="shared" si="5"/>
        <v>1</v>
      </c>
      <c r="O7" s="8">
        <v>4</v>
      </c>
      <c r="P7" s="8">
        <f t="shared" si="6"/>
        <v>0.9</v>
      </c>
      <c r="Q7" s="8">
        <f>Tabla135[[#This Row],[LoCode]]/Tabla135[[#This Row],[NoFunctions]]</f>
        <v>8</v>
      </c>
      <c r="R7" s="8">
        <f t="shared" si="7"/>
        <v>0.9285714285714286</v>
      </c>
      <c r="S7" s="8">
        <v>0.25</v>
      </c>
      <c r="T7" s="8">
        <f t="shared" si="8"/>
        <v>0.62501874906254684</v>
      </c>
      <c r="U7" s="8">
        <f t="shared" si="9"/>
        <v>0.86339754440849381</v>
      </c>
      <c r="V7" s="8" t="str">
        <f t="shared" si="10"/>
        <v>Group 2</v>
      </c>
      <c r="W7" s="8">
        <f t="shared" si="0"/>
        <v>0.99960960373292607</v>
      </c>
      <c r="X7" s="8">
        <f t="shared" si="1"/>
        <v>68</v>
      </c>
      <c r="Y7" s="8">
        <f t="shared" si="2"/>
        <v>0.96691176470588236</v>
      </c>
      <c r="Z7" s="8">
        <f t="shared" si="3"/>
        <v>0.98667669048166451</v>
      </c>
      <c r="AA7" s="8">
        <f>2</f>
        <v>2</v>
      </c>
      <c r="AB7" s="8">
        <f t="shared" si="4"/>
        <v>0.80269758024105253</v>
      </c>
      <c r="AC7" s="8" t="str">
        <f t="shared" si="11"/>
        <v>Group 2</v>
      </c>
      <c r="AD7" s="8" cm="1">
        <f t="array" ref="AD7">SUM(Tabla135[[#This Row],[CC]:[IDC]] - Tabla135[[#This Row],[IRC]])</f>
        <v>14.078571428571429</v>
      </c>
      <c r="AE7" t="str">
        <f>IF(Tabla135[[#This Row],[Valor general]]&lt; $H$51, "Alto", IF(Tabla135[[#This Row],[Valor general]]&lt; $H$53, "Medio", "Bajo"))</f>
        <v>Medio</v>
      </c>
      <c r="AF7" s="8">
        <f>1-((Tabla135[[#This Row],[TPFM]]-$Q$52) / ($Q$51-$Q$52))</f>
        <v>0.8125</v>
      </c>
      <c r="AG7" s="8">
        <v>0.04</v>
      </c>
      <c r="AH7" s="8">
        <v>0</v>
      </c>
      <c r="AI7" s="8">
        <f>SUM(Tabla135[[#This Row],[ITPFM]:[Comentarios2]])/3</f>
        <v>0.28416666666666668</v>
      </c>
      <c r="AJ7" s="8">
        <f>Tabla135[[#This Row],[CC]]/$AI$49</f>
        <v>0.4</v>
      </c>
      <c r="AK7" s="8">
        <f>(Tabla135[[#This Row],[ICLC]]+(1-Tabla135[[#This Row],[ICC]]))/2</f>
        <v>0.44208333333333333</v>
      </c>
      <c r="AL7" t="str">
        <f>IF(Tabla135[[#This Row],[Valor general2]]&lt; $AJ$51, "Bajo", IF(Tabla135[[#This Row],[Valor general2]]&lt; $AJ$53, "Medio", "Alto"))</f>
        <v>Medio</v>
      </c>
      <c r="AM7" s="8">
        <v>1</v>
      </c>
      <c r="AN7" t="str">
        <f>IF(Tabla135[[#This Row],[INN]]&lt; $AL$51, "Bajo", IF(Tabla135[[#This Row],[INN]]&lt; $AL$53, "Medio", "Alto"))</f>
        <v>Alto</v>
      </c>
      <c r="AO7" s="8">
        <f>Tabla135[[#This Row],[Valor general]]-Tabla135[[#This Row],[Valor general2]]-Tabla135[[#This Row],[INN]]</f>
        <v>12.636488095238096</v>
      </c>
      <c r="AP7" t="str">
        <f>IF(Tabla135[[#This Row],[Valor general de PC]]&lt; $AN$51, "Alto", IF(Tabla135[[#This Row],[Valor general de PC]]&lt; $AN$53, "Medio", "Bajo"))</f>
        <v>Medio</v>
      </c>
    </row>
    <row r="8" spans="1:42" x14ac:dyDescent="0.25">
      <c r="A8" s="2">
        <v>2022146515</v>
      </c>
      <c r="B8" s="2"/>
      <c r="C8" s="2"/>
      <c r="D8" s="2"/>
      <c r="E8" t="s">
        <v>42</v>
      </c>
      <c r="H8">
        <v>7</v>
      </c>
      <c r="I8">
        <v>2</v>
      </c>
      <c r="J8">
        <v>1</v>
      </c>
      <c r="K8" s="8">
        <v>0</v>
      </c>
      <c r="L8" s="8">
        <f>0/Tabla135[[#This Row],[LoCode]]</f>
        <v>0</v>
      </c>
      <c r="M8" s="8">
        <f>Tabla135[[#This Row],[ERL]]+Tabla135[[#This Row],[IRL]]</f>
        <v>0</v>
      </c>
      <c r="N8" s="8">
        <f t="shared" si="5"/>
        <v>1</v>
      </c>
      <c r="O8" s="8">
        <v>3</v>
      </c>
      <c r="P8" s="8">
        <f t="shared" si="6"/>
        <v>1</v>
      </c>
      <c r="Q8" s="8">
        <f>Tabla135[[#This Row],[LoCode]]/Tabla135[[#This Row],[NoFunctions]]</f>
        <v>7</v>
      </c>
      <c r="R8" s="8">
        <f t="shared" si="7"/>
        <v>0.9642857142857143</v>
      </c>
      <c r="S8" s="8">
        <v>0</v>
      </c>
      <c r="T8" s="8">
        <f t="shared" si="8"/>
        <v>1</v>
      </c>
      <c r="U8" s="8">
        <f t="shared" si="9"/>
        <v>0.9910714285714286</v>
      </c>
      <c r="V8" s="8" t="str">
        <f t="shared" si="10"/>
        <v>Group 1</v>
      </c>
      <c r="W8" s="8">
        <f t="shared" si="0"/>
        <v>0.99827437317499579</v>
      </c>
      <c r="X8" s="8">
        <f t="shared" si="1"/>
        <v>68</v>
      </c>
      <c r="Y8" s="8">
        <f t="shared" si="2"/>
        <v>0.98529411764705888</v>
      </c>
      <c r="Z8" s="8">
        <f t="shared" si="3"/>
        <v>0.99987827886267377</v>
      </c>
      <c r="AA8" s="8">
        <f>2</f>
        <v>2</v>
      </c>
      <c r="AB8" s="8">
        <f t="shared" si="4"/>
        <v>0.98214285714285721</v>
      </c>
      <c r="AC8" s="8" t="str">
        <f t="shared" si="11"/>
        <v>Group 1</v>
      </c>
      <c r="AD8" s="8" cm="1">
        <f t="array" ref="AD8">SUM(Tabla135[[#This Row],[CC]:[IDC]] - Tabla135[[#This Row],[IRC]])</f>
        <v>11.964285714285714</v>
      </c>
      <c r="AE8" t="str">
        <f>IF(Tabla135[[#This Row],[Valor general]]&lt; $H$51, "Alto", IF(Tabla135[[#This Row],[Valor general]]&lt; $H$53, "Medio", "Bajo"))</f>
        <v>Medio</v>
      </c>
      <c r="AF8" s="8">
        <f>1-((Tabla135[[#This Row],[TPFM]]-$Q$52) / ($Q$51-$Q$52))</f>
        <v>0.84375</v>
      </c>
      <c r="AG8" s="8">
        <v>0.02</v>
      </c>
      <c r="AH8" s="8">
        <v>0.11</v>
      </c>
      <c r="AI8" s="8">
        <f>SUM(Tabla135[[#This Row],[ITPFM]:[Comentarios2]])/3</f>
        <v>0.32458333333333333</v>
      </c>
      <c r="AJ8" s="8">
        <f>Tabla135[[#This Row],[CC]]/$AI$49</f>
        <v>0.3</v>
      </c>
      <c r="AK8" s="8">
        <f>(Tabla135[[#This Row],[ICLC]]+(1-Tabla135[[#This Row],[ICC]]))/2</f>
        <v>0.51229166666666659</v>
      </c>
      <c r="AL8" t="str">
        <f>IF(Tabla135[[#This Row],[Valor general2]]&lt; $AJ$51, "Bajo", IF(Tabla135[[#This Row],[Valor general2]]&lt; $AJ$53, "Medio", "Alto"))</f>
        <v>Alto</v>
      </c>
      <c r="AM8" s="8">
        <v>1</v>
      </c>
      <c r="AN8" t="str">
        <f>IF(Tabla135[[#This Row],[INN]]&lt; $AL$51, "Bajo", IF(Tabla135[[#This Row],[INN]]&lt; $AL$53, "Medio", "Alto"))</f>
        <v>Alto</v>
      </c>
      <c r="AO8" s="8">
        <f>Tabla135[[#This Row],[Valor general]]-Tabla135[[#This Row],[Valor general2]]-Tabla135[[#This Row],[INN]]</f>
        <v>10.451994047619047</v>
      </c>
      <c r="AP8" t="str">
        <f>IF(Tabla135[[#This Row],[Valor general de PC]]&lt; $AN$51, "Alto", IF(Tabla135[[#This Row],[Valor general de PC]]&lt; $AN$53, "Medio", "Bajo"))</f>
        <v>Medio</v>
      </c>
    </row>
    <row r="9" spans="1:42" x14ac:dyDescent="0.25">
      <c r="A9" s="2">
        <v>2022163260</v>
      </c>
      <c r="B9" s="2"/>
      <c r="C9" s="2"/>
      <c r="D9" s="2"/>
      <c r="E9" t="s">
        <v>42</v>
      </c>
      <c r="G9" t="s">
        <v>43</v>
      </c>
      <c r="H9">
        <v>5</v>
      </c>
      <c r="I9">
        <v>0</v>
      </c>
      <c r="J9">
        <v>1</v>
      </c>
      <c r="K9" s="8">
        <v>0</v>
      </c>
      <c r="L9" s="8">
        <f>0/Tabla135[[#This Row],[LoCode]]</f>
        <v>0</v>
      </c>
      <c r="M9" s="8">
        <f>Tabla135[[#This Row],[ERL]]+Tabla135[[#This Row],[IRL]]</f>
        <v>0</v>
      </c>
      <c r="N9" s="8">
        <f t="shared" si="5"/>
        <v>1</v>
      </c>
      <c r="O9" s="8">
        <v>3</v>
      </c>
      <c r="P9" s="8">
        <f t="shared" si="6"/>
        <v>1</v>
      </c>
      <c r="Q9" s="8">
        <f>Tabla135[[#This Row],[LoCode]]/Tabla135[[#This Row],[NoFunctions]]</f>
        <v>5</v>
      </c>
      <c r="R9" s="8">
        <f t="shared" si="7"/>
        <v>0.9642857142857143</v>
      </c>
      <c r="S9" s="8">
        <v>0</v>
      </c>
      <c r="T9" s="8">
        <f t="shared" si="8"/>
        <v>1</v>
      </c>
      <c r="U9" s="8">
        <f t="shared" si="9"/>
        <v>0.9910714285714286</v>
      </c>
      <c r="V9" s="8" t="str">
        <f t="shared" si="10"/>
        <v>Group 1</v>
      </c>
      <c r="W9" s="8">
        <f t="shared" si="0"/>
        <v>0.99705448550158149</v>
      </c>
      <c r="X9" s="8">
        <f t="shared" si="1"/>
        <v>68</v>
      </c>
      <c r="Y9" s="8">
        <f t="shared" si="2"/>
        <v>0.98529411764705888</v>
      </c>
      <c r="Z9" s="8">
        <f t="shared" si="3"/>
        <v>0.99987827886267377</v>
      </c>
      <c r="AA9" s="8">
        <f>2</f>
        <v>2</v>
      </c>
      <c r="AB9" s="8">
        <f t="shared" si="4"/>
        <v>0.98214285714285721</v>
      </c>
      <c r="AC9" s="8" t="str">
        <f t="shared" si="11"/>
        <v>Group 1</v>
      </c>
      <c r="AD9" s="8" cm="1">
        <f t="array" ref="AD9">SUM(Tabla135[[#This Row],[CC]:[IDC]] - Tabla135[[#This Row],[IRC]])</f>
        <v>9.9642857142857135</v>
      </c>
      <c r="AE9" t="str">
        <f>IF(Tabla135[[#This Row],[Valor general]]&lt; $H$51, "Alto", IF(Tabla135[[#This Row],[Valor general]]&lt; $H$53, "Medio", "Bajo"))</f>
        <v>Alto</v>
      </c>
      <c r="AF9" s="8">
        <f>1-((Tabla135[[#This Row],[TPFM]]-$Q$52) / ($Q$51-$Q$52))</f>
        <v>0.90625</v>
      </c>
      <c r="AG9" s="8">
        <v>0.02</v>
      </c>
      <c r="AH9" s="8">
        <v>0.08</v>
      </c>
      <c r="AI9" s="8">
        <f>SUM(Tabla135[[#This Row],[ITPFM]:[Comentarios2]])/3</f>
        <v>0.3354166666666667</v>
      </c>
      <c r="AJ9" s="8">
        <f>Tabla135[[#This Row],[CC]]/$AI$49</f>
        <v>0.3</v>
      </c>
      <c r="AK9" s="8">
        <f>(Tabla135[[#This Row],[ICLC]]+(1-Tabla135[[#This Row],[ICC]]))/2</f>
        <v>0.51770833333333333</v>
      </c>
      <c r="AL9" t="str">
        <f>IF(Tabla135[[#This Row],[Valor general2]]&lt; $AJ$51, "Bajo", IF(Tabla135[[#This Row],[Valor general2]]&lt; $AJ$53, "Medio", "Alto"))</f>
        <v>Alto</v>
      </c>
      <c r="AM9" s="8">
        <v>1</v>
      </c>
      <c r="AN9" t="str">
        <f>IF(Tabla135[[#This Row],[INN]]&lt; $AL$51, "Bajo", IF(Tabla135[[#This Row],[INN]]&lt; $AL$53, "Medio", "Alto"))</f>
        <v>Alto</v>
      </c>
      <c r="AO9" s="8">
        <f>Tabla135[[#This Row],[Valor general]]-Tabla135[[#This Row],[Valor general2]]-Tabla135[[#This Row],[INN]]</f>
        <v>8.4465773809523803</v>
      </c>
      <c r="AP9" t="str">
        <f>IF(Tabla135[[#This Row],[Valor general de PC]]&lt; $AN$51, "Alto", IF(Tabla135[[#This Row],[Valor general de PC]]&lt; $AN$53, "Medio", "Bajo"))</f>
        <v>Alto</v>
      </c>
    </row>
    <row r="10" spans="1:42" x14ac:dyDescent="0.25">
      <c r="A10" s="2">
        <v>2023066681</v>
      </c>
      <c r="B10" s="2"/>
      <c r="C10" s="2"/>
      <c r="D10" s="2"/>
      <c r="E10" t="s">
        <v>46</v>
      </c>
      <c r="G10" t="s">
        <v>48</v>
      </c>
      <c r="H10">
        <v>17</v>
      </c>
      <c r="I10">
        <v>0</v>
      </c>
      <c r="J10">
        <v>1</v>
      </c>
      <c r="K10" s="8">
        <v>0</v>
      </c>
      <c r="L10" s="8">
        <f>0</f>
        <v>0</v>
      </c>
      <c r="M10" s="8">
        <f>Tabla135[[#This Row],[ERL]]+Tabla135[[#This Row],[IRL]]</f>
        <v>0</v>
      </c>
      <c r="N10" s="8">
        <f t="shared" si="5"/>
        <v>1</v>
      </c>
      <c r="O10" s="8">
        <v>5</v>
      </c>
      <c r="P10" s="8">
        <f t="shared" si="6"/>
        <v>0.8</v>
      </c>
      <c r="Q10" s="8">
        <f>Tabla135[[#This Row],[LoCode]]/Tabla135[[#This Row],[NoFunctions]]</f>
        <v>17</v>
      </c>
      <c r="R10" s="8">
        <f t="shared" si="7"/>
        <v>0.60714285714285721</v>
      </c>
      <c r="S10" s="8">
        <v>0.29409999999999997</v>
      </c>
      <c r="T10" s="8">
        <f t="shared" si="8"/>
        <v>0.55887205639718007</v>
      </c>
      <c r="U10" s="8">
        <f t="shared" si="9"/>
        <v>0.74150372838500944</v>
      </c>
      <c r="V10" s="8" t="str">
        <f t="shared" si="10"/>
        <v>Group 2</v>
      </c>
      <c r="W10" s="8">
        <f t="shared" si="0"/>
        <v>0.9841356707412291</v>
      </c>
      <c r="X10" s="8">
        <f t="shared" si="1"/>
        <v>68</v>
      </c>
      <c r="Y10" s="8">
        <f t="shared" si="2"/>
        <v>0.83552636199889552</v>
      </c>
      <c r="Z10" s="8">
        <f t="shared" si="3"/>
        <v>0.97344062556770983</v>
      </c>
      <c r="AA10" s="8">
        <f>2</f>
        <v>2</v>
      </c>
      <c r="AB10" s="8">
        <f t="shared" si="4"/>
        <v>0.688178497646037</v>
      </c>
      <c r="AC10" s="8" t="str">
        <f t="shared" si="11"/>
        <v>Group 2</v>
      </c>
      <c r="AD10" s="8" cm="1">
        <f t="array" ref="AD10">SUM(Tabla135[[#This Row],[CC]:[IDC]] - Tabla135[[#This Row],[IRC]])</f>
        <v>23.701242857142859</v>
      </c>
      <c r="AE10" t="str">
        <f>IF(Tabla135[[#This Row],[Valor general]]&lt; $H$51, "Alto", IF(Tabla135[[#This Row],[Valor general]]&lt; $H$53, "Medio", "Bajo"))</f>
        <v>Bajo</v>
      </c>
      <c r="AF10" s="8">
        <f>1-((Tabla135[[#This Row],[TPFM]]-$Q$52) / ($Q$51-$Q$52))</f>
        <v>0.53125</v>
      </c>
      <c r="AG10" s="8">
        <v>0.02</v>
      </c>
      <c r="AH10" s="8">
        <v>0</v>
      </c>
      <c r="AI10" s="8">
        <f>SUM(Tabla135[[#This Row],[ITPFM]:[Comentarios2]])/3</f>
        <v>0.18375</v>
      </c>
      <c r="AJ10" s="8">
        <f>Tabla135[[#This Row],[CC]]/$AI$49</f>
        <v>0.5</v>
      </c>
      <c r="AK10" s="8">
        <f>(Tabla135[[#This Row],[ICLC]]+(1-Tabla135[[#This Row],[ICC]]))/2</f>
        <v>0.34187499999999998</v>
      </c>
      <c r="AL10" t="str">
        <f>IF(Tabla135[[#This Row],[Valor general2]]&lt; $AJ$51, "Bajo", IF(Tabla135[[#This Row],[Valor general2]]&lt; $AJ$53, "Medio", "Alto"))</f>
        <v>Medio</v>
      </c>
      <c r="AM10" s="8">
        <v>1</v>
      </c>
      <c r="AN10" t="str">
        <f>IF(Tabla135[[#This Row],[INN]]&lt; $AL$51, "Bajo", IF(Tabla135[[#This Row],[INN]]&lt; $AL$53, "Medio", "Alto"))</f>
        <v>Alto</v>
      </c>
      <c r="AO10" s="8">
        <f>Tabla135[[#This Row],[Valor general]]-Tabla135[[#This Row],[Valor general2]]-Tabla135[[#This Row],[INN]]</f>
        <v>22.359367857142857</v>
      </c>
      <c r="AP10" t="str">
        <f>IF(Tabla135[[#This Row],[Valor general de PC]]&lt; $AN$51, "Alto", IF(Tabla135[[#This Row],[Valor general de PC]]&lt; $AN$53, "Medio", "Bajo"))</f>
        <v>Bajo</v>
      </c>
    </row>
    <row r="11" spans="1:42" x14ac:dyDescent="0.25">
      <c r="A11" s="2">
        <v>2023112646</v>
      </c>
      <c r="B11" s="2">
        <v>3</v>
      </c>
      <c r="C11" s="2"/>
      <c r="D11" s="2">
        <v>5.8</v>
      </c>
      <c r="E11" t="s">
        <v>46</v>
      </c>
      <c r="F11">
        <v>0.5</v>
      </c>
      <c r="G11" t="s">
        <v>48</v>
      </c>
      <c r="H11">
        <v>23</v>
      </c>
      <c r="I11">
        <v>0</v>
      </c>
      <c r="J11">
        <v>1</v>
      </c>
      <c r="K11" s="8">
        <v>0</v>
      </c>
      <c r="L11" s="8">
        <v>0</v>
      </c>
      <c r="M11" s="8">
        <f>Tabla135[[#This Row],[ERL]]+Tabla135[[#This Row],[IRL]]</f>
        <v>0</v>
      </c>
      <c r="N11" s="8">
        <f t="shared" si="5"/>
        <v>1</v>
      </c>
      <c r="O11" s="8">
        <v>7</v>
      </c>
      <c r="P11" s="8">
        <f t="shared" si="6"/>
        <v>0.6</v>
      </c>
      <c r="Q11" s="8">
        <f>Tabla135[[#This Row],[LoCode]]/Tabla135[[#This Row],[NoFunctions]]</f>
        <v>23</v>
      </c>
      <c r="R11" s="8">
        <f t="shared" si="7"/>
        <v>0.3928571428571429</v>
      </c>
      <c r="S11" s="8">
        <v>0.39129999999999998</v>
      </c>
      <c r="T11" s="8">
        <f t="shared" si="8"/>
        <v>0.41307934603269836</v>
      </c>
      <c r="U11" s="8">
        <f t="shared" si="9"/>
        <v>0.60148412222246028</v>
      </c>
      <c r="V11" s="8" t="str">
        <f t="shared" si="10"/>
        <v>Group 3</v>
      </c>
      <c r="W11" s="8">
        <f t="shared" si="0"/>
        <v>0.9857560069273934</v>
      </c>
      <c r="X11" s="8">
        <f t="shared" si="1"/>
        <v>68</v>
      </c>
      <c r="Y11" s="8">
        <f>1 - SQRT((M11-$M$3)^2 + (O11-$O$3)^2 + (Q11-$Q$3)^2 + (S11-$S$3)^2) / $X$3</f>
        <v>0.74310834800014514</v>
      </c>
      <c r="Z11" s="8">
        <f t="shared" si="3"/>
        <v>0.92674000673235724</v>
      </c>
      <c r="AA11" s="8">
        <f>2</f>
        <v>2</v>
      </c>
      <c r="AB11" s="8">
        <f>1 -SQRT((N11-$N$3)^2 + (P11-$P$3)^2 + (R11-$R$3)^2 + (T11-$T$3)^2) / $AA$3</f>
        <v>0.5328013530004081</v>
      </c>
      <c r="AC11" s="8" t="str">
        <f t="shared" si="11"/>
        <v>Group 3</v>
      </c>
      <c r="AD11" s="8" cm="1">
        <f t="array" ref="AD11">SUM(Tabla135[[#This Row],[CC]:[IDC]] - Tabla135[[#This Row],[IRC]])</f>
        <v>31.384157142857145</v>
      </c>
      <c r="AE11" t="str">
        <f>IF(Tabla135[[#This Row],[Valor general]]&lt; $H$51, "Alto", IF(Tabla135[[#This Row],[Valor general]]&lt; $H$53, "Medio", "Bajo"))</f>
        <v>Bajo</v>
      </c>
      <c r="AF11" s="8">
        <f>1-((Tabla135[[#This Row],[TPFM]]-$Q$52) / ($Q$51-$Q$52))</f>
        <v>0.34375</v>
      </c>
      <c r="AG11" s="8">
        <v>0.02</v>
      </c>
      <c r="AH11" s="8">
        <v>0</v>
      </c>
      <c r="AI11" s="8">
        <f>SUM(Tabla135[[#This Row],[ITPFM]:[Comentarios2]])/3</f>
        <v>0.12125000000000001</v>
      </c>
      <c r="AJ11" s="8">
        <f>Tabla135[[#This Row],[CC]]/$AI$49</f>
        <v>0.7</v>
      </c>
      <c r="AK11" s="8">
        <f>(Tabla135[[#This Row],[ICLC]]+(1-Tabla135[[#This Row],[ICC]]))/2</f>
        <v>0.21062500000000003</v>
      </c>
      <c r="AL11" t="str">
        <f>IF(Tabla135[[#This Row],[Valor general2]]&lt; $AJ$51, "Bajo", IF(Tabla135[[#This Row],[Valor general2]]&lt; $AJ$53, "Medio", "Alto"))</f>
        <v>Bajo</v>
      </c>
      <c r="AM11" s="8">
        <v>1</v>
      </c>
      <c r="AN11" t="str">
        <f>IF(Tabla135[[#This Row],[INN]]&lt; $AL$51, "Bajo", IF(Tabla135[[#This Row],[INN]]&lt; $AL$53, "Medio", "Alto"))</f>
        <v>Alto</v>
      </c>
      <c r="AO11" s="8">
        <f>Tabla135[[#This Row],[Valor general]]-Tabla135[[#This Row],[Valor general2]]-Tabla135[[#This Row],[INN]]</f>
        <v>30.173532142857145</v>
      </c>
      <c r="AP11" t="str">
        <f>IF(Tabla135[[#This Row],[Valor general de PC]]&lt; $AN$51, "Alto", IF(Tabla135[[#This Row],[Valor general de PC]]&lt; $AN$53, "Medio", "Bajo"))</f>
        <v>Bajo</v>
      </c>
    </row>
    <row r="12" spans="1:42" x14ac:dyDescent="0.25">
      <c r="A12" s="2">
        <v>2023147244</v>
      </c>
      <c r="B12" s="2"/>
      <c r="C12" s="2"/>
      <c r="D12" s="2"/>
      <c r="E12" t="s">
        <v>42</v>
      </c>
      <c r="G12" s="3" t="s">
        <v>49</v>
      </c>
      <c r="H12">
        <v>21</v>
      </c>
      <c r="I12">
        <v>9</v>
      </c>
      <c r="J12">
        <v>4</v>
      </c>
      <c r="K12" s="8">
        <v>0</v>
      </c>
      <c r="L12" s="8">
        <v>0</v>
      </c>
      <c r="M12" s="8">
        <f>Tabla135[[#This Row],[ERL]]+Tabla135[[#This Row],[IRL]]</f>
        <v>0</v>
      </c>
      <c r="N12" s="8">
        <f t="shared" si="5"/>
        <v>1</v>
      </c>
      <c r="O12" s="8">
        <v>12</v>
      </c>
      <c r="P12" s="8">
        <f t="shared" si="6"/>
        <v>9.9999999999999978E-2</v>
      </c>
      <c r="Q12" s="8">
        <f>Tabla135[[#This Row],[LoCode]]/Tabla135[[#This Row],[NoFunctions]]</f>
        <v>5.25</v>
      </c>
      <c r="R12" s="8">
        <f t="shared" si="7"/>
        <v>0.9732142857142857</v>
      </c>
      <c r="S12" s="8">
        <v>0.66669999999999996</v>
      </c>
      <c r="T12" s="8">
        <f t="shared" si="8"/>
        <v>0</v>
      </c>
      <c r="U12" s="8">
        <f t="shared" si="9"/>
        <v>0.51830357142857142</v>
      </c>
      <c r="V12" s="8" t="str">
        <f t="shared" si="10"/>
        <v>Group 3</v>
      </c>
      <c r="W12" s="8">
        <f t="shared" si="0"/>
        <v>0.76722804464282734</v>
      </c>
      <c r="X12" s="8">
        <f t="shared" si="1"/>
        <v>68</v>
      </c>
      <c r="Y12" s="8">
        <f t="shared" si="2"/>
        <v>0.86682689666456814</v>
      </c>
      <c r="Z12" s="8">
        <f t="shared" si="3"/>
        <v>0.74097333526532871</v>
      </c>
      <c r="AA12" s="8">
        <f>2</f>
        <v>2</v>
      </c>
      <c r="AB12" s="8">
        <f t="shared" si="4"/>
        <v>0.32718548720880813</v>
      </c>
      <c r="AC12" s="8" t="str">
        <f t="shared" si="11"/>
        <v>Group 3</v>
      </c>
      <c r="AD12" s="8" cm="1">
        <f t="array" ref="AD12">SUM(Tabla135[[#This Row],[CC]:[IDC]] - Tabla135[[#This Row],[IRC]])</f>
        <v>18.989914285714285</v>
      </c>
      <c r="AE12" t="str">
        <f>IF(Tabla135[[#This Row],[Valor general]]&lt; $H$51, "Alto", IF(Tabla135[[#This Row],[Valor general]]&lt; $H$53, "Medio", "Bajo"))</f>
        <v>Bajo</v>
      </c>
      <c r="AF12" s="8">
        <f>1-((Tabla135[[#This Row],[TPFM]]-$Q$52) / ($Q$51-$Q$52))</f>
        <v>0.8984375</v>
      </c>
      <c r="AG12" s="8">
        <v>0.11</v>
      </c>
      <c r="AH12" s="8">
        <v>0.21</v>
      </c>
      <c r="AI12" s="8">
        <f>SUM(Tabla135[[#This Row],[ITPFM]:[Comentarios2]])/3</f>
        <v>0.40614583333333337</v>
      </c>
      <c r="AJ12" s="8">
        <f>Tabla135[[#This Row],[CC]]/$AI$49</f>
        <v>1.2</v>
      </c>
      <c r="AK12" s="8">
        <f>(Tabla135[[#This Row],[ICLC]]+(1-Tabla135[[#This Row],[ICC]]))/2</f>
        <v>0.10307291666666671</v>
      </c>
      <c r="AL12" t="str">
        <f>IF(Tabla135[[#This Row],[Valor general2]]&lt; $AJ$51, "Bajo", IF(Tabla135[[#This Row],[Valor general2]]&lt; $AJ$53, "Medio", "Alto"))</f>
        <v>Bajo</v>
      </c>
      <c r="AM12" s="8">
        <v>1</v>
      </c>
      <c r="AN12" t="str">
        <f>IF(Tabla135[[#This Row],[INN]]&lt; $AL$51, "Bajo", IF(Tabla135[[#This Row],[INN]]&lt; $AL$53, "Medio", "Alto"))</f>
        <v>Alto</v>
      </c>
      <c r="AO12" s="8">
        <f>Tabla135[[#This Row],[Valor general]]-Tabla135[[#This Row],[Valor general2]]-Tabla135[[#This Row],[INN]]</f>
        <v>17.88684136904762</v>
      </c>
      <c r="AP12" t="str">
        <f>IF(Tabla135[[#This Row],[Valor general de PC]]&lt; $AN$51, "Alto", IF(Tabla135[[#This Row],[Valor general de PC]]&lt; $AN$53, "Medio", "Bajo"))</f>
        <v>Bajo</v>
      </c>
    </row>
    <row r="13" spans="1:42" ht="30" x14ac:dyDescent="0.25">
      <c r="A13" s="2">
        <v>2023152721</v>
      </c>
      <c r="B13" s="2"/>
      <c r="C13" s="2"/>
      <c r="D13" s="2"/>
      <c r="E13" t="s">
        <v>44</v>
      </c>
      <c r="G13" s="3" t="s">
        <v>50</v>
      </c>
      <c r="H13">
        <v>7</v>
      </c>
      <c r="I13">
        <v>0</v>
      </c>
      <c r="J13">
        <v>1</v>
      </c>
      <c r="K13" s="8">
        <v>0</v>
      </c>
      <c r="L13" s="8">
        <v>0</v>
      </c>
      <c r="M13" s="8">
        <f>Tabla135[[#This Row],[ERL]]+Tabla135[[#This Row],[IRL]]</f>
        <v>0</v>
      </c>
      <c r="N13" s="8">
        <f t="shared" si="5"/>
        <v>1</v>
      </c>
      <c r="O13" s="8">
        <v>3</v>
      </c>
      <c r="P13" s="8">
        <f t="shared" si="6"/>
        <v>1</v>
      </c>
      <c r="Q13" s="8">
        <f>Tabla135[[#This Row],[LoCode]]/Tabla135[[#This Row],[NoFunctions]]</f>
        <v>7</v>
      </c>
      <c r="R13" s="8">
        <f t="shared" si="7"/>
        <v>0.9642857142857143</v>
      </c>
      <c r="S13" s="8">
        <v>0</v>
      </c>
      <c r="T13" s="8">
        <f t="shared" si="8"/>
        <v>1</v>
      </c>
      <c r="U13" s="8">
        <f t="shared" si="9"/>
        <v>0.9910714285714286</v>
      </c>
      <c r="V13" s="8" t="str">
        <f t="shared" si="10"/>
        <v>Group 1</v>
      </c>
      <c r="W13" s="8">
        <f t="shared" si="0"/>
        <v>0.99827437317499579</v>
      </c>
      <c r="X13" s="8">
        <f t="shared" si="1"/>
        <v>68</v>
      </c>
      <c r="Y13" s="8">
        <f t="shared" si="2"/>
        <v>0.98529411764705888</v>
      </c>
      <c r="Z13" s="8">
        <f t="shared" si="3"/>
        <v>0.99987827886267377</v>
      </c>
      <c r="AA13" s="8">
        <f>2</f>
        <v>2</v>
      </c>
      <c r="AB13" s="8">
        <f t="shared" si="4"/>
        <v>0.98214285714285721</v>
      </c>
      <c r="AC13" s="8" t="str">
        <f t="shared" si="11"/>
        <v>Group 1</v>
      </c>
      <c r="AD13" s="8" cm="1">
        <f t="array" ref="AD13">SUM(Tabla135[[#This Row],[CC]:[IDC]] - Tabla135[[#This Row],[IRC]])</f>
        <v>11.964285714285714</v>
      </c>
      <c r="AE13" t="str">
        <f>IF(Tabla135[[#This Row],[Valor general]]&lt; $H$51, "Alto", IF(Tabla135[[#This Row],[Valor general]]&lt; $H$53, "Medio", "Bajo"))</f>
        <v>Medio</v>
      </c>
      <c r="AF13" s="8">
        <f>1-((Tabla135[[#This Row],[TPFM]]-$Q$52) / ($Q$51-$Q$52))</f>
        <v>0.84375</v>
      </c>
      <c r="AG13" s="8">
        <v>0.04</v>
      </c>
      <c r="AH13" s="8">
        <v>0</v>
      </c>
      <c r="AI13" s="8">
        <f>SUM(Tabla135[[#This Row],[ITPFM]:[Comentarios2]])/3</f>
        <v>0.29458333333333336</v>
      </c>
      <c r="AJ13" s="8">
        <f>Tabla135[[#This Row],[CC]]/$AI$49</f>
        <v>0.3</v>
      </c>
      <c r="AK13" s="8">
        <f>(Tabla135[[#This Row],[ICLC]]+(1-Tabla135[[#This Row],[ICC]]))/2</f>
        <v>0.49729166666666669</v>
      </c>
      <c r="AL13" t="str">
        <f>IF(Tabla135[[#This Row],[Valor general2]]&lt; $AJ$51, "Bajo", IF(Tabla135[[#This Row],[Valor general2]]&lt; $AJ$53, "Medio", "Alto"))</f>
        <v>Medio</v>
      </c>
      <c r="AM13" s="8">
        <v>1</v>
      </c>
      <c r="AN13" t="str">
        <f>IF(Tabla135[[#This Row],[INN]]&lt; $AL$51, "Bajo", IF(Tabla135[[#This Row],[INN]]&lt; $AL$53, "Medio", "Alto"))</f>
        <v>Alto</v>
      </c>
      <c r="AO13" s="8">
        <f>Tabla135[[#This Row],[Valor general]]-Tabla135[[#This Row],[Valor general2]]-Tabla135[[#This Row],[INN]]</f>
        <v>10.466994047619046</v>
      </c>
      <c r="AP13" t="str">
        <f>IF(Tabla135[[#This Row],[Valor general de PC]]&lt; $AN$51, "Alto", IF(Tabla135[[#This Row],[Valor general de PC]]&lt; $AN$53, "Medio", "Bajo"))</f>
        <v>Medio</v>
      </c>
    </row>
    <row r="14" spans="1:42" x14ac:dyDescent="0.25">
      <c r="A14" s="2">
        <v>2024063271</v>
      </c>
      <c r="B14" s="2"/>
      <c r="C14" s="2"/>
      <c r="D14" s="2"/>
      <c r="E14" t="s">
        <v>42</v>
      </c>
      <c r="H14">
        <v>18</v>
      </c>
      <c r="I14">
        <v>1</v>
      </c>
      <c r="J14">
        <v>2</v>
      </c>
      <c r="K14" s="8">
        <v>0</v>
      </c>
      <c r="L14" s="8">
        <v>0</v>
      </c>
      <c r="M14" s="8">
        <f>Tabla135[[#This Row],[ERL]]+Tabla135[[#This Row],[IRL]]</f>
        <v>0</v>
      </c>
      <c r="N14" s="8">
        <f t="shared" si="5"/>
        <v>1</v>
      </c>
      <c r="O14" s="8">
        <v>8</v>
      </c>
      <c r="P14" s="8">
        <f t="shared" si="6"/>
        <v>0.5</v>
      </c>
      <c r="Q14" s="8">
        <f>Tabla135[[#This Row],[LoCode]]/Tabla135[[#This Row],[NoFunctions]]</f>
        <v>9</v>
      </c>
      <c r="R14" s="8">
        <f t="shared" si="7"/>
        <v>0.8928571428571429</v>
      </c>
      <c r="S14" s="8">
        <v>0.33329999999999999</v>
      </c>
      <c r="T14" s="8">
        <f t="shared" si="8"/>
        <v>0.50007499625018748</v>
      </c>
      <c r="U14" s="8">
        <f t="shared" si="9"/>
        <v>0.72323303477683254</v>
      </c>
      <c r="V14" s="8" t="str">
        <f t="shared" si="10"/>
        <v>Group 2</v>
      </c>
      <c r="W14" s="8">
        <f t="shared" si="0"/>
        <v>0.96524607719143107</v>
      </c>
      <c r="X14" s="8">
        <f t="shared" si="1"/>
        <v>68</v>
      </c>
      <c r="Y14" s="8">
        <f t="shared" si="2"/>
        <v>0.9141107364660872</v>
      </c>
      <c r="Z14" s="8">
        <f t="shared" si="3"/>
        <v>0.95433826148948409</v>
      </c>
      <c r="AA14" s="8">
        <f>2</f>
        <v>2</v>
      </c>
      <c r="AB14" s="8">
        <f t="shared" si="4"/>
        <v>0.64243720788825609</v>
      </c>
      <c r="AC14" s="8" t="str">
        <f t="shared" si="11"/>
        <v>Group 2</v>
      </c>
      <c r="AD14" s="8" cm="1">
        <f t="array" ref="AD14">SUM(Tabla135[[#This Row],[CC]:[IDC]] - Tabla135[[#This Row],[IRC]])</f>
        <v>18.726157142857144</v>
      </c>
      <c r="AE14" t="str">
        <f>IF(Tabla135[[#This Row],[Valor general]]&lt; $H$51, "Alto", IF(Tabla135[[#This Row],[Valor general]]&lt; $H$53, "Medio", "Bajo"))</f>
        <v>Bajo</v>
      </c>
      <c r="AF14" s="8">
        <f>1-((Tabla135[[#This Row],[TPFM]]-$Q$52) / ($Q$51-$Q$52))</f>
        <v>0.78125</v>
      </c>
      <c r="AG14" s="8">
        <v>0.02</v>
      </c>
      <c r="AH14" s="8">
        <v>0.08</v>
      </c>
      <c r="AI14" s="8">
        <f>SUM(Tabla135[[#This Row],[ITPFM]:[Comentarios2]])/3</f>
        <v>0.29375000000000001</v>
      </c>
      <c r="AJ14" s="8">
        <f>Tabla135[[#This Row],[CC]]/$AI$49</f>
        <v>0.8</v>
      </c>
      <c r="AK14" s="8">
        <f>(Tabla135[[#This Row],[ICLC]]+(1-Tabla135[[#This Row],[ICC]]))/2</f>
        <v>0.24687499999999998</v>
      </c>
      <c r="AL14" t="str">
        <f>IF(Tabla135[[#This Row],[Valor general2]]&lt; $AJ$51, "Bajo", IF(Tabla135[[#This Row],[Valor general2]]&lt; $AJ$53, "Medio", "Alto"))</f>
        <v>Medio</v>
      </c>
      <c r="AM14" s="8">
        <v>0.83330000000000004</v>
      </c>
      <c r="AN14" t="str">
        <f>IF(Tabla135[[#This Row],[INN]]&lt; $AL$51, "Bajo", IF(Tabla135[[#This Row],[INN]]&lt; $AL$53, "Medio", "Alto"))</f>
        <v>Bajo</v>
      </c>
      <c r="AO14" s="8">
        <f>Tabla135[[#This Row],[Valor general]]-Tabla135[[#This Row],[Valor general2]]-Tabla135[[#This Row],[INN]]</f>
        <v>17.645982142857143</v>
      </c>
      <c r="AP14" t="str">
        <f>IF(Tabla135[[#This Row],[Valor general de PC]]&lt; $AN$51, "Alto", IF(Tabla135[[#This Row],[Valor general de PC]]&lt; $AN$53, "Medio", "Bajo"))</f>
        <v>Bajo</v>
      </c>
    </row>
    <row r="15" spans="1:42" x14ac:dyDescent="0.25">
      <c r="A15" s="2">
        <v>2024066829</v>
      </c>
      <c r="B15" s="2"/>
      <c r="C15" s="2"/>
      <c r="D15" s="2"/>
      <c r="E15" t="s">
        <v>42</v>
      </c>
      <c r="H15">
        <v>5</v>
      </c>
      <c r="I15">
        <v>1</v>
      </c>
      <c r="J15">
        <v>1</v>
      </c>
      <c r="K15" s="8">
        <v>0</v>
      </c>
      <c r="L15" s="8">
        <v>0</v>
      </c>
      <c r="M15" s="8">
        <f>Tabla135[[#This Row],[ERL]]+Tabla135[[#This Row],[IRL]]</f>
        <v>0</v>
      </c>
      <c r="N15" s="8">
        <f t="shared" si="5"/>
        <v>1</v>
      </c>
      <c r="O15" s="8">
        <v>3</v>
      </c>
      <c r="P15" s="8">
        <f t="shared" si="6"/>
        <v>1</v>
      </c>
      <c r="Q15" s="8">
        <f>Tabla135[[#This Row],[LoCode]]/Tabla135[[#This Row],[NoFunctions]]</f>
        <v>5</v>
      </c>
      <c r="R15" s="8">
        <f t="shared" si="7"/>
        <v>0.9642857142857143</v>
      </c>
      <c r="S15" s="8">
        <v>0</v>
      </c>
      <c r="T15" s="8">
        <f t="shared" si="8"/>
        <v>1</v>
      </c>
      <c r="U15" s="8">
        <f t="shared" si="9"/>
        <v>0.9910714285714286</v>
      </c>
      <c r="V15" s="8" t="str">
        <f t="shared" si="10"/>
        <v>Group 1</v>
      </c>
      <c r="W15" s="8">
        <f t="shared" si="0"/>
        <v>0.99705448550158149</v>
      </c>
      <c r="X15" s="8">
        <f t="shared" si="1"/>
        <v>68</v>
      </c>
      <c r="Y15" s="8">
        <f t="shared" si="2"/>
        <v>0.98529411764705888</v>
      </c>
      <c r="Z15" s="8">
        <f t="shared" si="3"/>
        <v>0.99987827886267377</v>
      </c>
      <c r="AA15" s="8">
        <f>2</f>
        <v>2</v>
      </c>
      <c r="AB15" s="8">
        <f t="shared" si="4"/>
        <v>0.98214285714285721</v>
      </c>
      <c r="AC15" s="8" t="str">
        <f t="shared" si="11"/>
        <v>Group 1</v>
      </c>
      <c r="AD15" s="8" cm="1">
        <f t="array" ref="AD15">SUM(Tabla135[[#This Row],[CC]:[IDC]] - Tabla135[[#This Row],[IRC]])</f>
        <v>9.9642857142857135</v>
      </c>
      <c r="AE15" t="str">
        <f>IF(Tabla135[[#This Row],[Valor general]]&lt; $H$51, "Alto", IF(Tabla135[[#This Row],[Valor general]]&lt; $H$53, "Medio", "Bajo"))</f>
        <v>Alto</v>
      </c>
      <c r="AF15" s="8">
        <f>1-((Tabla135[[#This Row],[TPFM]]-$Q$52) / ($Q$51-$Q$52))</f>
        <v>0.90625</v>
      </c>
      <c r="AG15" s="8">
        <v>0.02</v>
      </c>
      <c r="AH15" s="8">
        <v>0</v>
      </c>
      <c r="AI15" s="8">
        <f>SUM(Tabla135[[#This Row],[ITPFM]:[Comentarios2]])/3</f>
        <v>0.30875000000000002</v>
      </c>
      <c r="AJ15" s="8">
        <f>Tabla135[[#This Row],[CC]]/$AI$49</f>
        <v>0.3</v>
      </c>
      <c r="AK15" s="8">
        <f>(Tabla135[[#This Row],[ICLC]]+(1-Tabla135[[#This Row],[ICC]]))/2</f>
        <v>0.50437500000000002</v>
      </c>
      <c r="AL15" t="str">
        <f>IF(Tabla135[[#This Row],[Valor general2]]&lt; $AJ$51, "Bajo", IF(Tabla135[[#This Row],[Valor general2]]&lt; $AJ$53, "Medio", "Alto"))</f>
        <v>Medio</v>
      </c>
      <c r="AM15" s="8">
        <v>1</v>
      </c>
      <c r="AN15" t="str">
        <f>IF(Tabla135[[#This Row],[INN]]&lt; $AL$51, "Bajo", IF(Tabla135[[#This Row],[INN]]&lt; $AL$53, "Medio", "Alto"))</f>
        <v>Alto</v>
      </c>
      <c r="AO15" s="8">
        <f>Tabla135[[#This Row],[Valor general]]-Tabla135[[#This Row],[Valor general2]]-Tabla135[[#This Row],[INN]]</f>
        <v>8.459910714285714</v>
      </c>
      <c r="AP15" t="str">
        <f>IF(Tabla135[[#This Row],[Valor general de PC]]&lt; $AN$51, "Alto", IF(Tabla135[[#This Row],[Valor general de PC]]&lt; $AN$53, "Medio", "Bajo"))</f>
        <v>Alto</v>
      </c>
    </row>
    <row r="16" spans="1:42" x14ac:dyDescent="0.25">
      <c r="A16" s="2">
        <v>2024070969</v>
      </c>
      <c r="B16" s="2"/>
      <c r="C16" s="2"/>
      <c r="D16" s="2"/>
      <c r="E16" t="s">
        <v>44</v>
      </c>
      <c r="G16" t="s">
        <v>51</v>
      </c>
      <c r="H16">
        <v>20</v>
      </c>
      <c r="I16">
        <v>1</v>
      </c>
      <c r="J16">
        <v>3</v>
      </c>
      <c r="K16" s="8">
        <v>0</v>
      </c>
      <c r="L16" s="8">
        <v>0</v>
      </c>
      <c r="M16" s="8">
        <f>Tabla135[[#This Row],[ERL]]+Tabla135[[#This Row],[IRL]]</f>
        <v>0</v>
      </c>
      <c r="N16" s="8">
        <f t="shared" si="5"/>
        <v>1</v>
      </c>
      <c r="O16" s="8">
        <v>10</v>
      </c>
      <c r="P16" s="8">
        <f t="shared" si="6"/>
        <v>0.30000000000000004</v>
      </c>
      <c r="Q16" s="8">
        <f>Tabla135[[#This Row],[LoCode]]/Tabla135[[#This Row],[NoFunctions]]</f>
        <v>6.666666666666667</v>
      </c>
      <c r="R16" s="8">
        <f t="shared" si="7"/>
        <v>0.97619047619047616</v>
      </c>
      <c r="S16" s="8">
        <v>0.52380000000000004</v>
      </c>
      <c r="T16" s="8">
        <f t="shared" si="8"/>
        <v>0.21433928303584815</v>
      </c>
      <c r="U16" s="8">
        <f t="shared" si="9"/>
        <v>0.62263243980658101</v>
      </c>
      <c r="V16" s="8" t="str">
        <f t="shared" si="10"/>
        <v>Group 3</v>
      </c>
      <c r="W16" s="8">
        <f t="shared" si="0"/>
        <v>0.86741971843819099</v>
      </c>
      <c r="X16" s="8">
        <f t="shared" si="1"/>
        <v>68</v>
      </c>
      <c r="Y16" s="8">
        <f t="shared" si="2"/>
        <v>0.89630651903788383</v>
      </c>
      <c r="Z16" s="8">
        <f t="shared" si="3"/>
        <v>0.86159672646789509</v>
      </c>
      <c r="AA16" s="8">
        <f>2</f>
        <v>2</v>
      </c>
      <c r="AB16" s="8">
        <f t="shared" si="4"/>
        <v>0.47373256427823185</v>
      </c>
      <c r="AC16" s="8" t="str">
        <f t="shared" si="11"/>
        <v>Group 3</v>
      </c>
      <c r="AD16" s="8" cm="1">
        <f t="array" ref="AD16">SUM(Tabla135[[#This Row],[CC]:[IDC]] - Tabla135[[#This Row],[IRC]])</f>
        <v>18.466657142857144</v>
      </c>
      <c r="AE16" t="str">
        <f>IF(Tabla135[[#This Row],[Valor general]]&lt; $H$51, "Alto", IF(Tabla135[[#This Row],[Valor general]]&lt; $H$53, "Medio", "Bajo"))</f>
        <v>Medio</v>
      </c>
      <c r="AF16" s="8">
        <f>1-((Tabla135[[#This Row],[TPFM]]-$Q$52) / ($Q$51-$Q$52))</f>
        <v>0.85416666666666663</v>
      </c>
      <c r="AG16" s="8">
        <v>0.09</v>
      </c>
      <c r="AH16" s="8">
        <v>0.02</v>
      </c>
      <c r="AI16" s="8">
        <f>SUM(Tabla135[[#This Row],[ITPFM]:[Comentarios2]])/3</f>
        <v>0.32138888888888889</v>
      </c>
      <c r="AJ16" s="8">
        <f>Tabla135[[#This Row],[CC]]/$AI$49</f>
        <v>1</v>
      </c>
      <c r="AK16" s="8">
        <f>(Tabla135[[#This Row],[ICLC]]+(1-Tabla135[[#This Row],[ICC]]))/2</f>
        <v>0.16069444444444445</v>
      </c>
      <c r="AL16" t="str">
        <f>IF(Tabla135[[#This Row],[Valor general2]]&lt; $AJ$51, "Bajo", IF(Tabla135[[#This Row],[Valor general2]]&lt; $AJ$53, "Medio", "Alto"))</f>
        <v>Bajo</v>
      </c>
      <c r="AM16" s="8">
        <v>1</v>
      </c>
      <c r="AN16" t="str">
        <f>IF(Tabla135[[#This Row],[INN]]&lt; $AL$51, "Bajo", IF(Tabla135[[#This Row],[INN]]&lt; $AL$53, "Medio", "Alto"))</f>
        <v>Alto</v>
      </c>
      <c r="AO16" s="8">
        <f>Tabla135[[#This Row],[Valor general]]-Tabla135[[#This Row],[Valor general2]]-Tabla135[[#This Row],[INN]]</f>
        <v>17.305962698412699</v>
      </c>
      <c r="AP16" t="str">
        <f>IF(Tabla135[[#This Row],[Valor general de PC]]&lt; $AN$51, "Alto", IF(Tabla135[[#This Row],[Valor general de PC]]&lt; $AN$53, "Medio", "Bajo"))</f>
        <v>Medio</v>
      </c>
    </row>
    <row r="17" spans="1:42" x14ac:dyDescent="0.25">
      <c r="A17" s="2">
        <v>2024071983</v>
      </c>
      <c r="B17" s="2"/>
      <c r="C17" s="2"/>
      <c r="D17" s="2"/>
      <c r="E17" t="s">
        <v>44</v>
      </c>
      <c r="G17" t="s">
        <v>45</v>
      </c>
      <c r="H17">
        <v>16</v>
      </c>
      <c r="I17">
        <v>1</v>
      </c>
      <c r="J17">
        <v>3</v>
      </c>
      <c r="K17" s="8">
        <v>0</v>
      </c>
      <c r="L17" s="8">
        <v>0</v>
      </c>
      <c r="M17" s="8">
        <f>Tabla135[[#This Row],[ERL]]+Tabla135[[#This Row],[IRL]]</f>
        <v>0</v>
      </c>
      <c r="N17" s="8">
        <f t="shared" si="5"/>
        <v>1</v>
      </c>
      <c r="O17" s="8">
        <v>9</v>
      </c>
      <c r="P17" s="8">
        <f t="shared" si="6"/>
        <v>0.4</v>
      </c>
      <c r="Q17" s="8">
        <f>Tabla135[[#This Row],[LoCode]]/Tabla135[[#This Row],[NoFunctions]]</f>
        <v>5.333333333333333</v>
      </c>
      <c r="R17" s="8">
        <f t="shared" si="7"/>
        <v>0.97619047619047616</v>
      </c>
      <c r="S17" s="8">
        <v>0.625</v>
      </c>
      <c r="T17" s="8">
        <f t="shared" si="8"/>
        <v>6.2546872656367158E-2</v>
      </c>
      <c r="U17" s="8">
        <f t="shared" si="9"/>
        <v>0.60968433721171089</v>
      </c>
      <c r="V17" s="8" t="str">
        <f t="shared" si="10"/>
        <v>Group 3</v>
      </c>
      <c r="W17" s="8">
        <f t="shared" si="0"/>
        <v>0.83921886958794778</v>
      </c>
      <c r="X17" s="8">
        <f t="shared" si="1"/>
        <v>68</v>
      </c>
      <c r="Y17" s="8">
        <f t="shared" si="2"/>
        <v>0.91074720323113134</v>
      </c>
      <c r="Z17" s="8">
        <f t="shared" si="3"/>
        <v>0.83808674095668201</v>
      </c>
      <c r="AA17" s="8">
        <f>2</f>
        <v>2</v>
      </c>
      <c r="AB17" s="8">
        <f t="shared" si="4"/>
        <v>0.44336159416763343</v>
      </c>
      <c r="AC17" s="8" t="str">
        <f t="shared" si="11"/>
        <v>Group 3</v>
      </c>
      <c r="AD17" s="8" cm="1">
        <f t="array" ref="AD17">SUM(Tabla135[[#This Row],[CC]:[IDC]] - Tabla135[[#This Row],[IRC]])</f>
        <v>16.334523809523809</v>
      </c>
      <c r="AE17" t="str">
        <f>IF(Tabla135[[#This Row],[Valor general]]&lt; $H$51, "Alto", IF(Tabla135[[#This Row],[Valor general]]&lt; $H$53, "Medio", "Bajo"))</f>
        <v>Medio</v>
      </c>
      <c r="AF17" s="8">
        <f>1-((Tabla135[[#This Row],[TPFM]]-$Q$52) / ($Q$51-$Q$52))</f>
        <v>0.89583333333333337</v>
      </c>
      <c r="AG17" s="8">
        <v>0.09</v>
      </c>
      <c r="AH17" s="8">
        <v>0.04</v>
      </c>
      <c r="AI17" s="8">
        <f>SUM(Tabla135[[#This Row],[ITPFM]:[Comentarios2]])/3</f>
        <v>0.34194444444444444</v>
      </c>
      <c r="AJ17" s="8">
        <f>Tabla135[[#This Row],[CC]]/$AI$49</f>
        <v>0.9</v>
      </c>
      <c r="AK17" s="8">
        <f>(Tabla135[[#This Row],[ICLC]]+(1-Tabla135[[#This Row],[ICC]]))/2</f>
        <v>0.22097222222222221</v>
      </c>
      <c r="AL17" t="str">
        <f>IF(Tabla135[[#This Row],[Valor general2]]&lt; $AJ$51, "Bajo", IF(Tabla135[[#This Row],[Valor general2]]&lt; $AJ$53, "Medio", "Alto"))</f>
        <v>Bajo</v>
      </c>
      <c r="AM17" s="8">
        <v>1</v>
      </c>
      <c r="AN17" t="str">
        <f>IF(Tabla135[[#This Row],[INN]]&lt; $AL$51, "Bajo", IF(Tabla135[[#This Row],[INN]]&lt; $AL$53, "Medio", "Alto"))</f>
        <v>Alto</v>
      </c>
      <c r="AO17" s="8">
        <f>Tabla135[[#This Row],[Valor general]]-Tabla135[[#This Row],[Valor general2]]-Tabla135[[#This Row],[INN]]</f>
        <v>15.113551587301586</v>
      </c>
      <c r="AP17" t="str">
        <f>IF(Tabla135[[#This Row],[Valor general de PC]]&lt; $AN$51, "Alto", IF(Tabla135[[#This Row],[Valor general de PC]]&lt; $AN$53, "Medio", "Bajo"))</f>
        <v>Medio</v>
      </c>
    </row>
    <row r="18" spans="1:42" x14ac:dyDescent="0.25">
      <c r="A18" s="2">
        <v>2024082949</v>
      </c>
      <c r="B18" s="2"/>
      <c r="C18" s="2"/>
      <c r="D18" s="2"/>
      <c r="E18" t="s">
        <v>42</v>
      </c>
      <c r="G18" s="3"/>
      <c r="H18">
        <v>11</v>
      </c>
      <c r="I18">
        <v>1</v>
      </c>
      <c r="J18">
        <v>2</v>
      </c>
      <c r="K18" s="8">
        <v>0</v>
      </c>
      <c r="L18" s="8">
        <v>0</v>
      </c>
      <c r="M18" s="8">
        <f>Tabla135[[#This Row],[ERL]]+Tabla135[[#This Row],[IRL]]</f>
        <v>0</v>
      </c>
      <c r="N18" s="8">
        <f t="shared" si="5"/>
        <v>1</v>
      </c>
      <c r="O18" s="8">
        <v>6</v>
      </c>
      <c r="P18" s="8">
        <f t="shared" si="6"/>
        <v>0.7</v>
      </c>
      <c r="Q18" s="8">
        <f>Tabla135[[#This Row],[LoCode]]/Tabla135[[#This Row],[NoFunctions]]</f>
        <v>5.5</v>
      </c>
      <c r="R18" s="8">
        <f t="shared" si="7"/>
        <v>0.9821428571428571</v>
      </c>
      <c r="S18" s="8">
        <v>0.45450000000000002</v>
      </c>
      <c r="T18" s="8">
        <f t="shared" si="8"/>
        <v>0.3182840857957101</v>
      </c>
      <c r="U18" s="8">
        <f t="shared" si="9"/>
        <v>0.75010673573464182</v>
      </c>
      <c r="V18" s="8" t="str">
        <f t="shared" si="10"/>
        <v>Group 2</v>
      </c>
      <c r="W18" s="8">
        <f t="shared" si="0"/>
        <v>0.9325990252137305</v>
      </c>
      <c r="X18" s="8">
        <f t="shared" si="1"/>
        <v>68</v>
      </c>
      <c r="Y18" s="8">
        <f t="shared" si="2"/>
        <v>0.95477715153902976</v>
      </c>
      <c r="Z18" s="8">
        <f t="shared" si="3"/>
        <v>0.93838344542241003</v>
      </c>
      <c r="AA18" s="8">
        <f>2</f>
        <v>2</v>
      </c>
      <c r="AB18" s="8">
        <f t="shared" si="4"/>
        <v>0.62748977690860241</v>
      </c>
      <c r="AC18" s="8" t="str">
        <f t="shared" si="11"/>
        <v>Group 2</v>
      </c>
      <c r="AD18" s="8" cm="1">
        <f t="array" ref="AD18">SUM(Tabla135[[#This Row],[CC]:[IDC]] - Tabla135[[#This Row],[IRC]])</f>
        <v>13.636642857142856</v>
      </c>
      <c r="AE18" t="str">
        <f>IF(Tabla135[[#This Row],[Valor general]]&lt; $H$51, "Alto", IF(Tabla135[[#This Row],[Valor general]]&lt; $H$53, "Medio", "Bajo"))</f>
        <v>Medio</v>
      </c>
      <c r="AF18" s="8">
        <f>1-((Tabla135[[#This Row],[TPFM]]-$Q$52) / ($Q$51-$Q$52))</f>
        <v>0.890625</v>
      </c>
      <c r="AG18" s="8">
        <v>0.09</v>
      </c>
      <c r="AH18" s="8">
        <v>0</v>
      </c>
      <c r="AI18" s="8">
        <f>SUM(Tabla135[[#This Row],[ITPFM]:[Comentarios2]])/3</f>
        <v>0.32687499999999997</v>
      </c>
      <c r="AJ18" s="8">
        <f>Tabla135[[#This Row],[CC]]/$AI$49</f>
        <v>0.6</v>
      </c>
      <c r="AK18" s="8">
        <f>(Tabla135[[#This Row],[ICLC]]+(1-Tabla135[[#This Row],[ICC]]))/2</f>
        <v>0.36343749999999997</v>
      </c>
      <c r="AL18" t="str">
        <f>IF(Tabla135[[#This Row],[Valor general2]]&lt; $AJ$51, "Bajo", IF(Tabla135[[#This Row],[Valor general2]]&lt; $AJ$53, "Medio", "Alto"))</f>
        <v>Medio</v>
      </c>
      <c r="AM18" s="8">
        <v>1</v>
      </c>
      <c r="AN18" t="str">
        <f>IF(Tabla135[[#This Row],[INN]]&lt; $AL$51, "Bajo", IF(Tabla135[[#This Row],[INN]]&lt; $AL$53, "Medio", "Alto"))</f>
        <v>Alto</v>
      </c>
      <c r="AO18" s="8">
        <f>Tabla135[[#This Row],[Valor general]]-Tabla135[[#This Row],[Valor general2]]-Tabla135[[#This Row],[INN]]</f>
        <v>12.273205357142857</v>
      </c>
      <c r="AP18" t="str">
        <f>IF(Tabla135[[#This Row],[Valor general de PC]]&lt; $AN$51, "Alto", IF(Tabla135[[#This Row],[Valor general de PC]]&lt; $AN$53, "Medio", "Bajo"))</f>
        <v>Medio</v>
      </c>
    </row>
    <row r="19" spans="1:42" x14ac:dyDescent="0.25">
      <c r="A19" s="2">
        <v>2024090884</v>
      </c>
      <c r="B19" s="2"/>
      <c r="C19" s="2"/>
      <c r="D19" s="2"/>
      <c r="E19" t="s">
        <v>42</v>
      </c>
      <c r="G19" t="s">
        <v>52</v>
      </c>
      <c r="H19">
        <v>31</v>
      </c>
      <c r="I19">
        <v>0</v>
      </c>
      <c r="J19">
        <v>5</v>
      </c>
      <c r="K19" s="8">
        <v>0</v>
      </c>
      <c r="L19" s="8">
        <v>0</v>
      </c>
      <c r="M19" s="8">
        <f>Tabla135[[#This Row],[ERL]]+Tabla135[[#This Row],[IRL]]</f>
        <v>0</v>
      </c>
      <c r="N19" s="8">
        <f t="shared" si="5"/>
        <v>1</v>
      </c>
      <c r="O19" s="8">
        <v>13</v>
      </c>
      <c r="P19" s="8">
        <f t="shared" si="6"/>
        <v>0</v>
      </c>
      <c r="Q19" s="8">
        <f>Tabla135[[#This Row],[LoCode]]/Tabla135[[#This Row],[NoFunctions]]</f>
        <v>6.2</v>
      </c>
      <c r="R19" s="8">
        <f t="shared" si="7"/>
        <v>0.99285714285714288</v>
      </c>
      <c r="S19" s="8">
        <v>0.6129</v>
      </c>
      <c r="T19" s="8">
        <f t="shared" si="8"/>
        <v>8.0695965201739828E-2</v>
      </c>
      <c r="U19" s="8">
        <f t="shared" si="9"/>
        <v>0.51838827701472068</v>
      </c>
      <c r="V19" s="8" t="str">
        <f t="shared" si="10"/>
        <v>Group 3</v>
      </c>
      <c r="W19" s="8">
        <f t="shared" si="0"/>
        <v>0.78796983692557354</v>
      </c>
      <c r="X19" s="8">
        <f t="shared" si="1"/>
        <v>68</v>
      </c>
      <c r="Y19" s="8">
        <f t="shared" si="2"/>
        <v>0.85263587102909699</v>
      </c>
      <c r="Z19" s="8">
        <f t="shared" si="3"/>
        <v>0.73453127326225098</v>
      </c>
      <c r="AA19" s="8">
        <f>2</f>
        <v>2</v>
      </c>
      <c r="AB19" s="8">
        <f t="shared" si="4"/>
        <v>0.3208146554870821</v>
      </c>
      <c r="AC19" s="8" t="str">
        <f t="shared" si="11"/>
        <v>Group 3</v>
      </c>
      <c r="AD19" s="8" cm="1">
        <f t="array" ref="AD19">SUM(Tabla135[[#This Row],[CC]:[IDC]] - Tabla135[[#This Row],[IRC]])</f>
        <v>20.805757142857143</v>
      </c>
      <c r="AE19" t="str">
        <f>IF(Tabla135[[#This Row],[Valor general]]&lt; $H$51, "Alto", IF(Tabla135[[#This Row],[Valor general]]&lt; $H$53, "Medio", "Bajo"))</f>
        <v>Bajo</v>
      </c>
      <c r="AF19" s="8">
        <f>1-((Tabla135[[#This Row],[TPFM]]-$Q$52) / ($Q$51-$Q$52))</f>
        <v>0.86875000000000002</v>
      </c>
      <c r="AG19" s="8">
        <v>0.08</v>
      </c>
      <c r="AH19" s="8">
        <v>0</v>
      </c>
      <c r="AI19" s="8">
        <f>SUM(Tabla135[[#This Row],[ITPFM]:[Comentarios2]])/3</f>
        <v>0.31624999999999998</v>
      </c>
      <c r="AJ19" s="8">
        <f>Tabla135[[#This Row],[CC]]/$AI$49</f>
        <v>1.3</v>
      </c>
      <c r="AK19" s="8">
        <f>(Tabla135[[#This Row],[ICLC]]+(1-Tabla135[[#This Row],[ICC]]))/2</f>
        <v>8.1249999999999656E-3</v>
      </c>
      <c r="AL19" t="str">
        <f>IF(Tabla135[[#This Row],[Valor general2]]&lt; $AJ$51, "Bajo", IF(Tabla135[[#This Row],[Valor general2]]&lt; $AJ$53, "Medio", "Alto"))</f>
        <v>Bajo</v>
      </c>
      <c r="AM19" s="8">
        <v>1</v>
      </c>
      <c r="AN19" t="str">
        <f>IF(Tabla135[[#This Row],[INN]]&lt; $AL$51, "Bajo", IF(Tabla135[[#This Row],[INN]]&lt; $AL$53, "Medio", "Alto"))</f>
        <v>Alto</v>
      </c>
      <c r="AO19" s="8">
        <f>Tabla135[[#This Row],[Valor general]]-Tabla135[[#This Row],[Valor general2]]-Tabla135[[#This Row],[INN]]</f>
        <v>19.797632142857143</v>
      </c>
      <c r="AP19" t="str">
        <f>IF(Tabla135[[#This Row],[Valor general de PC]]&lt; $AN$51, "Alto", IF(Tabla135[[#This Row],[Valor general de PC]]&lt; $AN$53, "Medio", "Bajo"))</f>
        <v>Bajo</v>
      </c>
    </row>
    <row r="20" spans="1:42" x14ac:dyDescent="0.25">
      <c r="A20" s="2">
        <v>2024093410</v>
      </c>
      <c r="B20" s="2"/>
      <c r="C20" s="2"/>
      <c r="D20" s="2"/>
      <c r="E20" t="s">
        <v>42</v>
      </c>
      <c r="H20">
        <v>5</v>
      </c>
      <c r="I20">
        <v>0</v>
      </c>
      <c r="J20">
        <v>1</v>
      </c>
      <c r="K20" s="8">
        <v>0</v>
      </c>
      <c r="L20" s="8">
        <v>0</v>
      </c>
      <c r="M20" s="8">
        <f>Tabla135[[#This Row],[ERL]]+Tabla135[[#This Row],[IRL]]</f>
        <v>0</v>
      </c>
      <c r="N20" s="8">
        <f t="shared" si="5"/>
        <v>1</v>
      </c>
      <c r="O20" s="8">
        <v>3</v>
      </c>
      <c r="P20" s="8">
        <f t="shared" si="6"/>
        <v>1</v>
      </c>
      <c r="Q20" s="8">
        <f>Tabla135[[#This Row],[LoCode]]/Tabla135[[#This Row],[NoFunctions]]</f>
        <v>5</v>
      </c>
      <c r="R20" s="8">
        <f t="shared" si="7"/>
        <v>0.9642857142857143</v>
      </c>
      <c r="S20" s="8">
        <v>0</v>
      </c>
      <c r="T20" s="8">
        <f t="shared" si="8"/>
        <v>1</v>
      </c>
      <c r="U20" s="8">
        <f t="shared" si="9"/>
        <v>0.9910714285714286</v>
      </c>
      <c r="V20" s="8" t="str">
        <f t="shared" si="10"/>
        <v>Group 1</v>
      </c>
      <c r="W20" s="8">
        <f t="shared" si="0"/>
        <v>0.99705448550158149</v>
      </c>
      <c r="X20" s="8">
        <f t="shared" si="1"/>
        <v>68</v>
      </c>
      <c r="Y20" s="8">
        <f t="shared" si="2"/>
        <v>0.98529411764705888</v>
      </c>
      <c r="Z20" s="8">
        <f t="shared" si="3"/>
        <v>0.99987827886267377</v>
      </c>
      <c r="AA20" s="8">
        <f>2</f>
        <v>2</v>
      </c>
      <c r="AB20" s="8">
        <f t="shared" si="4"/>
        <v>0.98214285714285721</v>
      </c>
      <c r="AC20" s="8" t="str">
        <f t="shared" si="11"/>
        <v>Group 1</v>
      </c>
      <c r="AD20" s="8" cm="1">
        <f t="array" ref="AD20">SUM(Tabla135[[#This Row],[CC]:[IDC]] - Tabla135[[#This Row],[IRC]])</f>
        <v>9.9642857142857135</v>
      </c>
      <c r="AE20" t="str">
        <f>IF(Tabla135[[#This Row],[Valor general]]&lt; $H$51, "Alto", IF(Tabla135[[#This Row],[Valor general]]&lt; $H$53, "Medio", "Bajo"))</f>
        <v>Alto</v>
      </c>
      <c r="AF20" s="8">
        <f>1-((Tabla135[[#This Row],[TPFM]]-$Q$52) / ($Q$51-$Q$52))</f>
        <v>0.90625</v>
      </c>
      <c r="AG20" s="8">
        <v>0.04</v>
      </c>
      <c r="AH20" s="8">
        <v>0.02</v>
      </c>
      <c r="AI20" s="8">
        <f>SUM(Tabla135[[#This Row],[ITPFM]:[Comentarios2]])/3</f>
        <v>0.32208333333333333</v>
      </c>
      <c r="AJ20" s="8">
        <f>Tabla135[[#This Row],[CC]]/$AI$49</f>
        <v>0.3</v>
      </c>
      <c r="AK20" s="8">
        <f>(Tabla135[[#This Row],[ICLC]]+(1-Tabla135[[#This Row],[ICC]]))/2</f>
        <v>0.51104166666666662</v>
      </c>
      <c r="AL20" t="str">
        <f>IF(Tabla135[[#This Row],[Valor general2]]&lt; $AJ$51, "Bajo", IF(Tabla135[[#This Row],[Valor general2]]&lt; $AJ$53, "Medio", "Alto"))</f>
        <v>Alto</v>
      </c>
      <c r="AM20" s="8">
        <v>0.75</v>
      </c>
      <c r="AN20" t="str">
        <f>IF(Tabla135[[#This Row],[INN]]&lt; $AL$51, "Bajo", IF(Tabla135[[#This Row],[INN]]&lt; $AL$53, "Medio", "Alto"))</f>
        <v>Bajo</v>
      </c>
      <c r="AO20" s="8">
        <f>Tabla135[[#This Row],[Valor general]]-Tabla135[[#This Row],[Valor general2]]-Tabla135[[#This Row],[INN]]</f>
        <v>8.7032440476190462</v>
      </c>
      <c r="AP20" t="str">
        <f>IF(Tabla135[[#This Row],[Valor general de PC]]&lt; $AN$51, "Alto", IF(Tabla135[[#This Row],[Valor general de PC]]&lt; $AN$53, "Medio", "Bajo"))</f>
        <v>Alto</v>
      </c>
    </row>
    <row r="21" spans="1:42" ht="45" x14ac:dyDescent="0.25">
      <c r="A21" s="2">
        <v>2024096731</v>
      </c>
      <c r="B21" s="2"/>
      <c r="C21" s="2"/>
      <c r="D21" s="2"/>
      <c r="E21" t="s">
        <v>44</v>
      </c>
      <c r="G21" s="3" t="s">
        <v>53</v>
      </c>
      <c r="H21">
        <v>19</v>
      </c>
      <c r="I21">
        <v>2</v>
      </c>
      <c r="J21">
        <v>2</v>
      </c>
      <c r="K21" s="8">
        <v>0</v>
      </c>
      <c r="L21" s="8">
        <v>0</v>
      </c>
      <c r="M21" s="8">
        <f>Tabla135[[#This Row],[ERL]]+Tabla135[[#This Row],[IRL]]</f>
        <v>0</v>
      </c>
      <c r="N21" s="8">
        <f t="shared" si="5"/>
        <v>1</v>
      </c>
      <c r="O21" s="8">
        <v>4</v>
      </c>
      <c r="P21" s="8">
        <f t="shared" si="6"/>
        <v>0.9</v>
      </c>
      <c r="Q21" s="8">
        <f>Tabla135[[#This Row],[LoCode]]/Tabla135[[#This Row],[NoFunctions]]</f>
        <v>9.5</v>
      </c>
      <c r="R21" s="8">
        <f t="shared" si="7"/>
        <v>0.875</v>
      </c>
      <c r="S21" s="8">
        <v>0.21049999999999999</v>
      </c>
      <c r="T21" s="8">
        <f t="shared" si="8"/>
        <v>0.68426578671066451</v>
      </c>
      <c r="U21" s="8">
        <f t="shared" si="9"/>
        <v>0.86481644667766611</v>
      </c>
      <c r="V21" s="8" t="str">
        <f t="shared" si="10"/>
        <v>Group 2</v>
      </c>
      <c r="W21" s="8">
        <f t="shared" si="0"/>
        <v>0.99767209423937919</v>
      </c>
      <c r="X21" s="8">
        <f t="shared" si="1"/>
        <v>68</v>
      </c>
      <c r="Y21" s="8">
        <f t="shared" si="2"/>
        <v>0.94638034786024594</v>
      </c>
      <c r="Z21" s="8">
        <f t="shared" si="3"/>
        <v>0.99138579761047274</v>
      </c>
      <c r="AA21" s="8">
        <f>2</f>
        <v>2</v>
      </c>
      <c r="AB21" s="8">
        <f t="shared" si="4"/>
        <v>0.82300205266625581</v>
      </c>
      <c r="AC21" s="8" t="str">
        <f t="shared" si="11"/>
        <v>Group 2</v>
      </c>
      <c r="AD21" s="8" cm="1">
        <f t="array" ref="AD21">SUM(Tabla135[[#This Row],[CC]:[IDC]] - Tabla135[[#This Row],[IRC]])</f>
        <v>15.4855</v>
      </c>
      <c r="AE21" t="str">
        <f>IF(Tabla135[[#This Row],[Valor general]]&lt; $H$51, "Alto", IF(Tabla135[[#This Row],[Valor general]]&lt; $H$53, "Medio", "Bajo"))</f>
        <v>Medio</v>
      </c>
      <c r="AF21" s="8">
        <f>1-((Tabla135[[#This Row],[TPFM]]-$Q$52) / ($Q$51-$Q$52))</f>
        <v>0.765625</v>
      </c>
      <c r="AG21" s="8">
        <v>0.02</v>
      </c>
      <c r="AH21" s="8">
        <v>0</v>
      </c>
      <c r="AI21" s="8">
        <f>SUM(Tabla135[[#This Row],[ITPFM]:[Comentarios2]])/3</f>
        <v>0.26187500000000002</v>
      </c>
      <c r="AJ21" s="8">
        <f>Tabla135[[#This Row],[CC]]/$AI$49</f>
        <v>0.4</v>
      </c>
      <c r="AK21" s="8">
        <f>(Tabla135[[#This Row],[ICLC]]+(1-Tabla135[[#This Row],[ICC]]))/2</f>
        <v>0.43093749999999997</v>
      </c>
      <c r="AL21" t="str">
        <f>IF(Tabla135[[#This Row],[Valor general2]]&lt; $AJ$51, "Bajo", IF(Tabla135[[#This Row],[Valor general2]]&lt; $AJ$53, "Medio", "Alto"))</f>
        <v>Medio</v>
      </c>
      <c r="AM21" s="8">
        <v>0.83330000000000004</v>
      </c>
      <c r="AN21" t="str">
        <f>IF(Tabla135[[#This Row],[INN]]&lt; $AL$51, "Bajo", IF(Tabla135[[#This Row],[INN]]&lt; $AL$53, "Medio", "Alto"))</f>
        <v>Bajo</v>
      </c>
      <c r="AO21" s="8">
        <f>Tabla135[[#This Row],[Valor general]]-Tabla135[[#This Row],[Valor general2]]-Tabla135[[#This Row],[INN]]</f>
        <v>14.2212625</v>
      </c>
      <c r="AP21" t="str">
        <f>IF(Tabla135[[#This Row],[Valor general de PC]]&lt; $AN$51, "Alto", IF(Tabla135[[#This Row],[Valor general de PC]]&lt; $AN$53, "Medio", "Bajo"))</f>
        <v>Medio</v>
      </c>
    </row>
    <row r="22" spans="1:42" x14ac:dyDescent="0.25">
      <c r="A22" s="2">
        <v>2024099007</v>
      </c>
      <c r="B22" s="2"/>
      <c r="C22" s="2"/>
      <c r="D22" s="2"/>
      <c r="E22" t="s">
        <v>42</v>
      </c>
      <c r="H22">
        <v>8</v>
      </c>
      <c r="I22">
        <v>0</v>
      </c>
      <c r="J22">
        <v>1</v>
      </c>
      <c r="K22" s="8">
        <v>0</v>
      </c>
      <c r="L22" s="8">
        <v>0</v>
      </c>
      <c r="M22" s="8">
        <f>Tabla135[[#This Row],[ERL]]+Tabla135[[#This Row],[IRL]]</f>
        <v>0</v>
      </c>
      <c r="N22" s="8">
        <f t="shared" si="5"/>
        <v>1</v>
      </c>
      <c r="O22" s="8">
        <v>4</v>
      </c>
      <c r="P22" s="8">
        <f t="shared" si="6"/>
        <v>0.9</v>
      </c>
      <c r="Q22" s="8">
        <f>Tabla135[[#This Row],[LoCode]]/Tabla135[[#This Row],[NoFunctions]]</f>
        <v>8</v>
      </c>
      <c r="R22" s="8">
        <f t="shared" si="7"/>
        <v>0.9285714285714286</v>
      </c>
      <c r="S22" s="8">
        <v>0.25</v>
      </c>
      <c r="T22" s="8">
        <f t="shared" si="8"/>
        <v>0.62501874906254684</v>
      </c>
      <c r="U22" s="8">
        <f t="shared" si="9"/>
        <v>0.86339754440849381</v>
      </c>
      <c r="V22" s="8" t="str">
        <f t="shared" si="10"/>
        <v>Group 2</v>
      </c>
      <c r="W22" s="8">
        <f t="shared" si="0"/>
        <v>0.99960960373292607</v>
      </c>
      <c r="X22" s="8">
        <f t="shared" si="1"/>
        <v>68</v>
      </c>
      <c r="Y22" s="8">
        <f t="shared" si="2"/>
        <v>0.96691176470588236</v>
      </c>
      <c r="Z22" s="8">
        <f t="shared" si="3"/>
        <v>0.98667669048166451</v>
      </c>
      <c r="AA22" s="8">
        <f>2</f>
        <v>2</v>
      </c>
      <c r="AB22" s="8">
        <f t="shared" si="4"/>
        <v>0.80269758024105253</v>
      </c>
      <c r="AC22" s="8" t="str">
        <f t="shared" si="11"/>
        <v>Group 2</v>
      </c>
      <c r="AD22" s="8" cm="1">
        <f t="array" ref="AD22">SUM(Tabla135[[#This Row],[CC]:[IDC]] - Tabla135[[#This Row],[IRC]])</f>
        <v>14.078571428571429</v>
      </c>
      <c r="AE22" t="str">
        <f>IF(Tabla135[[#This Row],[Valor general]]&lt; $H$51, "Alto", IF(Tabla135[[#This Row],[Valor general]]&lt; $H$53, "Medio", "Bajo"))</f>
        <v>Medio</v>
      </c>
      <c r="AF22" s="8">
        <f>1-((Tabla135[[#This Row],[TPFM]]-$Q$52) / ($Q$51-$Q$52))</f>
        <v>0.8125</v>
      </c>
      <c r="AG22" s="8">
        <v>0.02</v>
      </c>
      <c r="AH22" s="8">
        <v>0</v>
      </c>
      <c r="AI22" s="8">
        <f>SUM(Tabla135[[#This Row],[ITPFM]:[Comentarios2]])/3</f>
        <v>0.27750000000000002</v>
      </c>
      <c r="AJ22" s="8">
        <f>Tabla135[[#This Row],[CC]]/$AI$49</f>
        <v>0.4</v>
      </c>
      <c r="AK22" s="8">
        <f>(Tabla135[[#This Row],[ICLC]]+(1-Tabla135[[#This Row],[ICC]]))/2</f>
        <v>0.43874999999999997</v>
      </c>
      <c r="AL22" t="str">
        <f>IF(Tabla135[[#This Row],[Valor general2]]&lt; $AJ$51, "Bajo", IF(Tabla135[[#This Row],[Valor general2]]&lt; $AJ$53, "Medio", "Alto"))</f>
        <v>Medio</v>
      </c>
      <c r="AM22" s="8">
        <v>1</v>
      </c>
      <c r="AN22" t="str">
        <f>IF(Tabla135[[#This Row],[INN]]&lt; $AL$51, "Bajo", IF(Tabla135[[#This Row],[INN]]&lt; $AL$53, "Medio", "Alto"))</f>
        <v>Alto</v>
      </c>
      <c r="AO22" s="8">
        <f>Tabla135[[#This Row],[Valor general]]-Tabla135[[#This Row],[Valor general2]]-Tabla135[[#This Row],[INN]]</f>
        <v>12.639821428571429</v>
      </c>
      <c r="AP22" t="str">
        <f>IF(Tabla135[[#This Row],[Valor general de PC]]&lt; $AN$51, "Alto", IF(Tabla135[[#This Row],[Valor general de PC]]&lt; $AN$53, "Medio", "Bajo"))</f>
        <v>Medio</v>
      </c>
    </row>
    <row r="23" spans="1:42" x14ac:dyDescent="0.25">
      <c r="A23" s="2">
        <v>2024109692</v>
      </c>
      <c r="B23" s="2"/>
      <c r="C23" s="2"/>
      <c r="D23" s="2"/>
      <c r="E23" t="s">
        <v>44</v>
      </c>
      <c r="G23" t="s">
        <v>45</v>
      </c>
      <c r="H23">
        <v>13</v>
      </c>
      <c r="I23">
        <v>0</v>
      </c>
      <c r="J23">
        <v>2</v>
      </c>
      <c r="K23" s="8">
        <v>0</v>
      </c>
      <c r="L23" s="8">
        <v>0</v>
      </c>
      <c r="M23" s="8">
        <f>Tabla135[[#This Row],[ERL]]+Tabla135[[#This Row],[IRL]]</f>
        <v>0</v>
      </c>
      <c r="N23" s="8">
        <f t="shared" si="5"/>
        <v>1</v>
      </c>
      <c r="O23" s="8">
        <v>4</v>
      </c>
      <c r="P23" s="8">
        <f t="shared" si="6"/>
        <v>0.9</v>
      </c>
      <c r="Q23" s="8">
        <f>Tabla135[[#This Row],[LoCode]]/Tabla135[[#This Row],[NoFunctions]]</f>
        <v>6.5</v>
      </c>
      <c r="R23" s="8">
        <f t="shared" si="7"/>
        <v>0.9821428571428571</v>
      </c>
      <c r="S23" s="8">
        <v>7.6899999999999996E-2</v>
      </c>
      <c r="T23" s="8">
        <f t="shared" si="8"/>
        <v>0.88465576721163941</v>
      </c>
      <c r="U23" s="8">
        <f t="shared" si="9"/>
        <v>0.94169965608862416</v>
      </c>
      <c r="V23" s="8" t="str">
        <f t="shared" si="10"/>
        <v>Group 1</v>
      </c>
      <c r="W23" s="8">
        <f t="shared" si="0"/>
        <v>0.99607928972533488</v>
      </c>
      <c r="X23" s="8">
        <f t="shared" si="1"/>
        <v>68</v>
      </c>
      <c r="Y23" s="8">
        <f t="shared" si="2"/>
        <v>0.98351947772006676</v>
      </c>
      <c r="Z23" s="8">
        <f t="shared" si="3"/>
        <v>0.99858955524539428</v>
      </c>
      <c r="AA23" s="8">
        <f>2</f>
        <v>2</v>
      </c>
      <c r="AB23" s="8">
        <f t="shared" si="4"/>
        <v>0.92315084647740753</v>
      </c>
      <c r="AC23" s="8" t="str">
        <f t="shared" si="11"/>
        <v>Group 1</v>
      </c>
      <c r="AD23" s="8" cm="1">
        <f t="array" ref="AD23">SUM(Tabla135[[#This Row],[CC]:[IDC]] - Tabla135[[#This Row],[IRC]])</f>
        <v>12.459042857142858</v>
      </c>
      <c r="AE23" t="str">
        <f>IF(Tabla135[[#This Row],[Valor general]]&lt; $H$51, "Alto", IF(Tabla135[[#This Row],[Valor general]]&lt; $H$53, "Medio", "Bajo"))</f>
        <v>Medio</v>
      </c>
      <c r="AF23" s="8">
        <f>1-((Tabla135[[#This Row],[TPFM]]-$Q$52) / ($Q$51-$Q$52))</f>
        <v>0.859375</v>
      </c>
      <c r="AG23" s="8">
        <v>0.06</v>
      </c>
      <c r="AH23" s="8">
        <v>0</v>
      </c>
      <c r="AI23" s="8">
        <f>SUM(Tabla135[[#This Row],[ITPFM]:[Comentarios2]])/3</f>
        <v>0.30645833333333333</v>
      </c>
      <c r="AJ23" s="8">
        <f>Tabla135[[#This Row],[CC]]/$AI$49</f>
        <v>0.4</v>
      </c>
      <c r="AK23" s="8">
        <f>(Tabla135[[#This Row],[ICLC]]+(1-Tabla135[[#This Row],[ICC]]))/2</f>
        <v>0.45322916666666668</v>
      </c>
      <c r="AL23" t="str">
        <f>IF(Tabla135[[#This Row],[Valor general2]]&lt; $AJ$51, "Bajo", IF(Tabla135[[#This Row],[Valor general2]]&lt; $AJ$53, "Medio", "Alto"))</f>
        <v>Medio</v>
      </c>
      <c r="AM23" s="8">
        <v>1</v>
      </c>
      <c r="AN23" t="str">
        <f>IF(Tabla135[[#This Row],[INN]]&lt; $AL$51, "Bajo", IF(Tabla135[[#This Row],[INN]]&lt; $AL$53, "Medio", "Alto"))</f>
        <v>Alto</v>
      </c>
      <c r="AO23" s="8">
        <f>Tabla135[[#This Row],[Valor general]]-Tabla135[[#This Row],[Valor general2]]-Tabla135[[#This Row],[INN]]</f>
        <v>11.005813690476192</v>
      </c>
      <c r="AP23" t="str">
        <f>IF(Tabla135[[#This Row],[Valor general de PC]]&lt; $AN$51, "Alto", IF(Tabla135[[#This Row],[Valor general de PC]]&lt; $AN$53, "Medio", "Bajo"))</f>
        <v>Medio</v>
      </c>
    </row>
    <row r="24" spans="1:42" x14ac:dyDescent="0.25">
      <c r="A24" s="2">
        <v>2024112230</v>
      </c>
      <c r="B24" s="2"/>
      <c r="C24" s="2"/>
      <c r="D24" s="2"/>
      <c r="E24" t="s">
        <v>42</v>
      </c>
      <c r="G24" t="s">
        <v>52</v>
      </c>
      <c r="H24">
        <v>26</v>
      </c>
      <c r="I24">
        <v>3</v>
      </c>
      <c r="J24">
        <v>4</v>
      </c>
      <c r="K24" s="8">
        <v>0</v>
      </c>
      <c r="L24" s="8">
        <f>3/Tabla135[[#This Row],[LoCode]]</f>
        <v>0.11538461538461539</v>
      </c>
      <c r="M24" s="8">
        <f>Tabla135[[#This Row],[ERL]]+Tabla135[[#This Row],[IRL]]</f>
        <v>0.11538461538461539</v>
      </c>
      <c r="N24" s="8">
        <f t="shared" si="5"/>
        <v>0.53846153846153844</v>
      </c>
      <c r="O24" s="8">
        <v>12</v>
      </c>
      <c r="P24" s="8">
        <f t="shared" si="6"/>
        <v>9.9999999999999978E-2</v>
      </c>
      <c r="Q24" s="8">
        <f>Tabla135[[#This Row],[LoCode]]/Tabla135[[#This Row],[NoFunctions]]</f>
        <v>6.5</v>
      </c>
      <c r="R24" s="8">
        <f t="shared" si="7"/>
        <v>0.9821428571428571</v>
      </c>
      <c r="S24" s="8">
        <v>0.64290000000000003</v>
      </c>
      <c r="T24" s="8">
        <f t="shared" si="8"/>
        <v>3.5698215089245422E-2</v>
      </c>
      <c r="U24" s="8">
        <f t="shared" si="9"/>
        <v>0.41407565267341029</v>
      </c>
      <c r="V24" s="8" t="str">
        <f t="shared" si="10"/>
        <v>Group 3</v>
      </c>
      <c r="W24" s="8">
        <f t="shared" si="0"/>
        <v>0.81829524161222333</v>
      </c>
      <c r="X24" s="8">
        <f t="shared" si="1"/>
        <v>68</v>
      </c>
      <c r="Y24" s="8">
        <f t="shared" si="2"/>
        <v>0.86709540292139886</v>
      </c>
      <c r="Z24" s="8">
        <f t="shared" si="3"/>
        <v>0.73607785372494172</v>
      </c>
      <c r="AA24" s="8">
        <f>2</f>
        <v>2</v>
      </c>
      <c r="AB24" s="8">
        <f t="shared" si="4"/>
        <v>0.30121273598247778</v>
      </c>
      <c r="AC24" s="8" t="str">
        <f t="shared" si="11"/>
        <v>Group 3</v>
      </c>
      <c r="AD24" s="8" cm="1">
        <f t="array" ref="AD24">SUM(Tabla135[[#This Row],[CC]:[IDC]] - Tabla135[[#This Row],[IRC]])</f>
        <v>19.64811978021978</v>
      </c>
      <c r="AE24" t="str">
        <f>IF(Tabla135[[#This Row],[Valor general]]&lt; $H$51, "Alto", IF(Tabla135[[#This Row],[Valor general]]&lt; $H$53, "Medio", "Bajo"))</f>
        <v>Bajo</v>
      </c>
      <c r="AF24" s="8">
        <f>1-((Tabla135[[#This Row],[TPFM]]-$Q$52) / ($Q$51-$Q$52))</f>
        <v>0.859375</v>
      </c>
      <c r="AG24" s="8">
        <v>0.09</v>
      </c>
      <c r="AH24" s="8">
        <v>0.08</v>
      </c>
      <c r="AI24" s="8">
        <f>SUM(Tabla135[[#This Row],[ITPFM]:[Comentarios2]])/3</f>
        <v>0.34312499999999996</v>
      </c>
      <c r="AJ24" s="8">
        <f>Tabla135[[#This Row],[CC]]/$AI$49</f>
        <v>1.2</v>
      </c>
      <c r="AK24" s="8">
        <f>(Tabla135[[#This Row],[ICLC]]+(1-Tabla135[[#This Row],[ICC]]))/2</f>
        <v>7.1562500000000001E-2</v>
      </c>
      <c r="AL24" t="str">
        <f>IF(Tabla135[[#This Row],[Valor general2]]&lt; $AJ$51, "Bajo", IF(Tabla135[[#This Row],[Valor general2]]&lt; $AJ$53, "Medio", "Alto"))</f>
        <v>Bajo</v>
      </c>
      <c r="AM24" s="8">
        <v>1</v>
      </c>
      <c r="AN24" t="str">
        <f>IF(Tabla135[[#This Row],[INN]]&lt; $AL$51, "Bajo", IF(Tabla135[[#This Row],[INN]]&lt; $AL$53, "Medio", "Alto"))</f>
        <v>Alto</v>
      </c>
      <c r="AO24" s="8">
        <f>Tabla135[[#This Row],[Valor general]]-Tabla135[[#This Row],[Valor general2]]-Tabla135[[#This Row],[INN]]</f>
        <v>18.576557280219781</v>
      </c>
      <c r="AP24" t="str">
        <f>IF(Tabla135[[#This Row],[Valor general de PC]]&lt; $AN$51, "Alto", IF(Tabla135[[#This Row],[Valor general de PC]]&lt; $AN$53, "Medio", "Bajo"))</f>
        <v>Bajo</v>
      </c>
    </row>
    <row r="25" spans="1:42" x14ac:dyDescent="0.25">
      <c r="A25" s="2">
        <v>2024114502</v>
      </c>
      <c r="B25" s="2"/>
      <c r="C25" s="2"/>
      <c r="D25" s="2"/>
      <c r="E25" t="s">
        <v>42</v>
      </c>
      <c r="G25" s="3"/>
      <c r="H25">
        <v>11</v>
      </c>
      <c r="I25">
        <v>1</v>
      </c>
      <c r="J25">
        <v>2</v>
      </c>
      <c r="K25" s="8">
        <v>0</v>
      </c>
      <c r="L25" s="8">
        <v>0</v>
      </c>
      <c r="M25" s="8">
        <f>Tabla135[[#This Row],[ERL]]+Tabla135[[#This Row],[IRL]]</f>
        <v>0</v>
      </c>
      <c r="N25" s="8">
        <f t="shared" si="5"/>
        <v>1</v>
      </c>
      <c r="O25" s="8">
        <v>4</v>
      </c>
      <c r="P25" s="8">
        <f t="shared" si="6"/>
        <v>0.9</v>
      </c>
      <c r="Q25" s="8">
        <f>Tabla135[[#This Row],[LoCode]]/Tabla135[[#This Row],[NoFunctions]]</f>
        <v>5.5</v>
      </c>
      <c r="R25" s="8">
        <f t="shared" si="7"/>
        <v>0.9821428571428571</v>
      </c>
      <c r="S25" s="8">
        <v>0.18179999999999999</v>
      </c>
      <c r="T25" s="8">
        <f t="shared" si="8"/>
        <v>0.72731363431828411</v>
      </c>
      <c r="U25" s="8">
        <f t="shared" si="9"/>
        <v>0.90236412286528533</v>
      </c>
      <c r="V25" s="8" t="str">
        <f t="shared" si="10"/>
        <v>Group 2</v>
      </c>
      <c r="W25" s="8">
        <f t="shared" si="0"/>
        <v>0.98604166351441069</v>
      </c>
      <c r="X25" s="8">
        <f t="shared" si="1"/>
        <v>68</v>
      </c>
      <c r="Y25" s="8">
        <f t="shared" si="2"/>
        <v>0.9833423747419161</v>
      </c>
      <c r="Z25" s="8">
        <f t="shared" si="3"/>
        <v>0.9929302980576048</v>
      </c>
      <c r="AA25" s="8">
        <f>2</f>
        <v>2</v>
      </c>
      <c r="AB25" s="8">
        <f t="shared" si="4"/>
        <v>0.85450366707394054</v>
      </c>
      <c r="AC25" s="8" t="str">
        <f t="shared" si="11"/>
        <v>Group 2</v>
      </c>
      <c r="AD25" s="8" cm="1">
        <f t="array" ref="AD25">SUM(Tabla135[[#This Row],[CC]:[IDC]] - Tabla135[[#This Row],[IRC]])</f>
        <v>11.563942857142859</v>
      </c>
      <c r="AE25" t="str">
        <f>IF(Tabla135[[#This Row],[Valor general]]&lt; $H$51, "Alto", IF(Tabla135[[#This Row],[Valor general]]&lt; $H$53, "Medio", "Bajo"))</f>
        <v>Medio</v>
      </c>
      <c r="AF25" s="8">
        <f>1-((Tabla135[[#This Row],[TPFM]]-$Q$52) / ($Q$51-$Q$52))</f>
        <v>0.890625</v>
      </c>
      <c r="AG25" s="8">
        <v>0.04</v>
      </c>
      <c r="AH25" s="8">
        <v>0.06</v>
      </c>
      <c r="AI25" s="8">
        <f>SUM(Tabla135[[#This Row],[ITPFM]:[Comentarios2]])/3</f>
        <v>0.33020833333333338</v>
      </c>
      <c r="AJ25" s="8">
        <f>Tabla135[[#This Row],[CC]]/$AI$49</f>
        <v>0.4</v>
      </c>
      <c r="AK25" s="8">
        <f>(Tabla135[[#This Row],[ICLC]]+(1-Tabla135[[#This Row],[ICC]]))/2</f>
        <v>0.46510416666666665</v>
      </c>
      <c r="AL25" t="str">
        <f>IF(Tabla135[[#This Row],[Valor general2]]&lt; $AJ$51, "Bajo", IF(Tabla135[[#This Row],[Valor general2]]&lt; $AJ$53, "Medio", "Alto"))</f>
        <v>Medio</v>
      </c>
      <c r="AM25" s="8">
        <v>0.83330000000000004</v>
      </c>
      <c r="AN25" t="str">
        <f>IF(Tabla135[[#This Row],[INN]]&lt; $AL$51, "Bajo", IF(Tabla135[[#This Row],[INN]]&lt; $AL$53, "Medio", "Alto"))</f>
        <v>Bajo</v>
      </c>
      <c r="AO25" s="8">
        <f>Tabla135[[#This Row],[Valor general]]-Tabla135[[#This Row],[Valor general2]]-Tabla135[[#This Row],[INN]]</f>
        <v>10.265538690476193</v>
      </c>
      <c r="AP25" t="str">
        <f>IF(Tabla135[[#This Row],[Valor general de PC]]&lt; $AN$51, "Alto", IF(Tabla135[[#This Row],[Valor general de PC]]&lt; $AN$53, "Medio", "Bajo"))</f>
        <v>Medio</v>
      </c>
    </row>
    <row r="26" spans="1:42" s="16" customFormat="1" hidden="1" x14ac:dyDescent="0.25">
      <c r="A26" s="50"/>
      <c r="B26"/>
      <c r="C26"/>
      <c r="D26"/>
      <c r="K26" s="17"/>
      <c r="L26" s="17"/>
      <c r="M26" s="17"/>
      <c r="N26" s="17">
        <f t="shared" si="5"/>
        <v>1</v>
      </c>
      <c r="O26" s="17"/>
      <c r="P26" s="17">
        <f t="shared" si="6"/>
        <v>0.7</v>
      </c>
      <c r="Q26" s="17"/>
      <c r="R26" s="17">
        <f t="shared" si="7"/>
        <v>0.7857142857142857</v>
      </c>
      <c r="S26" s="17"/>
      <c r="T26" s="17">
        <f t="shared" si="8"/>
        <v>1</v>
      </c>
      <c r="U26" s="8">
        <f t="shared" si="9"/>
        <v>0.87142857142857144</v>
      </c>
      <c r="V26" s="8" t="str">
        <f t="shared" si="10"/>
        <v>Group 2</v>
      </c>
      <c r="W26" s="8" t="str">
        <f t="shared" si="0"/>
        <v/>
      </c>
      <c r="X26" s="8">
        <f t="shared" si="1"/>
        <v>68</v>
      </c>
      <c r="Y26" s="8">
        <f t="shared" si="2"/>
        <v>0.90134994216912689</v>
      </c>
      <c r="Z26" s="8">
        <f t="shared" si="3"/>
        <v>0.9887054268697858</v>
      </c>
      <c r="AA26" s="8">
        <f>2</f>
        <v>2</v>
      </c>
      <c r="AB26" s="8">
        <f t="shared" si="4"/>
        <v>0.81566445856337233</v>
      </c>
      <c r="AC26" s="8" t="str">
        <f t="shared" si="11"/>
        <v>Group 2</v>
      </c>
      <c r="AD26" s="17"/>
      <c r="AF26" s="17"/>
      <c r="AG26" s="17"/>
      <c r="AH26" s="17"/>
      <c r="AI26" s="17"/>
      <c r="AJ26" s="17"/>
      <c r="AK26" s="17"/>
      <c r="AM26" s="17"/>
      <c r="AO26" s="17"/>
    </row>
    <row r="27" spans="1:42" x14ac:dyDescent="0.25">
      <c r="A27" s="2">
        <v>2024136072</v>
      </c>
      <c r="B27" s="2"/>
      <c r="C27" s="2"/>
      <c r="D27" s="2"/>
      <c r="E27" t="s">
        <v>42</v>
      </c>
      <c r="H27">
        <v>9</v>
      </c>
      <c r="I27">
        <v>0</v>
      </c>
      <c r="J27">
        <v>2</v>
      </c>
      <c r="K27" s="8">
        <v>0</v>
      </c>
      <c r="L27" s="8">
        <v>0</v>
      </c>
      <c r="M27" s="8">
        <f>Tabla135[[#This Row],[ERL]]+Tabla135[[#This Row],[IRL]]</f>
        <v>0</v>
      </c>
      <c r="N27" s="8">
        <f t="shared" si="5"/>
        <v>1</v>
      </c>
      <c r="O27" s="8">
        <v>7</v>
      </c>
      <c r="P27" s="8">
        <f t="shared" si="6"/>
        <v>0.6</v>
      </c>
      <c r="Q27" s="8">
        <f>Tabla135[[#This Row],[LoCode]]/Tabla135[[#This Row],[NoFunctions]]</f>
        <v>4.5</v>
      </c>
      <c r="R27" s="8">
        <f t="shared" si="7"/>
        <v>0.9464285714285714</v>
      </c>
      <c r="S27" s="8">
        <v>0.44440000000000002</v>
      </c>
      <c r="T27" s="8">
        <f t="shared" si="8"/>
        <v>0.3334333283335833</v>
      </c>
      <c r="U27" s="8">
        <f t="shared" si="9"/>
        <v>0.71996547494053875</v>
      </c>
      <c r="V27" s="8" t="str">
        <f t="shared" si="10"/>
        <v>Group 2</v>
      </c>
      <c r="W27" s="8">
        <f t="shared" si="0"/>
        <v>0.8586312670923878</v>
      </c>
      <c r="X27" s="8">
        <f t="shared" si="1"/>
        <v>68</v>
      </c>
      <c r="Y27" s="8">
        <f t="shared" si="2"/>
        <v>0.93683743690157417</v>
      </c>
      <c r="Z27" s="8">
        <f t="shared" si="3"/>
        <v>0.93594702681693975</v>
      </c>
      <c r="AA27" s="8">
        <f>2</f>
        <v>2</v>
      </c>
      <c r="AB27" s="8">
        <f t="shared" si="4"/>
        <v>0.61039089277340164</v>
      </c>
      <c r="AC27" s="8" t="str">
        <f t="shared" si="11"/>
        <v>Group 2</v>
      </c>
      <c r="AD27" s="8" cm="1">
        <f t="array" ref="AD27">SUM(Tabla135[[#This Row],[CC]:[IDC]] - Tabla135[[#This Row],[IRC]])</f>
        <v>13.490828571428571</v>
      </c>
      <c r="AE27" t="str">
        <f>IF(Tabla135[[#This Row],[Valor general]]&lt; $H$51, "Alto", IF(Tabla135[[#This Row],[Valor general]]&lt; $H$53, "Medio", "Bajo"))</f>
        <v>Medio</v>
      </c>
      <c r="AF27" s="8">
        <f>1-((Tabla135[[#This Row],[TPFM]]-$Q$52) / ($Q$51-$Q$52))</f>
        <v>0.921875</v>
      </c>
      <c r="AG27" s="8">
        <v>0.02</v>
      </c>
      <c r="AH27" s="8">
        <v>0.08</v>
      </c>
      <c r="AI27" s="8">
        <f>SUM(Tabla135[[#This Row],[ITPFM]:[Comentarios2]])/3</f>
        <v>0.34062500000000001</v>
      </c>
      <c r="AJ27" s="8">
        <f>Tabla135[[#This Row],[CC]]/$AI$49</f>
        <v>0.7</v>
      </c>
      <c r="AK27" s="8">
        <f>(Tabla135[[#This Row],[ICLC]]+(1-Tabla135[[#This Row],[ICC]]))/2</f>
        <v>0.3203125</v>
      </c>
      <c r="AL27" t="str">
        <f>IF(Tabla135[[#This Row],[Valor general2]]&lt; $AJ$51, "Bajo", IF(Tabla135[[#This Row],[Valor general2]]&lt; $AJ$53, "Medio", "Alto"))</f>
        <v>Medio</v>
      </c>
      <c r="AM27" s="8">
        <v>1</v>
      </c>
      <c r="AN27" t="str">
        <f>IF(Tabla135[[#This Row],[INN]]&lt; $AL$51, "Bajo", IF(Tabla135[[#This Row],[INN]]&lt; $AL$53, "Medio", "Alto"))</f>
        <v>Alto</v>
      </c>
      <c r="AO27" s="8">
        <f>Tabla135[[#This Row],[Valor general]]-Tabla135[[#This Row],[Valor general2]]-Tabla135[[#This Row],[INN]]</f>
        <v>12.170516071428571</v>
      </c>
      <c r="AP27" t="str">
        <f>IF(Tabla135[[#This Row],[Valor general de PC]]&lt; $AN$51, "Alto", IF(Tabla135[[#This Row],[Valor general de PC]]&lt; $AN$53, "Medio", "Bajo"))</f>
        <v>Medio</v>
      </c>
    </row>
    <row r="28" spans="1:42" x14ac:dyDescent="0.25">
      <c r="A28" s="2">
        <v>2024138712</v>
      </c>
      <c r="B28" s="2"/>
      <c r="C28" s="2"/>
      <c r="D28" s="2"/>
      <c r="E28" t="s">
        <v>42</v>
      </c>
      <c r="G28" t="s">
        <v>43</v>
      </c>
      <c r="H28">
        <v>5</v>
      </c>
      <c r="I28">
        <v>0</v>
      </c>
      <c r="J28">
        <v>1</v>
      </c>
      <c r="K28" s="8">
        <v>0</v>
      </c>
      <c r="L28" s="8">
        <v>0</v>
      </c>
      <c r="M28" s="8">
        <f>Tabla135[[#This Row],[ERL]]+Tabla135[[#This Row],[IRL]]</f>
        <v>0</v>
      </c>
      <c r="N28" s="8">
        <f t="shared" si="5"/>
        <v>1</v>
      </c>
      <c r="O28" s="8">
        <v>3</v>
      </c>
      <c r="P28" s="8">
        <f t="shared" si="6"/>
        <v>1</v>
      </c>
      <c r="Q28" s="8">
        <f>Tabla135[[#This Row],[LoCode]]/Tabla135[[#This Row],[NoFunctions]]</f>
        <v>5</v>
      </c>
      <c r="R28" s="8">
        <f t="shared" si="7"/>
        <v>0.9642857142857143</v>
      </c>
      <c r="S28" s="8">
        <v>0.2</v>
      </c>
      <c r="T28" s="8">
        <f t="shared" si="8"/>
        <v>0.70001499925003752</v>
      </c>
      <c r="U28" s="8">
        <f t="shared" si="9"/>
        <v>0.91607517838393804</v>
      </c>
      <c r="V28" s="8" t="str">
        <f t="shared" si="10"/>
        <v>Group 1</v>
      </c>
      <c r="W28" s="8">
        <f t="shared" si="0"/>
        <v>0.99646849985854569</v>
      </c>
      <c r="X28" s="8">
        <f t="shared" si="1"/>
        <v>68</v>
      </c>
      <c r="Y28" s="8">
        <f t="shared" si="2"/>
        <v>0.98500288378355061</v>
      </c>
      <c r="Z28" s="8">
        <f t="shared" si="3"/>
        <v>0.99073257723982577</v>
      </c>
      <c r="AA28" s="8">
        <f>2</f>
        <v>2</v>
      </c>
      <c r="AB28" s="8">
        <f t="shared" si="4"/>
        <v>0.84894826144741287</v>
      </c>
      <c r="AC28" s="8" t="str">
        <f t="shared" si="11"/>
        <v>Group 2</v>
      </c>
      <c r="AD28" s="8" cm="1">
        <f t="array" ref="AD28">SUM(Tabla135[[#This Row],[CC]:[IDC]] - Tabla135[[#This Row],[IRC]])</f>
        <v>10.164285714285713</v>
      </c>
      <c r="AE28" t="str">
        <f>IF(Tabla135[[#This Row],[Valor general]]&lt; $H$51, "Alto", IF(Tabla135[[#This Row],[Valor general]]&lt; $H$53, "Medio", "Bajo"))</f>
        <v>Alto</v>
      </c>
      <c r="AF28" s="8">
        <f>1-((Tabla135[[#This Row],[TPFM]]-$Q$52) / ($Q$51-$Q$52))</f>
        <v>0.90625</v>
      </c>
      <c r="AG28" s="8">
        <v>0.04</v>
      </c>
      <c r="AH28" s="8">
        <v>0</v>
      </c>
      <c r="AI28" s="8">
        <f>SUM(Tabla135[[#This Row],[ITPFM]:[Comentarios2]])/3</f>
        <v>0.31541666666666668</v>
      </c>
      <c r="AJ28" s="8">
        <f>Tabla135[[#This Row],[CC]]/$AI$49</f>
        <v>0.3</v>
      </c>
      <c r="AK28" s="8">
        <f>(Tabla135[[#This Row],[ICLC]]+(1-Tabla135[[#This Row],[ICC]]))/2</f>
        <v>0.50770833333333332</v>
      </c>
      <c r="AL28" t="str">
        <f>IF(Tabla135[[#This Row],[Valor general2]]&lt; $AJ$51, "Bajo", IF(Tabla135[[#This Row],[Valor general2]]&lt; $AJ$53, "Medio", "Alto"))</f>
        <v>Alto</v>
      </c>
      <c r="AM28" s="8">
        <v>0.75</v>
      </c>
      <c r="AN28" t="str">
        <f>IF(Tabla135[[#This Row],[INN]]&lt; $AL$51, "Bajo", IF(Tabla135[[#This Row],[INN]]&lt; $AL$53, "Medio", "Alto"))</f>
        <v>Bajo</v>
      </c>
      <c r="AO28" s="8">
        <f>Tabla135[[#This Row],[Valor general]]-Tabla135[[#This Row],[Valor general2]]-Tabla135[[#This Row],[INN]]</f>
        <v>8.9065773809523794</v>
      </c>
      <c r="AP28" t="str">
        <f>IF(Tabla135[[#This Row],[Valor general de PC]]&lt; $AN$51, "Alto", IF(Tabla135[[#This Row],[Valor general de PC]]&lt; $AN$53, "Medio", "Bajo"))</f>
        <v>Alto</v>
      </c>
    </row>
    <row r="29" spans="1:42" x14ac:dyDescent="0.25">
      <c r="A29" s="2">
        <v>2024140841</v>
      </c>
      <c r="B29" s="2"/>
      <c r="C29" s="2"/>
      <c r="D29" s="2"/>
      <c r="E29" t="s">
        <v>42</v>
      </c>
      <c r="G29" s="3" t="s">
        <v>52</v>
      </c>
      <c r="H29">
        <v>26</v>
      </c>
      <c r="I29">
        <v>19</v>
      </c>
      <c r="J29">
        <v>4</v>
      </c>
      <c r="K29" s="8">
        <v>0</v>
      </c>
      <c r="L29" s="8">
        <v>0</v>
      </c>
      <c r="M29" s="8">
        <f>Tabla135[[#This Row],[ERL]]+Tabla135[[#This Row],[IRL]]</f>
        <v>0</v>
      </c>
      <c r="N29" s="8">
        <f t="shared" si="5"/>
        <v>1</v>
      </c>
      <c r="O29" s="8">
        <v>12</v>
      </c>
      <c r="P29" s="8">
        <f t="shared" si="6"/>
        <v>9.9999999999999978E-2</v>
      </c>
      <c r="Q29" s="8">
        <f>Tabla135[[#This Row],[LoCode]]/Tabla135[[#This Row],[NoFunctions]]</f>
        <v>6.5</v>
      </c>
      <c r="R29" s="8">
        <f t="shared" si="7"/>
        <v>0.9821428571428571</v>
      </c>
      <c r="S29" s="8">
        <v>0.65380000000000005</v>
      </c>
      <c r="T29" s="8">
        <f t="shared" si="8"/>
        <v>1.9349032548372502E-2</v>
      </c>
      <c r="U29" s="8">
        <f t="shared" si="9"/>
        <v>0.52537297242280745</v>
      </c>
      <c r="V29" s="8" t="str">
        <f t="shared" si="10"/>
        <v>Group 3</v>
      </c>
      <c r="W29" s="8">
        <f t="shared" si="0"/>
        <v>0.8182934434653677</v>
      </c>
      <c r="X29" s="8">
        <f t="shared" si="1"/>
        <v>68</v>
      </c>
      <c r="Y29" s="8">
        <f t="shared" si="2"/>
        <v>0.86709473542703031</v>
      </c>
      <c r="Z29" s="8">
        <f t="shared" si="3"/>
        <v>0.74768124024272409</v>
      </c>
      <c r="AA29" s="8">
        <f>2</f>
        <v>2</v>
      </c>
      <c r="AB29" s="8">
        <f t="shared" si="4"/>
        <v>0.33441845024166394</v>
      </c>
      <c r="AC29" s="8" t="str">
        <f t="shared" si="11"/>
        <v>Group 3</v>
      </c>
      <c r="AD29" s="8" cm="1">
        <f t="array" ref="AD29">SUM(Tabla135[[#This Row],[CC]:[IDC]] - Tabla135[[#This Row],[IRC]])</f>
        <v>20.235942857142859</v>
      </c>
      <c r="AE29" t="str">
        <f>IF(Tabla135[[#This Row],[Valor general]]&lt; $H$51, "Alto", IF(Tabla135[[#This Row],[Valor general]]&lt; $H$53, "Medio", "Bajo"))</f>
        <v>Bajo</v>
      </c>
      <c r="AF29" s="8">
        <f>1-((Tabla135[[#This Row],[TPFM]]-$Q$52) / ($Q$51-$Q$52))</f>
        <v>0.859375</v>
      </c>
      <c r="AG29" s="8">
        <v>0.08</v>
      </c>
      <c r="AH29" s="8">
        <v>0.16</v>
      </c>
      <c r="AI29" s="8">
        <f>SUM(Tabla135[[#This Row],[ITPFM]:[Comentarios2]])/3</f>
        <v>0.36645833333333333</v>
      </c>
      <c r="AJ29" s="8">
        <f>Tabla135[[#This Row],[CC]]/$AI$49</f>
        <v>1.2</v>
      </c>
      <c r="AK29" s="8">
        <f>(Tabla135[[#This Row],[ICLC]]+(1-Tabla135[[#This Row],[ICC]]))/2</f>
        <v>8.3229166666666687E-2</v>
      </c>
      <c r="AL29" t="str">
        <f>IF(Tabla135[[#This Row],[Valor general2]]&lt; $AJ$51, "Bajo", IF(Tabla135[[#This Row],[Valor general2]]&lt; $AJ$53, "Medio", "Alto"))</f>
        <v>Bajo</v>
      </c>
      <c r="AM29" s="8">
        <v>0.875</v>
      </c>
      <c r="AN29" t="str">
        <f>IF(Tabla135[[#This Row],[INN]]&lt; $AL$51, "Bajo", IF(Tabla135[[#This Row],[INN]]&lt; $AL$53, "Medio", "Alto"))</f>
        <v>Bajo</v>
      </c>
      <c r="AO29" s="8">
        <f>Tabla135[[#This Row],[Valor general]]-Tabla135[[#This Row],[Valor general2]]-Tabla135[[#This Row],[INN]]</f>
        <v>19.277713690476194</v>
      </c>
      <c r="AP29" t="str">
        <f>IF(Tabla135[[#This Row],[Valor general de PC]]&lt; $AN$51, "Alto", IF(Tabla135[[#This Row],[Valor general de PC]]&lt; $AN$53, "Medio", "Bajo"))</f>
        <v>Bajo</v>
      </c>
    </row>
    <row r="30" spans="1:42" x14ac:dyDescent="0.25">
      <c r="A30" s="2">
        <v>2024145117</v>
      </c>
      <c r="B30" s="2"/>
      <c r="C30" s="2"/>
      <c r="D30" s="2"/>
      <c r="E30" t="s">
        <v>46</v>
      </c>
      <c r="G30" s="3" t="s">
        <v>48</v>
      </c>
      <c r="H30">
        <v>50</v>
      </c>
      <c r="I30">
        <v>3</v>
      </c>
      <c r="J30">
        <v>4</v>
      </c>
      <c r="K30" s="8">
        <v>0</v>
      </c>
      <c r="L30" s="8">
        <f>2/Tabla135[[#This Row],[LoCode]]</f>
        <v>0.04</v>
      </c>
      <c r="M30" s="8">
        <f>Tabla135[[#This Row],[ERL]]+Tabla135[[#This Row],[IRL]]</f>
        <v>0.04</v>
      </c>
      <c r="N30" s="8">
        <f t="shared" si="5"/>
        <v>0.84</v>
      </c>
      <c r="O30" s="8">
        <v>12</v>
      </c>
      <c r="P30" s="8">
        <f t="shared" si="6"/>
        <v>9.9999999999999978E-2</v>
      </c>
      <c r="Q30" s="8">
        <f>Tabla135[[#This Row],[LoCode]]/Tabla135[[#This Row],[NoFunctions]]</f>
        <v>12.5</v>
      </c>
      <c r="R30" s="8">
        <f t="shared" si="7"/>
        <v>0.76785714285714279</v>
      </c>
      <c r="S30" s="8">
        <v>0.38</v>
      </c>
      <c r="T30" s="8">
        <f t="shared" si="8"/>
        <v>0.43002849857507119</v>
      </c>
      <c r="U30" s="8">
        <f t="shared" si="9"/>
        <v>0.53447141035805346</v>
      </c>
      <c r="V30" s="8" t="str">
        <f t="shared" si="10"/>
        <v>Group 3</v>
      </c>
      <c r="W30" s="8">
        <f t="shared" si="0"/>
        <v>0.95470599390635924</v>
      </c>
      <c r="X30" s="8">
        <f t="shared" si="1"/>
        <v>68</v>
      </c>
      <c r="Y30" s="8">
        <f t="shared" si="2"/>
        <v>0.83664154090109211</v>
      </c>
      <c r="Z30" s="8">
        <f t="shared" si="3"/>
        <v>0.87567414425915813</v>
      </c>
      <c r="AA30" s="8">
        <f>2</f>
        <v>2</v>
      </c>
      <c r="AB30" s="8">
        <f t="shared" si="4"/>
        <v>0.4490104768330353</v>
      </c>
      <c r="AC30" s="8" t="str">
        <f t="shared" si="11"/>
        <v>Group 3</v>
      </c>
      <c r="AD30" s="8" cm="1">
        <f t="array" ref="AD30">SUM(Tabla135[[#This Row],[CC]:[IDC]] - Tabla135[[#This Row],[IRC]])</f>
        <v>25.547857142857147</v>
      </c>
      <c r="AE30" t="str">
        <f>IF(Tabla135[[#This Row],[Valor general]]&lt; $H$51, "Alto", IF(Tabla135[[#This Row],[Valor general]]&lt; $H$53, "Medio", "Bajo"))</f>
        <v>Bajo</v>
      </c>
      <c r="AF30" s="8">
        <f>1-((Tabla135[[#This Row],[TPFM]]-$Q$52) / ($Q$51-$Q$52))</f>
        <v>0.671875</v>
      </c>
      <c r="AG30" s="8">
        <v>0.06</v>
      </c>
      <c r="AH30" s="8">
        <v>7.0000000000000007E-2</v>
      </c>
      <c r="AI30" s="8">
        <f>SUM(Tabla135[[#This Row],[ITPFM]:[Comentarios2]])/3</f>
        <v>0.26729166666666671</v>
      </c>
      <c r="AJ30" s="8">
        <f>Tabla135[[#This Row],[CC]]/$AI$49</f>
        <v>1.2</v>
      </c>
      <c r="AK30" s="8">
        <f>(Tabla135[[#This Row],[ICLC]]+(1-Tabla135[[#This Row],[ICC]]))/2</f>
        <v>3.3645833333333375E-2</v>
      </c>
      <c r="AL30" t="str">
        <f>IF(Tabla135[[#This Row],[Valor general2]]&lt; $AJ$51, "Bajo", IF(Tabla135[[#This Row],[Valor general2]]&lt; $AJ$53, "Medio", "Alto"))</f>
        <v>Bajo</v>
      </c>
      <c r="AM30" s="8">
        <v>1</v>
      </c>
      <c r="AN30" t="str">
        <f>IF(Tabla135[[#This Row],[INN]]&lt; $AL$51, "Bajo", IF(Tabla135[[#This Row],[INN]]&lt; $AL$53, "Medio", "Alto"))</f>
        <v>Alto</v>
      </c>
      <c r="AO30" s="8">
        <f>Tabla135[[#This Row],[Valor general]]-Tabla135[[#This Row],[Valor general2]]-Tabla135[[#This Row],[INN]]</f>
        <v>24.514211309523812</v>
      </c>
      <c r="AP30" t="str">
        <f>IF(Tabla135[[#This Row],[Valor general de PC]]&lt; $AN$51, "Alto", IF(Tabla135[[#This Row],[Valor general de PC]]&lt; $AN$53, "Medio", "Bajo"))</f>
        <v>Bajo</v>
      </c>
    </row>
    <row r="31" spans="1:42" x14ac:dyDescent="0.25">
      <c r="A31" s="2">
        <v>2024145153</v>
      </c>
      <c r="B31" s="2"/>
      <c r="C31" s="2"/>
      <c r="D31" s="2"/>
      <c r="E31" t="s">
        <v>44</v>
      </c>
      <c r="G31" t="s">
        <v>45</v>
      </c>
      <c r="H31">
        <v>5</v>
      </c>
      <c r="I31">
        <v>0</v>
      </c>
      <c r="J31">
        <v>1</v>
      </c>
      <c r="K31" s="8">
        <v>0</v>
      </c>
      <c r="L31" s="8">
        <v>0</v>
      </c>
      <c r="M31" s="8">
        <f>Tabla135[[#This Row],[ERL]]+Tabla135[[#This Row],[IRL]]</f>
        <v>0</v>
      </c>
      <c r="N31" s="8">
        <f t="shared" si="5"/>
        <v>1</v>
      </c>
      <c r="O31" s="8">
        <v>3</v>
      </c>
      <c r="P31" s="8">
        <f t="shared" si="6"/>
        <v>1</v>
      </c>
      <c r="Q31" s="8">
        <f>Tabla135[[#This Row],[LoCode]]/Tabla135[[#This Row],[NoFunctions]]</f>
        <v>5</v>
      </c>
      <c r="R31" s="8">
        <f t="shared" si="7"/>
        <v>0.9642857142857143</v>
      </c>
      <c r="S31" s="8">
        <v>0</v>
      </c>
      <c r="T31" s="8">
        <f t="shared" si="8"/>
        <v>1</v>
      </c>
      <c r="U31" s="8">
        <f t="shared" si="9"/>
        <v>0.9910714285714286</v>
      </c>
      <c r="V31" s="8" t="str">
        <f t="shared" si="10"/>
        <v>Group 1</v>
      </c>
      <c r="W31" s="8">
        <f t="shared" si="0"/>
        <v>0.99705448550158149</v>
      </c>
      <c r="X31" s="8">
        <f t="shared" si="1"/>
        <v>68</v>
      </c>
      <c r="Y31" s="8">
        <f t="shared" si="2"/>
        <v>0.98529411764705888</v>
      </c>
      <c r="Z31" s="8">
        <f t="shared" si="3"/>
        <v>0.99987827886267377</v>
      </c>
      <c r="AA31" s="8">
        <f>2</f>
        <v>2</v>
      </c>
      <c r="AB31" s="8">
        <f t="shared" si="4"/>
        <v>0.98214285714285721</v>
      </c>
      <c r="AC31" s="8" t="str">
        <f>IF(AB31&gt;=$AB$63,"Group 1",
   IF(AB31&gt;=$AB$62,"Group 2","Group 3"))</f>
        <v>Group 1</v>
      </c>
      <c r="AD31" s="8" cm="1">
        <f t="array" ref="AD31">SUM(Tabla135[[#This Row],[CC]:[IDC]] - Tabla135[[#This Row],[IRC]])</f>
        <v>9.9642857142857135</v>
      </c>
      <c r="AE31" t="str">
        <f>IF(Tabla135[[#This Row],[Valor general]]&lt; $H$51, "Alto", IF(Tabla135[[#This Row],[Valor general]]&lt; $H$53, "Medio", "Bajo"))</f>
        <v>Alto</v>
      </c>
      <c r="AF31" s="8">
        <f>1-((Tabla135[[#This Row],[TPFM]]-$Q$52) / ($Q$51-$Q$52))</f>
        <v>0.90625</v>
      </c>
      <c r="AG31" s="8">
        <v>0.02</v>
      </c>
      <c r="AH31" s="8">
        <v>0</v>
      </c>
      <c r="AI31" s="8">
        <f>SUM(Tabla135[[#This Row],[ITPFM]:[Comentarios2]])/3</f>
        <v>0.30875000000000002</v>
      </c>
      <c r="AJ31" s="8">
        <f>Tabla135[[#This Row],[CC]]/$AI$49</f>
        <v>0.3</v>
      </c>
      <c r="AK31" s="8">
        <f>(Tabla135[[#This Row],[ICLC]]+(1-Tabla135[[#This Row],[ICC]]))/2</f>
        <v>0.50437500000000002</v>
      </c>
      <c r="AL31" t="str">
        <f>IF(Tabla135[[#This Row],[Valor general2]]&lt; $AJ$51, "Bajo", IF(Tabla135[[#This Row],[Valor general2]]&lt; $AJ$53, "Medio", "Alto"))</f>
        <v>Medio</v>
      </c>
      <c r="AM31" s="8">
        <v>1</v>
      </c>
      <c r="AN31" t="str">
        <f>IF(Tabla135[[#This Row],[INN]]&lt; $AL$51, "Bajo", IF(Tabla135[[#This Row],[INN]]&lt; $AL$53, "Medio", "Alto"))</f>
        <v>Alto</v>
      </c>
      <c r="AO31" s="8">
        <f>Tabla135[[#This Row],[Valor general]]-Tabla135[[#This Row],[Valor general2]]-Tabla135[[#This Row],[INN]]</f>
        <v>8.459910714285714</v>
      </c>
      <c r="AP31" t="str">
        <f>IF(Tabla135[[#This Row],[Valor general de PC]]&lt; $AN$51, "Alto", IF(Tabla135[[#This Row],[Valor general de PC]]&lt; $AN$53, "Medio", "Bajo"))</f>
        <v>Alto</v>
      </c>
    </row>
    <row r="32" spans="1:42" x14ac:dyDescent="0.25">
      <c r="A32" s="2">
        <v>2024163735</v>
      </c>
      <c r="B32" s="2"/>
      <c r="C32" s="2"/>
      <c r="D32" s="2"/>
      <c r="E32" t="s">
        <v>42</v>
      </c>
      <c r="G32" t="s">
        <v>49</v>
      </c>
      <c r="H32">
        <v>12</v>
      </c>
      <c r="I32">
        <v>5</v>
      </c>
      <c r="J32">
        <v>2</v>
      </c>
      <c r="K32" s="8">
        <v>0</v>
      </c>
      <c r="L32" s="8">
        <v>0</v>
      </c>
      <c r="M32" s="8">
        <f>Tabla135[[#This Row],[ERL]]+Tabla135[[#This Row],[IRL]]</f>
        <v>0</v>
      </c>
      <c r="N32" s="8">
        <f t="shared" si="5"/>
        <v>1</v>
      </c>
      <c r="O32" s="8">
        <v>6</v>
      </c>
      <c r="P32" s="8">
        <f t="shared" si="6"/>
        <v>0.7</v>
      </c>
      <c r="Q32" s="8">
        <f>Tabla135[[#This Row],[LoCode]]/Tabla135[[#This Row],[NoFunctions]]</f>
        <v>6</v>
      </c>
      <c r="R32" s="8">
        <f t="shared" si="7"/>
        <v>1</v>
      </c>
      <c r="S32" s="8">
        <v>0.21429999999999999</v>
      </c>
      <c r="T32" s="8">
        <f t="shared" si="8"/>
        <v>0.67856607169641525</v>
      </c>
      <c r="U32" s="8">
        <f t="shared" si="9"/>
        <v>0.8446415179241038</v>
      </c>
      <c r="V32" s="8" t="str">
        <f t="shared" si="10"/>
        <v>Group 2</v>
      </c>
      <c r="W32" s="8">
        <f t="shared" si="0"/>
        <v>0.94838088856621217</v>
      </c>
      <c r="X32" s="8">
        <f t="shared" si="1"/>
        <v>68</v>
      </c>
      <c r="Y32" s="8">
        <f t="shared" si="2"/>
        <v>0.95576993614208283</v>
      </c>
      <c r="Z32" s="8">
        <f t="shared" si="3"/>
        <v>0.98346328278028639</v>
      </c>
      <c r="AA32" s="8">
        <f>2</f>
        <v>2</v>
      </c>
      <c r="AB32" s="8">
        <f t="shared" si="4"/>
        <v>0.78015927909923399</v>
      </c>
      <c r="AC32" s="8" t="str">
        <f t="shared" si="11"/>
        <v>Group 2</v>
      </c>
      <c r="AD32" s="8" cm="1">
        <f t="array" ref="AD32">SUM(Tabla135[[#This Row],[CC]:[IDC]] - Tabla135[[#This Row],[IRC]])</f>
        <v>13.914299999999999</v>
      </c>
      <c r="AE32" t="str">
        <f>IF(Tabla135[[#This Row],[Valor general]]&lt; $H$51, "Alto", IF(Tabla135[[#This Row],[Valor general]]&lt; $H$53, "Medio", "Bajo"))</f>
        <v>Medio</v>
      </c>
      <c r="AF32" s="8">
        <f>1-((Tabla135[[#This Row],[TPFM]]-$Q$52) / ($Q$51-$Q$52))</f>
        <v>0.875</v>
      </c>
      <c r="AG32" s="8">
        <v>0.04</v>
      </c>
      <c r="AH32" s="8">
        <v>0.1</v>
      </c>
      <c r="AI32" s="8">
        <f>SUM(Tabla135[[#This Row],[ITPFM]:[Comentarios2]])/3</f>
        <v>0.33833333333333337</v>
      </c>
      <c r="AJ32" s="8">
        <f>Tabla135[[#This Row],[CC]]/$AI$49</f>
        <v>0.6</v>
      </c>
      <c r="AK32" s="8">
        <f>(Tabla135[[#This Row],[ICLC]]+(1-Tabla135[[#This Row],[ICC]]))/2</f>
        <v>0.3691666666666667</v>
      </c>
      <c r="AL32" t="str">
        <f>IF(Tabla135[[#This Row],[Valor general2]]&lt; $AJ$51, "Bajo", IF(Tabla135[[#This Row],[Valor general2]]&lt; $AJ$53, "Medio", "Alto"))</f>
        <v>Medio</v>
      </c>
      <c r="AM32" s="8">
        <v>1</v>
      </c>
      <c r="AN32" t="str">
        <f>IF(Tabla135[[#This Row],[INN]]&lt; $AL$51, "Bajo", IF(Tabla135[[#This Row],[INN]]&lt; $AL$53, "Medio", "Alto"))</f>
        <v>Alto</v>
      </c>
      <c r="AO32" s="8">
        <f>Tabla135[[#This Row],[Valor general]]-Tabla135[[#This Row],[Valor general2]]-Tabla135[[#This Row],[INN]]</f>
        <v>12.545133333333332</v>
      </c>
      <c r="AP32" t="str">
        <f>IF(Tabla135[[#This Row],[Valor general de PC]]&lt; $AN$51, "Alto", IF(Tabla135[[#This Row],[Valor general de PC]]&lt; $AN$53, "Medio", "Bajo"))</f>
        <v>Medio</v>
      </c>
    </row>
    <row r="33" spans="1:42" x14ac:dyDescent="0.25">
      <c r="A33" s="2">
        <v>2024178193</v>
      </c>
      <c r="B33" s="2"/>
      <c r="C33" s="2"/>
      <c r="D33" s="2"/>
      <c r="E33" t="s">
        <v>46</v>
      </c>
      <c r="G33" t="s">
        <v>54</v>
      </c>
      <c r="H33">
        <v>12</v>
      </c>
      <c r="I33">
        <v>1</v>
      </c>
      <c r="J33">
        <v>1</v>
      </c>
      <c r="K33" s="8">
        <v>0</v>
      </c>
      <c r="L33" s="8">
        <v>0</v>
      </c>
      <c r="M33" s="8">
        <f>Tabla135[[#This Row],[ERL]]+Tabla135[[#This Row],[IRL]]</f>
        <v>0</v>
      </c>
      <c r="N33" s="8">
        <f t="shared" si="5"/>
        <v>1</v>
      </c>
      <c r="O33" s="8">
        <v>3</v>
      </c>
      <c r="P33" s="8">
        <f t="shared" si="6"/>
        <v>1</v>
      </c>
      <c r="Q33" s="8">
        <f>Tabla135[[#This Row],[LoCode]]/Tabla135[[#This Row],[NoFunctions]]</f>
        <v>12</v>
      </c>
      <c r="R33" s="8">
        <f t="shared" si="7"/>
        <v>0.7857142857142857</v>
      </c>
      <c r="S33" s="8">
        <v>0.25</v>
      </c>
      <c r="T33" s="8">
        <f t="shared" si="8"/>
        <v>0.62501874906254684</v>
      </c>
      <c r="U33" s="8">
        <f t="shared" si="9"/>
        <v>0.85268325869420813</v>
      </c>
      <c r="V33" s="8" t="str">
        <f t="shared" si="10"/>
        <v>Group 2</v>
      </c>
      <c r="W33" s="8">
        <f t="shared" si="0"/>
        <v>0.97598773663717175</v>
      </c>
      <c r="X33" s="8">
        <f t="shared" si="1"/>
        <v>68</v>
      </c>
      <c r="Y33" s="8">
        <f t="shared" si="2"/>
        <v>0.91168814595982117</v>
      </c>
      <c r="Z33" s="8">
        <f t="shared" si="3"/>
        <v>0.98328440174492748</v>
      </c>
      <c r="AA33" s="8">
        <f>2</f>
        <v>2</v>
      </c>
      <c r="AB33" s="8">
        <f t="shared" si="4"/>
        <v>0.78405480677868977</v>
      </c>
      <c r="AC33" s="8" t="str">
        <f t="shared" si="11"/>
        <v>Group 2</v>
      </c>
      <c r="AD33" s="8" cm="1">
        <f t="array" ref="AD33">SUM(Tabla135[[#This Row],[CC]:[IDC]] - Tabla135[[#This Row],[IRC]])</f>
        <v>17.035714285714285</v>
      </c>
      <c r="AE33" t="str">
        <f>IF(Tabla135[[#This Row],[Valor general]]&lt; $H$51, "Alto", IF(Tabla135[[#This Row],[Valor general]]&lt; $H$53, "Medio", "Bajo"))</f>
        <v>Medio</v>
      </c>
      <c r="AF33" s="8">
        <f>1-((Tabla135[[#This Row],[TPFM]]-$Q$52) / ($Q$51-$Q$52))</f>
        <v>0.6875</v>
      </c>
      <c r="AG33" s="8">
        <v>2.4389999999999998E-2</v>
      </c>
      <c r="AH33" s="8">
        <v>0</v>
      </c>
      <c r="AI33" s="8">
        <f>SUM(Tabla135[[#This Row],[ITPFM]:[Comentarios2]])/3</f>
        <v>0.23729666666666668</v>
      </c>
      <c r="AJ33" s="8">
        <f>Tabla135[[#This Row],[CC]]/$AI$49</f>
        <v>0.3</v>
      </c>
      <c r="AK33" s="8">
        <f>(Tabla135[[#This Row],[ICLC]]+(1-Tabla135[[#This Row],[ICC]]))/2</f>
        <v>0.46864833333333333</v>
      </c>
      <c r="AL33" t="str">
        <f>IF(Tabla135[[#This Row],[Valor general2]]&lt; $AJ$51, "Bajo", IF(Tabla135[[#This Row],[Valor general2]]&lt; $AJ$53, "Medio", "Alto"))</f>
        <v>Medio</v>
      </c>
      <c r="AM33" s="8">
        <v>1</v>
      </c>
      <c r="AN33" t="str">
        <f>IF(Tabla135[[#This Row],[INN]]&lt; $AL$51, "Bajo", IF(Tabla135[[#This Row],[INN]]&lt; $AL$53, "Medio", "Alto"))</f>
        <v>Alto</v>
      </c>
      <c r="AO33" s="8">
        <f>Tabla135[[#This Row],[Valor general]]-Tabla135[[#This Row],[Valor general2]]-Tabla135[[#This Row],[INN]]</f>
        <v>15.56706595238095</v>
      </c>
      <c r="AP33" t="str">
        <f>IF(Tabla135[[#This Row],[Valor general de PC]]&lt; $AN$51, "Alto", IF(Tabla135[[#This Row],[Valor general de PC]]&lt; $AN$53, "Medio", "Bajo"))</f>
        <v>Medio</v>
      </c>
    </row>
    <row r="34" spans="1:42" x14ac:dyDescent="0.25">
      <c r="A34" s="2">
        <v>2024178653</v>
      </c>
      <c r="B34" s="2"/>
      <c r="C34" s="2"/>
      <c r="D34" s="2"/>
      <c r="E34" t="s">
        <v>42</v>
      </c>
      <c r="H34">
        <v>8</v>
      </c>
      <c r="I34">
        <v>7</v>
      </c>
      <c r="J34">
        <v>1</v>
      </c>
      <c r="K34" s="8">
        <v>0</v>
      </c>
      <c r="L34" s="8">
        <v>0</v>
      </c>
      <c r="M34" s="8">
        <v>0</v>
      </c>
      <c r="N34" s="8">
        <f t="shared" si="5"/>
        <v>1</v>
      </c>
      <c r="O34" s="8">
        <v>3</v>
      </c>
      <c r="P34" s="8">
        <f t="shared" si="6"/>
        <v>1</v>
      </c>
      <c r="Q34" s="8">
        <f>Tabla135[[#This Row],[LoCode]]/Tabla135[[#This Row],[NoFunctions]]</f>
        <v>8</v>
      </c>
      <c r="R34" s="8">
        <f t="shared" si="7"/>
        <v>0.9285714285714286</v>
      </c>
      <c r="S34" s="8">
        <v>7.1400000000000005E-2</v>
      </c>
      <c r="T34" s="8">
        <f t="shared" si="8"/>
        <v>0.8929053547322634</v>
      </c>
      <c r="U34" s="8">
        <f t="shared" si="9"/>
        <v>0.95536919582592306</v>
      </c>
      <c r="V34" s="8" t="str">
        <f t="shared" si="10"/>
        <v>Group 1</v>
      </c>
      <c r="W34" s="8">
        <f t="shared" si="0"/>
        <v>0.99447072906189193</v>
      </c>
      <c r="X34" s="8">
        <f t="shared" si="1"/>
        <v>68</v>
      </c>
      <c r="Y34" s="8">
        <f t="shared" si="2"/>
        <v>0.97056949876209742</v>
      </c>
      <c r="Z34" s="8">
        <f t="shared" si="3"/>
        <v>0.99882379102820029</v>
      </c>
      <c r="AA34" s="8">
        <f>2</f>
        <v>2</v>
      </c>
      <c r="AB34" s="8">
        <f t="shared" si="4"/>
        <v>0.93563521175877906</v>
      </c>
      <c r="AC34" s="8" t="str">
        <f t="shared" si="11"/>
        <v>Group 1</v>
      </c>
      <c r="AD34" s="8" cm="1">
        <f t="array" ref="AD34">SUM(Tabla135[[#This Row],[CC]:[IDC]] - Tabla135[[#This Row],[IRC]])</f>
        <v>12.999971428571429</v>
      </c>
      <c r="AE34" t="str">
        <f>IF(Tabla135[[#This Row],[Valor general]]&lt; $H$51, "Alto", IF(Tabla135[[#This Row],[Valor general]]&lt; $H$53, "Medio", "Bajo"))</f>
        <v>Medio</v>
      </c>
      <c r="AF34" s="8">
        <f>1-((Tabla135[[#This Row],[TPFM]]-$Q$52) / ($Q$51-$Q$52))</f>
        <v>0.8125</v>
      </c>
      <c r="AG34" s="8">
        <v>0.02</v>
      </c>
      <c r="AH34" s="8">
        <v>7.0000000000000007E-2</v>
      </c>
      <c r="AI34" s="8">
        <f>SUM(Tabla135[[#This Row],[ITPFM]:[Comentarios2]])/3</f>
        <v>0.30083333333333334</v>
      </c>
      <c r="AJ34" s="8">
        <f>Tabla135[[#This Row],[CC]]/$AI$49</f>
        <v>0.3</v>
      </c>
      <c r="AK34" s="8">
        <f>(Tabla135[[#This Row],[ICLC]]+(1-Tabla135[[#This Row],[ICC]]))/2</f>
        <v>0.50041666666666662</v>
      </c>
      <c r="AL34" t="str">
        <f>IF(Tabla135[[#This Row],[Valor general2]]&lt; $AJ$51, "Bajo", IF(Tabla135[[#This Row],[Valor general2]]&lt; $AJ$53, "Medio", "Alto"))</f>
        <v>Medio</v>
      </c>
      <c r="AM34" s="8">
        <v>1</v>
      </c>
      <c r="AN34" t="str">
        <f>IF(Tabla135[[#This Row],[INN]]&lt; $AL$51, "Bajo", IF(Tabla135[[#This Row],[INN]]&lt; $AL$53, "Medio", "Alto"))</f>
        <v>Alto</v>
      </c>
      <c r="AO34" s="8">
        <f>Tabla135[[#This Row],[Valor general]]-Tabla135[[#This Row],[Valor general2]]-Tabla135[[#This Row],[INN]]</f>
        <v>11.499554761904763</v>
      </c>
      <c r="AP34" t="str">
        <f>IF(Tabla135[[#This Row],[Valor general de PC]]&lt; $AN$51, "Alto", IF(Tabla135[[#This Row],[Valor general de PC]]&lt; $AN$53, "Medio", "Bajo"))</f>
        <v>Medio</v>
      </c>
    </row>
    <row r="35" spans="1:42" x14ac:dyDescent="0.25">
      <c r="A35" s="2">
        <v>2024192981</v>
      </c>
      <c r="B35" s="2"/>
      <c r="C35" s="2"/>
      <c r="D35" s="2"/>
      <c r="E35" t="s">
        <v>42</v>
      </c>
      <c r="H35">
        <v>12</v>
      </c>
      <c r="I35">
        <v>0</v>
      </c>
      <c r="J35">
        <v>2</v>
      </c>
      <c r="K35" s="8">
        <v>0</v>
      </c>
      <c r="L35" s="8">
        <v>0</v>
      </c>
      <c r="M35" s="8">
        <f>Tabla135[[#This Row],[ERL]]+Tabla135[[#This Row],[IRL]]</f>
        <v>0</v>
      </c>
      <c r="N35" s="8">
        <f t="shared" si="5"/>
        <v>1</v>
      </c>
      <c r="O35" s="8">
        <v>6</v>
      </c>
      <c r="P35" s="8">
        <f t="shared" si="6"/>
        <v>0.7</v>
      </c>
      <c r="Q35" s="8">
        <f>Tabla135[[#This Row],[LoCode]]/Tabla135[[#This Row],[NoFunctions]]</f>
        <v>6</v>
      </c>
      <c r="R35" s="8">
        <f t="shared" si="7"/>
        <v>1</v>
      </c>
      <c r="S35" s="8">
        <v>0.5</v>
      </c>
      <c r="T35" s="8">
        <f t="shared" si="8"/>
        <v>0.25003749812509368</v>
      </c>
      <c r="U35" s="8">
        <f t="shared" si="9"/>
        <v>0.73750937453127352</v>
      </c>
      <c r="V35" s="8" t="str">
        <f t="shared" si="10"/>
        <v>Group 2</v>
      </c>
      <c r="W35" s="8">
        <f t="shared" si="0"/>
        <v>0.94704055517638142</v>
      </c>
      <c r="X35" s="8">
        <f t="shared" si="1"/>
        <v>68</v>
      </c>
      <c r="Y35" s="8">
        <f t="shared" si="2"/>
        <v>0.95527380492427783</v>
      </c>
      <c r="Z35" s="8">
        <f t="shared" si="3"/>
        <v>0.92323672164893633</v>
      </c>
      <c r="AA35" s="8">
        <f>2</f>
        <v>2</v>
      </c>
      <c r="AB35" s="8">
        <f t="shared" si="4"/>
        <v>0.59613004747243548</v>
      </c>
      <c r="AC35" s="8" t="str">
        <f t="shared" si="11"/>
        <v>Group 3</v>
      </c>
      <c r="AD35" s="8" cm="1">
        <f t="array" ref="AD35">SUM(Tabla135[[#This Row],[CC]:[IDC]] - Tabla135[[#This Row],[IRC]])</f>
        <v>14.2</v>
      </c>
      <c r="AE35" t="str">
        <f>IF(Tabla135[[#This Row],[Valor general]]&lt; $H$51, "Alto", IF(Tabla135[[#This Row],[Valor general]]&lt; $H$53, "Medio", "Bajo"))</f>
        <v>Medio</v>
      </c>
      <c r="AF35" s="8">
        <f>1-((Tabla135[[#This Row],[TPFM]]-$Q$52) / ($Q$51-$Q$52))</f>
        <v>0.875</v>
      </c>
      <c r="AG35" s="8">
        <v>0.06</v>
      </c>
      <c r="AH35" s="8">
        <v>0.1</v>
      </c>
      <c r="AI35" s="8">
        <f>SUM(Tabla135[[#This Row],[ITPFM]:[Comentarios2]])/3</f>
        <v>0.34500000000000003</v>
      </c>
      <c r="AJ35" s="8">
        <f>Tabla135[[#This Row],[CC]]/$AI$49</f>
        <v>0.6</v>
      </c>
      <c r="AK35" s="8">
        <f>(Tabla135[[#This Row],[ICLC]]+(1-Tabla135[[#This Row],[ICC]]))/2</f>
        <v>0.37250000000000005</v>
      </c>
      <c r="AL35" t="str">
        <f>IF(Tabla135[[#This Row],[Valor general2]]&lt; $AJ$51, "Bajo", IF(Tabla135[[#This Row],[Valor general2]]&lt; $AJ$53, "Medio", "Alto"))</f>
        <v>Medio</v>
      </c>
      <c r="AM35" s="8">
        <v>0.8</v>
      </c>
      <c r="AN35" t="str">
        <f>IF(Tabla135[[#This Row],[INN]]&lt; $AL$51, "Bajo", IF(Tabla135[[#This Row],[INN]]&lt; $AL$53, "Medio", "Alto"))</f>
        <v>Bajo</v>
      </c>
      <c r="AO35" s="8">
        <f>Tabla135[[#This Row],[Valor general]]-Tabla135[[#This Row],[Valor general2]]-Tabla135[[#This Row],[INN]]</f>
        <v>13.027499999999998</v>
      </c>
      <c r="AP35" t="str">
        <f>IF(Tabla135[[#This Row],[Valor general de PC]]&lt; $AN$51, "Alto", IF(Tabla135[[#This Row],[Valor general de PC]]&lt; $AN$53, "Medio", "Bajo"))</f>
        <v>Medio</v>
      </c>
    </row>
    <row r="36" spans="1:42" x14ac:dyDescent="0.25">
      <c r="A36" s="2">
        <v>2024201088</v>
      </c>
      <c r="B36" s="2"/>
      <c r="C36" s="2"/>
      <c r="D36" s="2"/>
      <c r="E36" t="s">
        <v>44</v>
      </c>
      <c r="G36" t="s">
        <v>51</v>
      </c>
      <c r="H36">
        <v>26</v>
      </c>
      <c r="I36">
        <v>0</v>
      </c>
      <c r="J36">
        <v>1</v>
      </c>
      <c r="K36" s="8">
        <v>0</v>
      </c>
      <c r="L36" s="8">
        <v>0</v>
      </c>
      <c r="M36" s="8">
        <f>Tabla135[[#This Row],[ERL]]+Tabla135[[#This Row],[IRL]]</f>
        <v>0</v>
      </c>
      <c r="N36" s="8">
        <f t="shared" si="5"/>
        <v>1</v>
      </c>
      <c r="O36" s="8">
        <v>10</v>
      </c>
      <c r="P36" s="8">
        <f t="shared" si="6"/>
        <v>0.30000000000000004</v>
      </c>
      <c r="Q36" s="8">
        <f>Tabla135[[#This Row],[LoCode]]/Tabla135[[#This Row],[NoFunctions]]</f>
        <v>26</v>
      </c>
      <c r="R36" s="8">
        <f t="shared" si="7"/>
        <v>0.2857142857142857</v>
      </c>
      <c r="S36" s="8">
        <v>0.34620000000000001</v>
      </c>
      <c r="T36" s="8">
        <f t="shared" si="8"/>
        <v>0.48072596370181486</v>
      </c>
      <c r="U36" s="8">
        <f t="shared" si="9"/>
        <v>0.51661006235402518</v>
      </c>
      <c r="V36" s="8" t="str">
        <f t="shared" si="10"/>
        <v>Group 3</v>
      </c>
      <c r="W36" s="8">
        <f t="shared" si="0"/>
        <v>0.99527315575824193</v>
      </c>
      <c r="X36" s="8">
        <f t="shared" si="1"/>
        <v>68</v>
      </c>
      <c r="Y36" s="8">
        <f t="shared" si="2"/>
        <v>0.68834635217533213</v>
      </c>
      <c r="Z36" s="8">
        <f t="shared" si="3"/>
        <v>0.87238019527059618</v>
      </c>
      <c r="AA36" s="8">
        <f>2</f>
        <v>2</v>
      </c>
      <c r="AB36" s="8">
        <f t="shared" si="4"/>
        <v>0.43656198069218344</v>
      </c>
      <c r="AC36" s="8" t="str">
        <f t="shared" si="11"/>
        <v>Group 3</v>
      </c>
      <c r="AD36" s="8" cm="1">
        <f t="array" ref="AD36">SUM(Tabla135[[#This Row],[CC]:[IDC]] - Tabla135[[#This Row],[IRC]])</f>
        <v>36.931914285714285</v>
      </c>
      <c r="AE36" t="str">
        <f>IF(Tabla135[[#This Row],[Valor general]]&lt; $H$51, "Alto", IF(Tabla135[[#This Row],[Valor general]]&lt; $H$53, "Medio", "Bajo"))</f>
        <v>Bajo</v>
      </c>
      <c r="AF36" s="8">
        <f>1-((Tabla135[[#This Row],[TPFM]]-$Q$52) / ($Q$51-$Q$52))</f>
        <v>0.25</v>
      </c>
      <c r="AG36" s="8">
        <v>2.4E-2</v>
      </c>
      <c r="AH36" s="8">
        <v>0</v>
      </c>
      <c r="AI36" s="8">
        <f>SUM(Tabla135[[#This Row],[ITPFM]:[Comentarios2]])/3</f>
        <v>9.1333333333333336E-2</v>
      </c>
      <c r="AJ36" s="8">
        <f>Tabla135[[#This Row],[CC]]/$AI$49</f>
        <v>1</v>
      </c>
      <c r="AK36" s="8">
        <f>(Tabla135[[#This Row],[ICLC]]+(1-Tabla135[[#This Row],[ICC]]))/2</f>
        <v>4.5666666666666668E-2</v>
      </c>
      <c r="AL36" t="str">
        <f>IF(Tabla135[[#This Row],[Valor general2]]&lt; $AJ$51, "Bajo", IF(Tabla135[[#This Row],[Valor general2]]&lt; $AJ$53, "Medio", "Alto"))</f>
        <v>Bajo</v>
      </c>
      <c r="AM36" s="8">
        <v>1</v>
      </c>
      <c r="AN36" t="str">
        <f>IF(Tabla135[[#This Row],[INN]]&lt; $AL$51, "Bajo", IF(Tabla135[[#This Row],[INN]]&lt; $AL$53, "Medio", "Alto"))</f>
        <v>Alto</v>
      </c>
      <c r="AO36" s="8">
        <f>Tabla135[[#This Row],[Valor general]]-Tabla135[[#This Row],[Valor general2]]-Tabla135[[#This Row],[INN]]</f>
        <v>35.886247619047616</v>
      </c>
      <c r="AP36" t="str">
        <f>IF(Tabla135[[#This Row],[Valor general de PC]]&lt; $AN$51, "Alto", IF(Tabla135[[#This Row],[Valor general de PC]]&lt; $AN$53, "Medio", "Bajo"))</f>
        <v>Bajo</v>
      </c>
    </row>
    <row r="37" spans="1:42" x14ac:dyDescent="0.25">
      <c r="A37" s="2">
        <v>2024202804</v>
      </c>
      <c r="B37" s="2"/>
      <c r="C37" s="2"/>
      <c r="D37" s="2"/>
      <c r="E37" t="s">
        <v>44</v>
      </c>
      <c r="G37" t="s">
        <v>45</v>
      </c>
      <c r="H37">
        <v>7</v>
      </c>
      <c r="I37">
        <v>0</v>
      </c>
      <c r="J37">
        <v>1</v>
      </c>
      <c r="K37" s="8">
        <v>0</v>
      </c>
      <c r="L37" s="8">
        <v>0</v>
      </c>
      <c r="M37" s="8">
        <f>Tabla135[[#This Row],[ERL]]+Tabla135[[#This Row],[IRL]]</f>
        <v>0</v>
      </c>
      <c r="N37" s="8">
        <f t="shared" si="5"/>
        <v>1</v>
      </c>
      <c r="O37" s="8">
        <v>4</v>
      </c>
      <c r="P37" s="8">
        <f t="shared" si="6"/>
        <v>0.9</v>
      </c>
      <c r="Q37" s="8">
        <f>Tabla135[[#This Row],[LoCode]]/Tabla135[[#This Row],[NoFunctions]]</f>
        <v>7</v>
      </c>
      <c r="R37" s="8">
        <f t="shared" si="7"/>
        <v>0.9642857142857143</v>
      </c>
      <c r="S37" s="8">
        <v>0</v>
      </c>
      <c r="T37" s="8">
        <f t="shared" si="8"/>
        <v>1</v>
      </c>
      <c r="U37" s="8">
        <f t="shared" si="9"/>
        <v>0.96607142857142858</v>
      </c>
      <c r="V37" s="8" t="str">
        <f t="shared" si="10"/>
        <v>Group 1</v>
      </c>
      <c r="W37" s="8">
        <f t="shared" si="0"/>
        <v>0.99846035320541249</v>
      </c>
      <c r="X37" s="8">
        <f t="shared" si="1"/>
        <v>68</v>
      </c>
      <c r="Y37" s="8">
        <f t="shared" si="2"/>
        <v>0.97920274172980748</v>
      </c>
      <c r="Z37" s="8">
        <f t="shared" si="3"/>
        <v>0.99910773142185072</v>
      </c>
      <c r="AA37" s="8">
        <f>2</f>
        <v>2</v>
      </c>
      <c r="AB37" s="8">
        <f t="shared" si="4"/>
        <v>0.9469068973310053</v>
      </c>
      <c r="AC37" s="8" t="str">
        <f t="shared" si="11"/>
        <v>Group 1</v>
      </c>
      <c r="AD37" s="8" cm="1">
        <f t="array" ref="AD37">SUM(Tabla135[[#This Row],[CC]:[IDC]] - Tabla135[[#This Row],[IRC]])</f>
        <v>12.864285714285714</v>
      </c>
      <c r="AE37" t="str">
        <f>IF(Tabla135[[#This Row],[Valor general]]&lt; $H$51, "Alto", IF(Tabla135[[#This Row],[Valor general]]&lt; $H$53, "Medio", "Bajo"))</f>
        <v>Medio</v>
      </c>
      <c r="AF37" s="8">
        <f>1-((Tabla135[[#This Row],[TPFM]]-$Q$52) / ($Q$51-$Q$52))</f>
        <v>0.84375</v>
      </c>
      <c r="AG37" s="8">
        <v>0.04</v>
      </c>
      <c r="AH37" s="8">
        <v>0</v>
      </c>
      <c r="AI37" s="8">
        <f>SUM(Tabla135[[#This Row],[ITPFM]:[Comentarios2]])/3</f>
        <v>0.29458333333333336</v>
      </c>
      <c r="AJ37" s="8">
        <f>Tabla135[[#This Row],[CC]]/$AI$49</f>
        <v>0.4</v>
      </c>
      <c r="AK37" s="8">
        <f>(Tabla135[[#This Row],[ICLC]]+(1-Tabla135[[#This Row],[ICC]]))/2</f>
        <v>0.44729166666666664</v>
      </c>
      <c r="AL37" t="str">
        <f>IF(Tabla135[[#This Row],[Valor general2]]&lt; $AJ$51, "Bajo", IF(Tabla135[[#This Row],[Valor general2]]&lt; $AJ$53, "Medio", "Alto"))</f>
        <v>Medio</v>
      </c>
      <c r="AM37" s="8">
        <v>1</v>
      </c>
      <c r="AN37" t="str">
        <f>IF(Tabla135[[#This Row],[INN]]&lt; $AL$51, "Bajo", IF(Tabla135[[#This Row],[INN]]&lt; $AL$53, "Medio", "Alto"))</f>
        <v>Alto</v>
      </c>
      <c r="AO37" s="8">
        <f>Tabla135[[#This Row],[Valor general]]-Tabla135[[#This Row],[Valor general2]]-Tabla135[[#This Row],[INN]]</f>
        <v>11.416994047619047</v>
      </c>
      <c r="AP37" t="str">
        <f>IF(Tabla135[[#This Row],[Valor general de PC]]&lt; $AN$51, "Alto", IF(Tabla135[[#This Row],[Valor general de PC]]&lt; $AN$53, "Medio", "Bajo"))</f>
        <v>Medio</v>
      </c>
    </row>
    <row r="38" spans="1:42" x14ac:dyDescent="0.25">
      <c r="A38" s="2">
        <v>2024252331</v>
      </c>
      <c r="B38" s="2"/>
      <c r="C38" s="2"/>
      <c r="D38" s="2"/>
      <c r="E38" t="s">
        <v>42</v>
      </c>
      <c r="G38" s="3" t="s">
        <v>48</v>
      </c>
      <c r="H38">
        <v>34</v>
      </c>
      <c r="I38">
        <v>7</v>
      </c>
      <c r="J38">
        <v>1</v>
      </c>
      <c r="K38" s="8">
        <v>0</v>
      </c>
      <c r="L38" s="8">
        <f>2/Tabla135[[#This Row],[LoCode]]</f>
        <v>5.8823529411764705E-2</v>
      </c>
      <c r="M38" s="8">
        <f>Tabla135[[#This Row],[ERL]]+Tabla135[[#This Row],[IRL]]</f>
        <v>5.8823529411764705E-2</v>
      </c>
      <c r="N38" s="8">
        <f t="shared" si="5"/>
        <v>0.76470588235294112</v>
      </c>
      <c r="O38" s="8">
        <v>5</v>
      </c>
      <c r="P38" s="8">
        <f t="shared" si="6"/>
        <v>0.8</v>
      </c>
      <c r="Q38" s="8">
        <f>Tabla135[[#This Row],[LoCode]]/Tabla135[[#This Row],[NoFunctions]]</f>
        <v>34</v>
      </c>
      <c r="R38" s="8">
        <f t="shared" si="7"/>
        <v>0</v>
      </c>
      <c r="S38" s="8">
        <v>0.23530000000000001</v>
      </c>
      <c r="T38" s="8">
        <f t="shared" si="8"/>
        <v>0.64706764661766902</v>
      </c>
      <c r="U38" s="8">
        <f t="shared" si="9"/>
        <v>0.5529433822426526</v>
      </c>
      <c r="V38" s="8" t="str">
        <f t="shared" si="10"/>
        <v>Group 3</v>
      </c>
      <c r="W38" s="8">
        <f t="shared" si="0"/>
        <v>0.94995294438730427</v>
      </c>
      <c r="X38" s="8">
        <f t="shared" si="1"/>
        <v>68</v>
      </c>
      <c r="Y38" s="8">
        <f t="shared" si="2"/>
        <v>0.5871708018275954</v>
      </c>
      <c r="Z38" s="8">
        <f t="shared" si="3"/>
        <v>0.86263992633280628</v>
      </c>
      <c r="AA38" s="8">
        <f>2</f>
        <v>2</v>
      </c>
      <c r="AB38" s="8">
        <f t="shared" si="4"/>
        <v>0.44774902266648309</v>
      </c>
      <c r="AC38" s="8" t="str">
        <f t="shared" si="11"/>
        <v>Group 3</v>
      </c>
      <c r="AD38" s="8" cm="1">
        <f t="array" ref="AD38">SUM(Tabla135[[#This Row],[CC]:[IDC]] - Tabla135[[#This Row],[IRC]])</f>
        <v>39.741182352941166</v>
      </c>
      <c r="AE38" t="str">
        <f>IF(Tabla135[[#This Row],[Valor general]]&lt; $H$51, "Alto", IF(Tabla135[[#This Row],[Valor general]]&lt; $H$53, "Medio", "Bajo"))</f>
        <v>Bajo</v>
      </c>
      <c r="AF38" s="8">
        <f>1-((Tabla135[[#This Row],[TPFM]]-$Q$52) / ($Q$51-$Q$52))</f>
        <v>0</v>
      </c>
      <c r="AG38" s="8">
        <v>0.06</v>
      </c>
      <c r="AH38" s="8">
        <v>0.06</v>
      </c>
      <c r="AI38" s="8">
        <f>SUM(Tabla135[[#This Row],[ITPFM]:[Comentarios2]])/3</f>
        <v>0.04</v>
      </c>
      <c r="AJ38" s="8">
        <f>Tabla135[[#This Row],[CC]]/$AI$49</f>
        <v>0.5</v>
      </c>
      <c r="AK38" s="8">
        <f>(Tabla135[[#This Row],[ICLC]]+(1-Tabla135[[#This Row],[ICC]]))/2</f>
        <v>0.27</v>
      </c>
      <c r="AL38" t="str">
        <f>IF(Tabla135[[#This Row],[Valor general2]]&lt; $AJ$51, "Bajo", IF(Tabla135[[#This Row],[Valor general2]]&lt; $AJ$53, "Medio", "Alto"))</f>
        <v>Medio</v>
      </c>
      <c r="AM38" s="8">
        <v>1</v>
      </c>
      <c r="AN38" t="str">
        <f>IF(Tabla135[[#This Row],[INN]]&lt; $AL$51, "Bajo", IF(Tabla135[[#This Row],[INN]]&lt; $AL$53, "Medio", "Alto"))</f>
        <v>Alto</v>
      </c>
      <c r="AO38" s="8">
        <f>Tabla135[[#This Row],[Valor general]]-Tabla135[[#This Row],[Valor general2]]-Tabla135[[#This Row],[INN]]</f>
        <v>38.471182352941163</v>
      </c>
      <c r="AP38" t="str">
        <f>IF(Tabla135[[#This Row],[Valor general de PC]]&lt; $AN$51, "Alto", IF(Tabla135[[#This Row],[Valor general de PC]]&lt; $AN$53, "Medio", "Bajo"))</f>
        <v>Bajo</v>
      </c>
    </row>
    <row r="39" spans="1:42" x14ac:dyDescent="0.25">
      <c r="A39" s="2">
        <v>2024253395</v>
      </c>
      <c r="B39" s="2"/>
      <c r="C39" s="2"/>
      <c r="D39" s="2"/>
      <c r="E39" t="s">
        <v>42</v>
      </c>
      <c r="G39" t="s">
        <v>54</v>
      </c>
      <c r="H39">
        <v>12</v>
      </c>
      <c r="I39">
        <v>1</v>
      </c>
      <c r="J39">
        <v>1</v>
      </c>
      <c r="K39" s="8">
        <v>0</v>
      </c>
      <c r="L39" s="8">
        <f>3/Tabla135[[#This Row],[LoCode]]</f>
        <v>0.25</v>
      </c>
      <c r="M39" s="8">
        <f>Tabla135[[#This Row],[ERL]]+Tabla135[[#This Row],[IRL]]</f>
        <v>0.25</v>
      </c>
      <c r="N39" s="8">
        <f t="shared" si="5"/>
        <v>0</v>
      </c>
      <c r="O39" s="8">
        <v>3</v>
      </c>
      <c r="P39" s="8">
        <f t="shared" si="6"/>
        <v>1</v>
      </c>
      <c r="Q39" s="8">
        <f>Tabla135[[#This Row],[LoCode]]/Tabla135[[#This Row],[NoFunctions]]</f>
        <v>12</v>
      </c>
      <c r="R39" s="8">
        <f t="shared" si="7"/>
        <v>0.7857142857142857</v>
      </c>
      <c r="S39" s="8">
        <v>0.33300000000000002</v>
      </c>
      <c r="T39" s="8">
        <f t="shared" si="8"/>
        <v>0.50052497375131244</v>
      </c>
      <c r="U39" s="8">
        <f t="shared" si="9"/>
        <v>0.57155981486639951</v>
      </c>
      <c r="V39" s="8" t="str">
        <f t="shared" si="10"/>
        <v>Group 3</v>
      </c>
      <c r="W39" s="8">
        <f t="shared" si="0"/>
        <v>0.97563439230176985</v>
      </c>
      <c r="X39" s="8">
        <f t="shared" si="1"/>
        <v>68</v>
      </c>
      <c r="Y39" s="8">
        <f t="shared" si="2"/>
        <v>0.91155247460140587</v>
      </c>
      <c r="Z39" s="8">
        <f t="shared" si="3"/>
        <v>0.83640785872711831</v>
      </c>
      <c r="AA39" s="8">
        <f>2</f>
        <v>2</v>
      </c>
      <c r="AB39" s="8">
        <f t="shared" si="4"/>
        <v>0.43092318857796841</v>
      </c>
      <c r="AC39" s="8" t="str">
        <f t="shared" si="11"/>
        <v>Group 3</v>
      </c>
      <c r="AD39" s="8" cm="1">
        <f t="array" ref="AD39">SUM(Tabla135[[#This Row],[CC]:[IDC]] - Tabla135[[#This Row],[IRC]])</f>
        <v>15.868714285714287</v>
      </c>
      <c r="AE39" t="str">
        <f>IF(Tabla135[[#This Row],[Valor general]]&lt; $H$51, "Alto", IF(Tabla135[[#This Row],[Valor general]]&lt; $H$53, "Medio", "Bajo"))</f>
        <v>Medio</v>
      </c>
      <c r="AF39" s="8">
        <f>1-((Tabla135[[#This Row],[TPFM]]-$Q$52) / ($Q$51-$Q$52))</f>
        <v>0.6875</v>
      </c>
      <c r="AG39" s="8">
        <v>0.02</v>
      </c>
      <c r="AH39" s="8">
        <v>0</v>
      </c>
      <c r="AI39" s="8">
        <f>SUM(Tabla135[[#This Row],[ITPFM]:[Comentarios2]])/3</f>
        <v>0.23583333333333334</v>
      </c>
      <c r="AJ39" s="8">
        <f>Tabla135[[#This Row],[CC]]/$AI$49</f>
        <v>0.3</v>
      </c>
      <c r="AK39" s="8">
        <f>(Tabla135[[#This Row],[ICLC]]+(1-Tabla135[[#This Row],[ICC]]))/2</f>
        <v>0.46791666666666665</v>
      </c>
      <c r="AL39" t="str">
        <f>IF(Tabla135[[#This Row],[Valor general2]]&lt; $AJ$51, "Bajo", IF(Tabla135[[#This Row],[Valor general2]]&lt; $AJ$53, "Medio", "Alto"))</f>
        <v>Medio</v>
      </c>
      <c r="AM39" s="8">
        <v>1</v>
      </c>
      <c r="AN39" t="str">
        <f>IF(Tabla135[[#This Row],[INN]]&lt; $AL$51, "Bajo", IF(Tabla135[[#This Row],[INN]]&lt; $AL$53, "Medio", "Alto"))</f>
        <v>Alto</v>
      </c>
      <c r="AO39" s="8">
        <f>Tabla135[[#This Row],[Valor general]]-Tabla135[[#This Row],[Valor general2]]-Tabla135[[#This Row],[INN]]</f>
        <v>14.400797619047619</v>
      </c>
      <c r="AP39" t="str">
        <f>IF(Tabla135[[#This Row],[Valor general de PC]]&lt; $AN$51, "Alto", IF(Tabla135[[#This Row],[Valor general de PC]]&lt; $AN$53, "Medio", "Bajo"))</f>
        <v>Medio</v>
      </c>
    </row>
    <row r="40" spans="1:42" x14ac:dyDescent="0.25">
      <c r="A40" s="2">
        <v>2024253434</v>
      </c>
      <c r="B40" s="2"/>
      <c r="C40" s="2"/>
      <c r="D40" s="2"/>
      <c r="E40" t="s">
        <v>42</v>
      </c>
      <c r="G40" t="s">
        <v>43</v>
      </c>
      <c r="H40">
        <v>20</v>
      </c>
      <c r="I40">
        <v>7</v>
      </c>
      <c r="J40">
        <v>1</v>
      </c>
      <c r="K40" s="8">
        <v>0</v>
      </c>
      <c r="L40" s="8">
        <f>3/Tabla135[[#This Row],[LoCode]]</f>
        <v>0.15</v>
      </c>
      <c r="M40" s="8">
        <f>Tabla135[[#This Row],[ERL]]+Tabla135[[#This Row],[IRL]]</f>
        <v>0.15</v>
      </c>
      <c r="N40" s="8">
        <f t="shared" si="5"/>
        <v>0.4</v>
      </c>
      <c r="O40" s="8">
        <v>3</v>
      </c>
      <c r="P40" s="8">
        <f t="shared" si="6"/>
        <v>1</v>
      </c>
      <c r="Q40" s="8">
        <f>Tabla135[[#This Row],[LoCode]]/Tabla135[[#This Row],[NoFunctions]]</f>
        <v>20</v>
      </c>
      <c r="R40" s="8">
        <f t="shared" si="7"/>
        <v>0.5</v>
      </c>
      <c r="S40" s="8">
        <v>0.4</v>
      </c>
      <c r="T40" s="8">
        <f t="shared" si="8"/>
        <v>0.40002999850007492</v>
      </c>
      <c r="U40" s="8">
        <f t="shared" si="9"/>
        <v>0.57500749962501874</v>
      </c>
      <c r="V40" s="8" t="str">
        <f t="shared" si="10"/>
        <v>Group 3</v>
      </c>
      <c r="W40" s="8">
        <f t="shared" si="0"/>
        <v>0.95065935815746472</v>
      </c>
      <c r="X40" s="8">
        <f t="shared" si="1"/>
        <v>68</v>
      </c>
      <c r="Y40" s="8">
        <f t="shared" si="2"/>
        <v>0.79402181852032305</v>
      </c>
      <c r="Z40" s="8">
        <f t="shared" si="3"/>
        <v>0.91780487288791046</v>
      </c>
      <c r="AA40" s="8">
        <f>2</f>
        <v>2</v>
      </c>
      <c r="AB40" s="8">
        <f t="shared" si="4"/>
        <v>0.50756624742514345</v>
      </c>
      <c r="AC40" s="8" t="str">
        <f t="shared" si="11"/>
        <v>Group 3</v>
      </c>
      <c r="AD40" s="8" cm="1">
        <f t="array" ref="AD40">SUM(Tabla135[[#This Row],[CC]:[IDC]] - Tabla135[[#This Row],[IRC]])</f>
        <v>24.150000000000002</v>
      </c>
      <c r="AE40" t="str">
        <f>IF(Tabla135[[#This Row],[Valor general]]&lt; $H$51, "Alto", IF(Tabla135[[#This Row],[Valor general]]&lt; $H$53, "Medio", "Bajo"))</f>
        <v>Bajo</v>
      </c>
      <c r="AF40" s="8">
        <f>1-((Tabla135[[#This Row],[TPFM]]-$Q$52) / ($Q$51-$Q$52))</f>
        <v>0.4375</v>
      </c>
      <c r="AG40" s="8">
        <v>0.06</v>
      </c>
      <c r="AH40" s="8">
        <v>0.11</v>
      </c>
      <c r="AI40" s="8">
        <f>SUM(Tabla135[[#This Row],[ITPFM]:[Comentarios2]])/3</f>
        <v>0.20250000000000001</v>
      </c>
      <c r="AJ40" s="8">
        <f>Tabla135[[#This Row],[CC]]/$AI$49</f>
        <v>0.3</v>
      </c>
      <c r="AK40" s="8">
        <f>(Tabla135[[#This Row],[ICLC]]+(1-Tabla135[[#This Row],[ICC]]))/2</f>
        <v>0.45124999999999998</v>
      </c>
      <c r="AL40" t="str">
        <f>IF(Tabla135[[#This Row],[Valor general2]]&lt; $AJ$51, "Bajo", IF(Tabla135[[#This Row],[Valor general2]]&lt; $AJ$53, "Medio", "Alto"))</f>
        <v>Medio</v>
      </c>
      <c r="AM40" s="8">
        <v>0.83330000000000004</v>
      </c>
      <c r="AN40" t="str">
        <f>IF(Tabla135[[#This Row],[INN]]&lt; $AL$51, "Bajo", IF(Tabla135[[#This Row],[INN]]&lt; $AL$53, "Medio", "Alto"))</f>
        <v>Bajo</v>
      </c>
      <c r="AO40" s="8">
        <f>Tabla135[[#This Row],[Valor general]]-Tabla135[[#This Row],[Valor general2]]-Tabla135[[#This Row],[INN]]</f>
        <v>22.865449999999999</v>
      </c>
      <c r="AP40" t="str">
        <f>IF(Tabla135[[#This Row],[Valor general de PC]]&lt; $AN$51, "Alto", IF(Tabla135[[#This Row],[Valor general de PC]]&lt; $AN$53, "Medio", "Bajo"))</f>
        <v>Bajo</v>
      </c>
    </row>
    <row r="41" spans="1:42" x14ac:dyDescent="0.25">
      <c r="A41" s="2">
        <v>2024256175</v>
      </c>
      <c r="B41" s="2"/>
      <c r="C41" s="2"/>
      <c r="D41" s="2"/>
      <c r="E41" t="s">
        <v>44</v>
      </c>
      <c r="G41" t="s">
        <v>45</v>
      </c>
      <c r="H41">
        <v>12</v>
      </c>
      <c r="I41">
        <v>2</v>
      </c>
      <c r="J41">
        <v>3</v>
      </c>
      <c r="K41" s="8">
        <v>0</v>
      </c>
      <c r="L41" s="8">
        <v>0</v>
      </c>
      <c r="M41" s="8">
        <f>Tabla135[[#This Row],[ERL]]+Tabla135[[#This Row],[IRL]]</f>
        <v>0</v>
      </c>
      <c r="N41" s="8">
        <f t="shared" si="5"/>
        <v>1</v>
      </c>
      <c r="O41" s="8">
        <v>9</v>
      </c>
      <c r="P41" s="8">
        <f t="shared" si="6"/>
        <v>0.4</v>
      </c>
      <c r="Q41" s="8">
        <f>Tabla135[[#This Row],[LoCode]]/Tabla135[[#This Row],[NoFunctions]]</f>
        <v>4</v>
      </c>
      <c r="R41" s="8">
        <f t="shared" si="7"/>
        <v>0.9285714285714286</v>
      </c>
      <c r="S41" s="8">
        <v>0.66669999999999996</v>
      </c>
      <c r="T41" s="8">
        <f t="shared" si="8"/>
        <v>0</v>
      </c>
      <c r="U41" s="8">
        <f t="shared" si="9"/>
        <v>0.58214285714285707</v>
      </c>
      <c r="V41" s="8" t="str">
        <f t="shared" si="10"/>
        <v>Group 3</v>
      </c>
      <c r="W41" s="8">
        <f t="shared" si="0"/>
        <v>0.77016765987831426</v>
      </c>
      <c r="X41" s="8">
        <f t="shared" si="1"/>
        <v>68</v>
      </c>
      <c r="Y41" s="8">
        <f t="shared" si="2"/>
        <v>0.90647649749290948</v>
      </c>
      <c r="Z41" s="8">
        <f t="shared" si="3"/>
        <v>0.81873375227218892</v>
      </c>
      <c r="AA41" s="8">
        <f>2</f>
        <v>2</v>
      </c>
      <c r="AB41" s="8">
        <f t="shared" si="4"/>
        <v>0.41581209341164749</v>
      </c>
      <c r="AC41" s="8" t="str">
        <f t="shared" si="11"/>
        <v>Group 3</v>
      </c>
      <c r="AD41" s="8" cm="1">
        <f t="array" ref="AD41">SUM(Tabla135[[#This Row],[CC]:[IDC]] - Tabla135[[#This Row],[IRC]])</f>
        <v>14.99527142857143</v>
      </c>
      <c r="AE41" t="str">
        <f>IF(Tabla135[[#This Row],[Valor general]]&lt; $H$51, "Alto", IF(Tabla135[[#This Row],[Valor general]]&lt; $H$53, "Medio", "Bajo"))</f>
        <v>Medio</v>
      </c>
      <c r="AF41" s="8">
        <f>1-((Tabla135[[#This Row],[TPFM]]-$Q$52) / ($Q$51-$Q$52))</f>
        <v>0.9375</v>
      </c>
      <c r="AG41" s="8">
        <v>0.09</v>
      </c>
      <c r="AH41" s="8">
        <v>7.0000000000000007E-2</v>
      </c>
      <c r="AI41" s="8">
        <f>SUM(Tabla135[[#This Row],[ITPFM]:[Comentarios2]])/3</f>
        <v>0.3658333333333334</v>
      </c>
      <c r="AJ41" s="8">
        <f>Tabla135[[#This Row],[CC]]/$AI$49</f>
        <v>0.9</v>
      </c>
      <c r="AK41" s="8">
        <f>(Tabla135[[#This Row],[ICLC]]+(1-Tabla135[[#This Row],[ICC]]))/2</f>
        <v>0.23291666666666669</v>
      </c>
      <c r="AL41" t="str">
        <f>IF(Tabla135[[#This Row],[Valor general2]]&lt; $AJ$51, "Bajo", IF(Tabla135[[#This Row],[Valor general2]]&lt; $AJ$53, "Medio", "Alto"))</f>
        <v>Bajo</v>
      </c>
      <c r="AM41" s="8">
        <v>1</v>
      </c>
      <c r="AN41" t="str">
        <f>IF(Tabla135[[#This Row],[INN]]&lt; $AL$51, "Bajo", IF(Tabla135[[#This Row],[INN]]&lt; $AL$53, "Medio", "Alto"))</f>
        <v>Alto</v>
      </c>
      <c r="AO41" s="8">
        <f>Tabla135[[#This Row],[Valor general]]-Tabla135[[#This Row],[Valor general2]]-Tabla135[[#This Row],[INN]]</f>
        <v>13.762354761904763</v>
      </c>
      <c r="AP41" t="str">
        <f>IF(Tabla135[[#This Row],[Valor general de PC]]&lt; $AN$51, "Alto", IF(Tabla135[[#This Row],[Valor general de PC]]&lt; $AN$53, "Medio", "Bajo"))</f>
        <v>Medio</v>
      </c>
    </row>
    <row r="42" spans="1:42" x14ac:dyDescent="0.25">
      <c r="A42" s="2">
        <v>2024256710</v>
      </c>
      <c r="B42" s="2"/>
      <c r="C42" s="2"/>
      <c r="D42" s="2"/>
      <c r="E42" t="s">
        <v>42</v>
      </c>
      <c r="H42">
        <v>26</v>
      </c>
      <c r="I42">
        <v>0</v>
      </c>
      <c r="J42">
        <v>3</v>
      </c>
      <c r="K42" s="8">
        <v>0</v>
      </c>
      <c r="L42" s="8">
        <v>0</v>
      </c>
      <c r="M42" s="8">
        <f>Tabla135[[#This Row],[ERL]]+Tabla135[[#This Row],[IRL]]</f>
        <v>0</v>
      </c>
      <c r="N42" s="8">
        <f t="shared" si="5"/>
        <v>1</v>
      </c>
      <c r="O42" s="8">
        <v>8</v>
      </c>
      <c r="P42" s="8">
        <f t="shared" si="6"/>
        <v>0.5</v>
      </c>
      <c r="Q42" s="8">
        <f>Tabla135[[#This Row],[LoCode]]/Tabla135[[#This Row],[NoFunctions]]</f>
        <v>8.6666666666666661</v>
      </c>
      <c r="R42" s="8">
        <f t="shared" si="7"/>
        <v>0.90476190476190477</v>
      </c>
      <c r="S42" s="8">
        <v>0.3846</v>
      </c>
      <c r="T42" s="8">
        <f t="shared" si="8"/>
        <v>0.4231288435578221</v>
      </c>
      <c r="U42" s="8">
        <f t="shared" si="9"/>
        <v>0.70697268707993166</v>
      </c>
      <c r="V42" s="8" t="str">
        <f t="shared" si="10"/>
        <v>Group 3</v>
      </c>
      <c r="W42" s="8">
        <f t="shared" si="0"/>
        <v>0.96005398623284999</v>
      </c>
      <c r="X42" s="8">
        <f t="shared" si="1"/>
        <v>68</v>
      </c>
      <c r="Y42" s="8">
        <f t="shared" si="2"/>
        <v>0.91647495315993677</v>
      </c>
      <c r="Z42" s="8">
        <f t="shared" si="3"/>
        <v>0.94312664859015571</v>
      </c>
      <c r="AA42" s="8">
        <f>2</f>
        <v>2</v>
      </c>
      <c r="AB42" s="8">
        <f t="shared" si="4"/>
        <v>0.61534085675772765</v>
      </c>
      <c r="AC42" s="8" t="str">
        <f t="shared" si="11"/>
        <v>Group 2</v>
      </c>
      <c r="AD42" s="8" cm="1">
        <f t="array" ref="AD42">SUM(Tabla135[[#This Row],[CC]:[IDC]] - Tabla135[[#This Row],[IRC]])</f>
        <v>18.456028571428568</v>
      </c>
      <c r="AE42" t="str">
        <f>IF(Tabla135[[#This Row],[Valor general]]&lt; $H$51, "Alto", IF(Tabla135[[#This Row],[Valor general]]&lt; $H$53, "Medio", "Bajo"))</f>
        <v>Medio</v>
      </c>
      <c r="AF42" s="8">
        <f>1-((Tabla135[[#This Row],[TPFM]]-$Q$52) / ($Q$51-$Q$52))</f>
        <v>0.79166666666666674</v>
      </c>
      <c r="AG42" s="8">
        <v>0.04</v>
      </c>
      <c r="AH42" s="8">
        <v>0</v>
      </c>
      <c r="AI42" s="8">
        <f>SUM(Tabla135[[#This Row],[ITPFM]:[Comentarios2]])/3</f>
        <v>0.27722222222222226</v>
      </c>
      <c r="AJ42" s="8">
        <f>Tabla135[[#This Row],[CC]]/$AI$49</f>
        <v>0.8</v>
      </c>
      <c r="AK42" s="8">
        <f>(Tabla135[[#This Row],[ICLC]]+(1-Tabla135[[#This Row],[ICC]]))/2</f>
        <v>0.23861111111111111</v>
      </c>
      <c r="AL42" t="str">
        <f>IF(Tabla135[[#This Row],[Valor general2]]&lt; $AJ$51, "Bajo", IF(Tabla135[[#This Row],[Valor general2]]&lt; $AJ$53, "Medio", "Alto"))</f>
        <v>Medio</v>
      </c>
      <c r="AM42" s="8">
        <v>0.75</v>
      </c>
      <c r="AN42" t="str">
        <f>IF(Tabla135[[#This Row],[INN]]&lt; $AL$51, "Bajo", IF(Tabla135[[#This Row],[INN]]&lt; $AL$53, "Medio", "Alto"))</f>
        <v>Bajo</v>
      </c>
      <c r="AO42" s="8">
        <f>Tabla135[[#This Row],[Valor general]]-Tabla135[[#This Row],[Valor general2]]-Tabla135[[#This Row],[INN]]</f>
        <v>17.467417460317456</v>
      </c>
      <c r="AP42" t="str">
        <f>IF(Tabla135[[#This Row],[Valor general de PC]]&lt; $AN$51, "Alto", IF(Tabla135[[#This Row],[Valor general de PC]]&lt; $AN$53, "Medio", "Bajo"))</f>
        <v>Medio</v>
      </c>
    </row>
    <row r="43" spans="1:42" x14ac:dyDescent="0.25">
      <c r="A43" s="2">
        <v>2024305867</v>
      </c>
      <c r="B43" s="2"/>
      <c r="C43" s="2"/>
      <c r="D43" s="2"/>
      <c r="E43" t="s">
        <v>44</v>
      </c>
      <c r="G43" t="s">
        <v>45</v>
      </c>
      <c r="H43">
        <v>2</v>
      </c>
      <c r="I43">
        <v>5</v>
      </c>
      <c r="J43">
        <v>1</v>
      </c>
      <c r="K43" s="8">
        <v>0</v>
      </c>
      <c r="L43" s="8">
        <v>0</v>
      </c>
      <c r="M43" s="8">
        <f>Tabla135[[#This Row],[ERL]]+Tabla135[[#This Row],[IRL]]</f>
        <v>0</v>
      </c>
      <c r="N43" s="8">
        <f t="shared" si="5"/>
        <v>1</v>
      </c>
      <c r="O43" s="8">
        <v>1</v>
      </c>
      <c r="P43" s="8">
        <f t="shared" si="6"/>
        <v>0.8</v>
      </c>
      <c r="Q43" s="8">
        <f>Tabla135[[#This Row],[LoCode]]/Tabla135[[#This Row],[NoFunctions]]</f>
        <v>2</v>
      </c>
      <c r="R43" s="8">
        <f t="shared" si="7"/>
        <v>0.85714285714285721</v>
      </c>
      <c r="S43" s="8">
        <v>0</v>
      </c>
      <c r="T43" s="8">
        <f t="shared" si="8"/>
        <v>1</v>
      </c>
      <c r="U43" s="8">
        <f t="shared" si="9"/>
        <v>0.91428571428571437</v>
      </c>
      <c r="V43" s="8" t="str">
        <f t="shared" si="10"/>
        <v>Group 2</v>
      </c>
      <c r="W43" s="8">
        <f t="shared" si="0"/>
        <v>0.99999999999999989</v>
      </c>
      <c r="X43" s="8">
        <f t="shared" si="1"/>
        <v>68</v>
      </c>
      <c r="Y43" s="8">
        <f t="shared" si="2"/>
        <v>0.93423329477941797</v>
      </c>
      <c r="Z43" s="8">
        <f t="shared" si="3"/>
        <v>0.99539335652000449</v>
      </c>
      <c r="AA43" s="8">
        <f>2</f>
        <v>2</v>
      </c>
      <c r="AB43" s="8">
        <f t="shared" si="4"/>
        <v>0.87710963904224826</v>
      </c>
      <c r="AC43" s="8" t="str">
        <f t="shared" si="11"/>
        <v>Group 1</v>
      </c>
      <c r="AD43" s="8" cm="1">
        <f t="array" ref="AD43">SUM(Tabla135[[#This Row],[CC]:[IDC]] - Tabla135[[#This Row],[IRC]])</f>
        <v>4.6571428571428566</v>
      </c>
      <c r="AE43" t="str">
        <f>IF(Tabla135[[#This Row],[Valor general]]&lt; $H$51, "Alto", IF(Tabla135[[#This Row],[Valor general]]&lt; $H$53, "Medio", "Bajo"))</f>
        <v>Alto</v>
      </c>
      <c r="AF43" s="8">
        <f>1-((Tabla135[[#This Row],[TPFM]]-$Q$52) / ($Q$51-$Q$52))</f>
        <v>1</v>
      </c>
      <c r="AG43" s="8">
        <v>0.04</v>
      </c>
      <c r="AH43" s="8">
        <v>0.11</v>
      </c>
      <c r="AI43" s="8">
        <f>SUM(Tabla135[[#This Row],[ITPFM]:[Comentarios2]])/3</f>
        <v>0.38333333333333336</v>
      </c>
      <c r="AJ43" s="8">
        <f>Tabla135[[#This Row],[CC]]/$AI$49</f>
        <v>0.1</v>
      </c>
      <c r="AK43" s="8">
        <f>(Tabla135[[#This Row],[ICLC]]+(1-Tabla135[[#This Row],[ICC]]))/2</f>
        <v>0.64166666666666672</v>
      </c>
      <c r="AL43" t="str">
        <f>IF(Tabla135[[#This Row],[Valor general2]]&lt; $AJ$51, "Bajo", IF(Tabla135[[#This Row],[Valor general2]]&lt; $AJ$53, "Medio", "Alto"))</f>
        <v>Alto</v>
      </c>
      <c r="AM43" s="8">
        <v>1</v>
      </c>
      <c r="AN43" t="str">
        <f>IF(Tabla135[[#This Row],[INN]]&lt; $AL$51, "Bajo", IF(Tabla135[[#This Row],[INN]]&lt; $AL$53, "Medio", "Alto"))</f>
        <v>Alto</v>
      </c>
      <c r="AO43" s="8">
        <f>Tabla135[[#This Row],[Valor general]]-Tabla135[[#This Row],[Valor general2]]-Tabla135[[#This Row],[INN]]</f>
        <v>3.01547619047619</v>
      </c>
      <c r="AP43" t="str">
        <f>IF(Tabla135[[#This Row],[Valor general de PC]]&lt; $AN$51, "Alto", IF(Tabla135[[#This Row],[Valor general de PC]]&lt; $AN$53, "Medio", "Bajo"))</f>
        <v>Alto</v>
      </c>
    </row>
    <row r="44" spans="1:42" x14ac:dyDescent="0.25">
      <c r="A44" s="2">
        <v>2024800088</v>
      </c>
      <c r="B44" s="2"/>
      <c r="C44" s="2"/>
      <c r="D44" s="2"/>
      <c r="E44" t="s">
        <v>42</v>
      </c>
      <c r="G44" s="3"/>
      <c r="H44">
        <v>7</v>
      </c>
      <c r="I44">
        <v>0</v>
      </c>
      <c r="J44">
        <v>1</v>
      </c>
      <c r="K44" s="8">
        <v>0</v>
      </c>
      <c r="L44" s="8">
        <v>0</v>
      </c>
      <c r="M44" s="8">
        <f>Tabla135[[#This Row],[ERL]]+Tabla135[[#This Row],[IRL]]</f>
        <v>0</v>
      </c>
      <c r="N44" s="8">
        <f t="shared" si="5"/>
        <v>1</v>
      </c>
      <c r="O44" s="8">
        <v>2</v>
      </c>
      <c r="P44" s="8">
        <f t="shared" si="6"/>
        <v>0.9</v>
      </c>
      <c r="Q44" s="8">
        <f>Tabla135[[#This Row],[LoCode]]/Tabla135[[#This Row],[NoFunctions]]</f>
        <v>7</v>
      </c>
      <c r="R44" s="8">
        <f t="shared" si="7"/>
        <v>0.9642857142857143</v>
      </c>
      <c r="S44" s="8">
        <v>0.1429</v>
      </c>
      <c r="T44" s="8">
        <f t="shared" si="8"/>
        <v>0.78566071696415174</v>
      </c>
      <c r="U44" s="8">
        <f t="shared" si="9"/>
        <v>0.91248660781246649</v>
      </c>
      <c r="V44" s="8" t="str">
        <f t="shared" si="10"/>
        <v>Group 2</v>
      </c>
      <c r="W44" s="8">
        <f t="shared" si="0"/>
        <v>0.98268289584829782</v>
      </c>
      <c r="X44" s="8">
        <f t="shared" si="1"/>
        <v>68</v>
      </c>
      <c r="Y44" s="8">
        <f t="shared" si="2"/>
        <v>0.97909683922966884</v>
      </c>
      <c r="Z44" s="8">
        <f t="shared" si="3"/>
        <v>0.99603300209724643</v>
      </c>
      <c r="AA44" s="8">
        <f>2</f>
        <v>2</v>
      </c>
      <c r="AB44" s="8">
        <f t="shared" si="4"/>
        <v>0.88039979258337064</v>
      </c>
      <c r="AC44" s="8" t="str">
        <f t="shared" si="11"/>
        <v>Group 1</v>
      </c>
      <c r="AD44" s="8" cm="1">
        <f t="array" ref="AD44">SUM(Tabla135[[#This Row],[CC]:[IDC]] - Tabla135[[#This Row],[IRC]])</f>
        <v>11.007185714285713</v>
      </c>
      <c r="AE44" t="str">
        <f>IF(Tabla135[[#This Row],[Valor general]]&lt; $H$51, "Alto", IF(Tabla135[[#This Row],[Valor general]]&lt; $H$53, "Medio", "Bajo"))</f>
        <v>Medio</v>
      </c>
      <c r="AF44" s="8">
        <f>1-((Tabla135[[#This Row],[TPFM]]-$Q$52) / ($Q$51-$Q$52))</f>
        <v>0.84375</v>
      </c>
      <c r="AG44" s="8">
        <v>0.02</v>
      </c>
      <c r="AH44" s="8">
        <v>0</v>
      </c>
      <c r="AI44" s="8">
        <f>SUM(Tabla135[[#This Row],[ITPFM]:[Comentarios2]])/3</f>
        <v>0.28791666666666665</v>
      </c>
      <c r="AJ44" s="8">
        <f>Tabla135[[#This Row],[CC]]/$AI$49</f>
        <v>0.2</v>
      </c>
      <c r="AK44" s="8">
        <f>(Tabla135[[#This Row],[ICLC]]+(1-Tabla135[[#This Row],[ICC]]))/2</f>
        <v>0.54395833333333332</v>
      </c>
      <c r="AL44" t="str">
        <f>IF(Tabla135[[#This Row],[Valor general2]]&lt; $AJ$51, "Bajo", IF(Tabla135[[#This Row],[Valor general2]]&lt; $AJ$53, "Medio", "Alto"))</f>
        <v>Alto</v>
      </c>
      <c r="AM44" s="8">
        <v>1</v>
      </c>
      <c r="AN44" t="str">
        <f>IF(Tabla135[[#This Row],[INN]]&lt; $AL$51, "Bajo", IF(Tabla135[[#This Row],[INN]]&lt; $AL$53, "Medio", "Alto"))</f>
        <v>Alto</v>
      </c>
      <c r="AO44" s="8">
        <f>Tabla135[[#This Row],[Valor general]]-Tabla135[[#This Row],[Valor general2]]-Tabla135[[#This Row],[INN]]</f>
        <v>9.4632273809523788</v>
      </c>
      <c r="AP44" t="str">
        <f>IF(Tabla135[[#This Row],[Valor general de PC]]&lt; $AN$51, "Alto", IF(Tabla135[[#This Row],[Valor general de PC]]&lt; $AN$53, "Medio", "Bajo"))</f>
        <v>Medio</v>
      </c>
    </row>
    <row r="45" spans="1:42" x14ac:dyDescent="0.25">
      <c r="A45" s="2">
        <v>2024800128</v>
      </c>
      <c r="B45" s="2"/>
      <c r="C45" s="2"/>
      <c r="D45" s="2"/>
      <c r="E45" t="s">
        <v>42</v>
      </c>
      <c r="G45" t="s">
        <v>43</v>
      </c>
      <c r="H45">
        <v>7</v>
      </c>
      <c r="I45">
        <v>8</v>
      </c>
      <c r="J45">
        <v>1</v>
      </c>
      <c r="K45" s="8">
        <v>0</v>
      </c>
      <c r="L45" s="8">
        <v>0</v>
      </c>
      <c r="M45" s="8">
        <f>Tabla135[[#This Row],[ERL]]+Tabla135[[#This Row],[IRL]]</f>
        <v>0</v>
      </c>
      <c r="N45" s="8">
        <f t="shared" si="5"/>
        <v>1</v>
      </c>
      <c r="O45" s="8">
        <v>3</v>
      </c>
      <c r="P45" s="8">
        <f t="shared" si="6"/>
        <v>1</v>
      </c>
      <c r="Q45" s="8">
        <f>Tabla135[[#This Row],[LoCode]]/Tabla135[[#This Row],[NoFunctions]]</f>
        <v>7</v>
      </c>
      <c r="R45" s="8">
        <f t="shared" si="7"/>
        <v>0.9642857142857143</v>
      </c>
      <c r="S45" s="8">
        <v>7.6899999999999996E-2</v>
      </c>
      <c r="T45" s="8">
        <f t="shared" si="8"/>
        <v>0.88465576721163941</v>
      </c>
      <c r="U45" s="8">
        <f t="shared" si="9"/>
        <v>0.96223537037433848</v>
      </c>
      <c r="V45" s="8" t="str">
        <f t="shared" si="10"/>
        <v>Group 1</v>
      </c>
      <c r="W45" s="8">
        <f t="shared" si="0"/>
        <v>0.99822348564114904</v>
      </c>
      <c r="X45" s="8">
        <f t="shared" si="1"/>
        <v>68</v>
      </c>
      <c r="Y45" s="8">
        <f t="shared" si="2"/>
        <v>0.98525069931573905</v>
      </c>
      <c r="Z45" s="8">
        <f t="shared" si="3"/>
        <v>0.99880396862610055</v>
      </c>
      <c r="AA45" s="8">
        <f>2</f>
        <v>2</v>
      </c>
      <c r="AB45" s="8">
        <f t="shared" si="4"/>
        <v>0.93962657405443772</v>
      </c>
      <c r="AC45" s="8" t="str">
        <f t="shared" si="11"/>
        <v>Group 1</v>
      </c>
      <c r="AD45" s="8" cm="1">
        <f t="array" ref="AD45">SUM(Tabla135[[#This Row],[CC]:[IDC]] - Tabla135[[#This Row],[IRC]])</f>
        <v>12.041185714285714</v>
      </c>
      <c r="AE45" t="str">
        <f>IF(Tabla135[[#This Row],[Valor general]]&lt; $H$51, "Alto", IF(Tabla135[[#This Row],[Valor general]]&lt; $H$53, "Medio", "Bajo"))</f>
        <v>Medio</v>
      </c>
      <c r="AF45" s="8">
        <f>1-((Tabla135[[#This Row],[TPFM]]-$Q$52) / ($Q$51-$Q$52))</f>
        <v>0.84375</v>
      </c>
      <c r="AG45" s="8">
        <v>0.02</v>
      </c>
      <c r="AH45" s="8">
        <v>0.14000000000000001</v>
      </c>
      <c r="AI45" s="8">
        <f>SUM(Tabla135[[#This Row],[ITPFM]:[Comentarios2]])/3</f>
        <v>0.3345833333333334</v>
      </c>
      <c r="AJ45" s="8">
        <f>Tabla135[[#This Row],[CC]]/$AI$49</f>
        <v>0.3</v>
      </c>
      <c r="AK45" s="8">
        <f>(Tabla135[[#This Row],[ICLC]]+(1-Tabla135[[#This Row],[ICC]]))/2</f>
        <v>0.51729166666666671</v>
      </c>
      <c r="AL45" t="str">
        <f>IF(Tabla135[[#This Row],[Valor general2]]&lt; $AJ$51, "Bajo", IF(Tabla135[[#This Row],[Valor general2]]&lt; $AJ$53, "Medio", "Alto"))</f>
        <v>Alto</v>
      </c>
      <c r="AM45" s="8">
        <v>1</v>
      </c>
      <c r="AN45" t="str">
        <f>IF(Tabla135[[#This Row],[INN]]&lt; $AL$51, "Bajo", IF(Tabla135[[#This Row],[INN]]&lt; $AL$53, "Medio", "Alto"))</f>
        <v>Alto</v>
      </c>
      <c r="AO45" s="8">
        <f>Tabla135[[#This Row],[Valor general]]-Tabla135[[#This Row],[Valor general2]]-Tabla135[[#This Row],[INN]]</f>
        <v>10.523894047619047</v>
      </c>
      <c r="AP45" t="str">
        <f>IF(Tabla135[[#This Row],[Valor general de PC]]&lt; $AN$51, "Alto", IF(Tabla135[[#This Row],[Valor general de PC]]&lt; $AN$53, "Medio", "Bajo"))</f>
        <v>Medio</v>
      </c>
    </row>
    <row r="46" spans="1:42" s="29" customFormat="1" x14ac:dyDescent="0.25">
      <c r="A46" s="28">
        <v>2024800158</v>
      </c>
      <c r="B46" s="28"/>
      <c r="C46" s="28"/>
      <c r="D46" s="28"/>
      <c r="E46" s="29" t="s">
        <v>42</v>
      </c>
      <c r="G46" s="29" t="s">
        <v>43</v>
      </c>
      <c r="H46" s="29">
        <v>6</v>
      </c>
      <c r="I46" s="29">
        <v>5</v>
      </c>
      <c r="J46" s="29">
        <v>1</v>
      </c>
      <c r="K46" s="30">
        <v>0</v>
      </c>
      <c r="L46" s="30">
        <v>0</v>
      </c>
      <c r="M46" s="30">
        <f>Tabla135[[#This Row],[ERL]]+Tabla135[[#This Row],[IRL]]</f>
        <v>0</v>
      </c>
      <c r="N46" s="30">
        <f t="shared" si="5"/>
        <v>1</v>
      </c>
      <c r="O46" s="30">
        <v>2</v>
      </c>
      <c r="P46" s="30">
        <f t="shared" si="6"/>
        <v>0.9</v>
      </c>
      <c r="Q46" s="30">
        <f>Tabla135[[#This Row],[LoCode]]/Tabla135[[#This Row],[NoFunctions]]</f>
        <v>6</v>
      </c>
      <c r="R46" s="30">
        <f t="shared" si="7"/>
        <v>1</v>
      </c>
      <c r="S46" s="30">
        <v>0.1111</v>
      </c>
      <c r="T46" s="30">
        <f t="shared" si="8"/>
        <v>0.83335833208339583</v>
      </c>
      <c r="U46" s="30">
        <f t="shared" si="9"/>
        <v>0.93333958302084896</v>
      </c>
      <c r="V46" s="30" t="str">
        <f t="shared" si="10"/>
        <v>Group 1</v>
      </c>
      <c r="W46" s="30">
        <f t="shared" si="0"/>
        <v>0.98979678957023709</v>
      </c>
      <c r="X46" s="30">
        <f t="shared" si="1"/>
        <v>68</v>
      </c>
      <c r="Y46" s="30">
        <f t="shared" si="2"/>
        <v>0.98520363709880676</v>
      </c>
      <c r="Z46" s="30">
        <f t="shared" si="3"/>
        <v>0.99714314704970042</v>
      </c>
      <c r="AA46" s="30">
        <f>2</f>
        <v>2</v>
      </c>
      <c r="AB46" s="30">
        <f t="shared" si="4"/>
        <v>0.90282818633211093</v>
      </c>
      <c r="AC46" s="8" t="str">
        <f t="shared" si="11"/>
        <v>Group 1</v>
      </c>
      <c r="AD46" s="30" cm="1">
        <f t="array" ref="AD46">SUM(Tabla135[[#This Row],[CC]:[IDC]] - Tabla135[[#This Row],[IRC]])</f>
        <v>10.011100000000001</v>
      </c>
      <c r="AE46" t="str">
        <f>IF(Tabla135[[#This Row],[Valor general]]&lt; $H$51, "Alto", IF(Tabla135[[#This Row],[Valor general]]&lt; $H$53, "Medio", "Bajo"))</f>
        <v>Alto</v>
      </c>
      <c r="AF46" s="30">
        <f>1-((Tabla135[[#This Row],[TPFM]]-$Q$52) / ($Q$51-$Q$52))</f>
        <v>0.875</v>
      </c>
      <c r="AG46" s="30">
        <v>0.02</v>
      </c>
      <c r="AH46" s="30">
        <v>0.12</v>
      </c>
      <c r="AI46" s="30">
        <f>SUM(Tabla135[[#This Row],[ITPFM]:[Comentarios2]])/3</f>
        <v>0.33833333333333337</v>
      </c>
      <c r="AJ46" s="30">
        <f>Tabla135[[#This Row],[CC]]/$AI$49</f>
        <v>0.2</v>
      </c>
      <c r="AK46" s="30">
        <f>(Tabla135[[#This Row],[ICLC]]+(1-Tabla135[[#This Row],[ICC]]))/2</f>
        <v>0.56916666666666671</v>
      </c>
      <c r="AL46" s="29" t="str">
        <f>IF(Tabla135[[#This Row],[Valor general2]]&lt; $AJ$51, "Bajo", IF(Tabla135[[#This Row],[Valor general2]]&lt; $AJ$53, "Medio", "Alto"))</f>
        <v>Alto</v>
      </c>
      <c r="AM46" s="8">
        <v>0.66669999999999996</v>
      </c>
      <c r="AN46" s="29" t="str">
        <f>IF(Tabla135[[#This Row],[INN]]&lt; $AL$51, "Bajo", IF(Tabla135[[#This Row],[INN]]&lt; $AL$53, "Medio", "Alto"))</f>
        <v>Bajo</v>
      </c>
      <c r="AO46" s="30">
        <f>Tabla135[[#This Row],[Valor general]]-Tabla135[[#This Row],[Valor general2]]-Tabla135[[#This Row],[INN]]</f>
        <v>8.7752333333333343</v>
      </c>
      <c r="AP46" s="29" t="str">
        <f>IF(Tabla135[[#This Row],[Valor general de PC]]&lt; $AN$51, "Alto", IF(Tabla135[[#This Row],[Valor general de PC]]&lt; $AN$53, "Medio", "Bajo"))</f>
        <v>Alto</v>
      </c>
    </row>
    <row r="47" spans="1:42" x14ac:dyDescent="0.25">
      <c r="A47" s="2">
        <v>2024800621</v>
      </c>
      <c r="B47" s="2"/>
      <c r="C47" s="2"/>
      <c r="D47" s="2"/>
      <c r="E47" t="s">
        <v>44</v>
      </c>
      <c r="G47" t="s">
        <v>55</v>
      </c>
      <c r="H47">
        <v>20</v>
      </c>
      <c r="I47">
        <v>0</v>
      </c>
      <c r="J47">
        <v>4</v>
      </c>
      <c r="K47" s="8">
        <v>0</v>
      </c>
      <c r="L47" s="8">
        <v>0</v>
      </c>
      <c r="M47" s="8">
        <f>Tabla135[[#This Row],[ERL]]+Tabla135[[#This Row],[IRL]]</f>
        <v>0</v>
      </c>
      <c r="N47" s="8">
        <f t="shared" si="5"/>
        <v>1</v>
      </c>
      <c r="O47" s="8">
        <v>12</v>
      </c>
      <c r="P47" s="8">
        <f t="shared" si="6"/>
        <v>9.9999999999999978E-2</v>
      </c>
      <c r="Q47" s="8">
        <f>Tabla135[[#This Row],[LoCode]]/Tabla135[[#This Row],[NoFunctions]]</f>
        <v>5</v>
      </c>
      <c r="R47" s="8">
        <f t="shared" si="7"/>
        <v>0.9642857142857143</v>
      </c>
      <c r="S47" s="8">
        <v>0.4</v>
      </c>
      <c r="T47" s="8">
        <f t="shared" si="8"/>
        <v>0.40002999850007492</v>
      </c>
      <c r="U47" s="8">
        <f t="shared" si="9"/>
        <v>0.61607892819644738</v>
      </c>
      <c r="V47" s="8" t="str">
        <f t="shared" si="10"/>
        <v>Group 3</v>
      </c>
      <c r="W47" s="8">
        <f t="shared" si="0"/>
        <v>0.75646500254204674</v>
      </c>
      <c r="X47" s="8">
        <f t="shared" si="1"/>
        <v>68</v>
      </c>
      <c r="Y47" s="8">
        <f t="shared" si="2"/>
        <v>0.86670271536912158</v>
      </c>
      <c r="Z47" s="8">
        <f t="shared" si="3"/>
        <v>0.85029582945607662</v>
      </c>
      <c r="AA47" s="8">
        <f>2</f>
        <v>2</v>
      </c>
      <c r="AB47" s="8">
        <f t="shared" si="4"/>
        <v>0.45888090199478682</v>
      </c>
      <c r="AC47" s="8" t="str">
        <f t="shared" si="11"/>
        <v>Group 3</v>
      </c>
      <c r="AD47" s="8" cm="1">
        <f t="array" ref="AD47">SUM(Tabla135[[#This Row],[CC]:[IDC]] - Tabla135[[#This Row],[IRC]])</f>
        <v>18.464285714285715</v>
      </c>
      <c r="AE47" t="str">
        <f>IF(Tabla135[[#This Row],[Valor general]]&lt; $H$51, "Alto", IF(Tabla135[[#This Row],[Valor general]]&lt; $H$53, "Medio", "Bajo"))</f>
        <v>Medio</v>
      </c>
      <c r="AF47" s="8">
        <f>1-((Tabla135[[#This Row],[TPFM]]-$Q$52) / ($Q$51-$Q$52))</f>
        <v>0.90625</v>
      </c>
      <c r="AG47" s="8">
        <v>0.11</v>
      </c>
      <c r="AH47" s="8">
        <v>0.15</v>
      </c>
      <c r="AI47" s="8">
        <f>SUM(Tabla135[[#This Row],[ITPFM]:[Comentarios2]])/3</f>
        <v>0.38874999999999998</v>
      </c>
      <c r="AJ47" s="8">
        <f>Tabla135[[#This Row],[CC]]/$AI$49</f>
        <v>1.2</v>
      </c>
      <c r="AK47" s="8">
        <f>(Tabla135[[#This Row],[ICLC]]+(1-Tabla135[[#This Row],[ICC]]))/2</f>
        <v>9.4375000000000014E-2</v>
      </c>
      <c r="AL47" t="str">
        <f>IF(Tabla135[[#This Row],[Valor general2]]&lt; $AJ$51, "Bajo", IF(Tabla135[[#This Row],[Valor general2]]&lt; $AJ$53, "Medio", "Alto"))</f>
        <v>Bajo</v>
      </c>
      <c r="AM47" s="8">
        <v>0.83330000000000004</v>
      </c>
      <c r="AN47" t="str">
        <f>IF(Tabla135[[#This Row],[INN]]&lt; $AL$51, "Bajo", IF(Tabla135[[#This Row],[INN]]&lt; $AL$53, "Medio", "Alto"))</f>
        <v>Bajo</v>
      </c>
      <c r="AO47" s="8">
        <f>Tabla135[[#This Row],[Valor general]]-Tabla135[[#This Row],[Valor general2]]-Tabla135[[#This Row],[INN]]</f>
        <v>17.536610714285715</v>
      </c>
      <c r="AP47" t="str">
        <f>IF(Tabla135[[#This Row],[Valor general de PC]]&lt; $AN$51, "Alto", IF(Tabla135[[#This Row],[Valor general de PC]]&lt; $AN$53, "Medio", "Bajo"))</f>
        <v>Medio</v>
      </c>
    </row>
    <row r="48" spans="1:42" x14ac:dyDescent="0.25">
      <c r="A48" s="2">
        <v>2024800990</v>
      </c>
      <c r="B48" s="2"/>
      <c r="C48" s="2"/>
      <c r="D48" s="2"/>
      <c r="E48" t="s">
        <v>42</v>
      </c>
      <c r="G48" s="3"/>
      <c r="H48">
        <v>4</v>
      </c>
      <c r="I48">
        <v>0</v>
      </c>
      <c r="J48">
        <v>1</v>
      </c>
      <c r="K48" s="8">
        <v>0</v>
      </c>
      <c r="L48" s="8">
        <v>0</v>
      </c>
      <c r="M48" s="8">
        <f>Tabla135[[#This Row],[ERL]]+Tabla135[[#This Row],[IRL]]</f>
        <v>0</v>
      </c>
      <c r="N48" s="8">
        <f t="shared" si="5"/>
        <v>1</v>
      </c>
      <c r="O48" s="8">
        <v>2</v>
      </c>
      <c r="P48" s="8">
        <f t="shared" si="6"/>
        <v>0.9</v>
      </c>
      <c r="Q48" s="8">
        <f>Tabla135[[#This Row],[LoCode]]/Tabla135[[#This Row],[NoFunctions]]</f>
        <v>4</v>
      </c>
      <c r="R48" s="8">
        <f t="shared" si="7"/>
        <v>0.9285714285714286</v>
      </c>
      <c r="S48" s="8">
        <v>0</v>
      </c>
      <c r="T48" s="8">
        <f t="shared" si="8"/>
        <v>1</v>
      </c>
      <c r="U48" s="8">
        <f t="shared" si="9"/>
        <v>0.95714285714285707</v>
      </c>
      <c r="V48" s="8" t="str">
        <f t="shared" si="10"/>
        <v>Group 1</v>
      </c>
      <c r="W48" s="8">
        <f t="shared" si="0"/>
        <v>0.99999999999999989</v>
      </c>
      <c r="X48" s="8">
        <f t="shared" si="1"/>
        <v>68</v>
      </c>
      <c r="Y48" s="8">
        <f t="shared" si="2"/>
        <v>0.96711664738970893</v>
      </c>
      <c r="Z48" s="8">
        <f t="shared" si="3"/>
        <v>0.99894353441550388</v>
      </c>
      <c r="AA48" s="8">
        <f>2</f>
        <v>2</v>
      </c>
      <c r="AB48" s="8">
        <f t="shared" si="4"/>
        <v>0.93855481952112407</v>
      </c>
      <c r="AC48" s="8" t="str">
        <f t="shared" si="11"/>
        <v>Group 1</v>
      </c>
      <c r="AD48" s="8" cm="1">
        <f t="array" ref="AD48">SUM(Tabla135[[#This Row],[CC]:[IDC]] - Tabla135[[#This Row],[IRC]])</f>
        <v>7.8285714285714292</v>
      </c>
      <c r="AE48" t="str">
        <f>IF(Tabla135[[#This Row],[Valor general]]&lt; $H$51, "Alto", IF(Tabla135[[#This Row],[Valor general]]&lt; $H$53, "Medio", "Bajo"))</f>
        <v>Alto</v>
      </c>
      <c r="AF48" s="8">
        <f>1-((Tabla135[[#This Row],[TPFM]]-$Q$52) / ($Q$51-$Q$52))</f>
        <v>0.9375</v>
      </c>
      <c r="AG48" s="8">
        <v>0.02</v>
      </c>
      <c r="AH48" s="8">
        <v>0</v>
      </c>
      <c r="AI48" s="8">
        <f>SUM(Tabla135[[#This Row],[ITPFM]:[Comentarios2]])/3</f>
        <v>0.31916666666666665</v>
      </c>
      <c r="AJ48" s="8">
        <f>Tabla135[[#This Row],[CC]]/$AI$49</f>
        <v>0.2</v>
      </c>
      <c r="AK48" s="8">
        <f>(Tabla135[[#This Row],[ICLC]]+(1-Tabla135[[#This Row],[ICC]]))/2</f>
        <v>0.55958333333333332</v>
      </c>
      <c r="AL48" t="str">
        <f>IF(Tabla135[[#This Row],[Valor general2]]&lt; $AJ$51, "Bajo", IF(Tabla135[[#This Row],[Valor general2]]&lt; $AJ$53, "Medio", "Alto"))</f>
        <v>Alto</v>
      </c>
      <c r="AM48" s="8">
        <v>1</v>
      </c>
      <c r="AN48" t="str">
        <f>IF(Tabla135[[#This Row],[INN]]&lt; $AL$51, "Bajo", IF(Tabla135[[#This Row],[INN]]&lt; $AL$53, "Medio", "Alto"))</f>
        <v>Alto</v>
      </c>
      <c r="AO48" s="8">
        <f>Tabla135[[#This Row],[Valor general]]-Tabla135[[#This Row],[Valor general2]]-Tabla135[[#This Row],[INN]]</f>
        <v>6.2689880952380959</v>
      </c>
      <c r="AP48" t="str">
        <f>IF(Tabla135[[#This Row],[Valor general de PC]]&lt; $AN$51, "Alto", IF(Tabla135[[#This Row],[Valor general de PC]]&lt; $AN$53, "Medio", "Bajo"))</f>
        <v>Alto</v>
      </c>
    </row>
    <row r="49" spans="7:40" x14ac:dyDescent="0.25">
      <c r="AH49" s="8" t="s">
        <v>56</v>
      </c>
      <c r="AI49" s="8">
        <v>10</v>
      </c>
    </row>
    <row r="50" spans="7:40" x14ac:dyDescent="0.25">
      <c r="O50" s="10" t="s">
        <v>13</v>
      </c>
      <c r="P50" s="10"/>
      <c r="Q50" s="10" t="s">
        <v>15</v>
      </c>
      <c r="R50" s="10"/>
      <c r="S50" s="10" t="s">
        <v>17</v>
      </c>
      <c r="T50" s="10"/>
      <c r="U50" s="10"/>
      <c r="V50" s="10"/>
      <c r="W50" s="10"/>
      <c r="X50" s="10"/>
      <c r="Y50" s="10"/>
      <c r="Z50" s="10"/>
      <c r="AA50" s="10"/>
      <c r="AB50" s="10"/>
      <c r="AC50" s="10" t="s">
        <v>6</v>
      </c>
    </row>
    <row r="51" spans="7:40" x14ac:dyDescent="0.25">
      <c r="G51" s="10" t="s">
        <v>57</v>
      </c>
      <c r="H51" s="8">
        <f>QUARTILE((AD4:AD25,AD27:AD48), 1)</f>
        <v>10.796460714285713</v>
      </c>
      <c r="M51" s="10" t="s">
        <v>58</v>
      </c>
      <c r="N51" s="10"/>
      <c r="O51" s="8">
        <f>MAX(O4:O25,O27:O48)</f>
        <v>13</v>
      </c>
      <c r="Q51" s="8">
        <f t="shared" ref="Q51:S51" si="12">MAX(Q4:Q25,Q27:Q48)</f>
        <v>34</v>
      </c>
      <c r="S51" s="8">
        <f t="shared" si="12"/>
        <v>0.66669999999999996</v>
      </c>
      <c r="U51" s="8">
        <f>_xlfn.QUARTILE.INC(U4:U48,4)</f>
        <v>0.9910714285714286</v>
      </c>
      <c r="W51" s="8">
        <f t="shared" ref="W51:AB51" si="13">_xlfn.QUARTILE.INC(W4:W48,4)</f>
        <v>0.99999999999999989</v>
      </c>
      <c r="X51" s="8">
        <f t="shared" si="13"/>
        <v>68</v>
      </c>
      <c r="Y51" s="8">
        <f t="shared" si="13"/>
        <v>0.98529411764705888</v>
      </c>
      <c r="Z51" s="8">
        <f t="shared" si="13"/>
        <v>0.99987827886267377</v>
      </c>
      <c r="AA51" s="8">
        <f>_xlfn.QUARTILE.INC(AA4:AA48,4)</f>
        <v>2</v>
      </c>
      <c r="AB51" s="8">
        <f t="shared" si="13"/>
        <v>0.98214285714285721</v>
      </c>
      <c r="AC51" s="8">
        <f>MAX(H4:H25,H27:H48)</f>
        <v>50</v>
      </c>
      <c r="AD51" s="8"/>
      <c r="AI51" s="27" t="s">
        <v>57</v>
      </c>
      <c r="AJ51" s="8">
        <f>QUARTILE((AK4:AK25,AK27:AK48), 1)</f>
        <v>0.2371875</v>
      </c>
      <c r="AK51" s="12" t="s">
        <v>57</v>
      </c>
      <c r="AL51" s="8">
        <f>QUARTILE((AM4:AM25,AM27:AM48), 1)</f>
        <v>0.96875</v>
      </c>
      <c r="AM51" s="12" t="s">
        <v>57</v>
      </c>
      <c r="AN51" s="8">
        <f>QUARTILE((AO4:AO25,AO27:AO48), 1)</f>
        <v>9.3240648809523794</v>
      </c>
    </row>
    <row r="52" spans="7:40" x14ac:dyDescent="0.25">
      <c r="G52" s="10" t="s">
        <v>59</v>
      </c>
      <c r="H52" s="8">
        <f>QUARTILE((AD4:AD25,AD27:AD48), 2)</f>
        <v>13.996435714285713</v>
      </c>
      <c r="M52" s="10" t="s">
        <v>60</v>
      </c>
      <c r="N52" s="10"/>
      <c r="O52" s="8">
        <f>MIN(O4:O25,O27:O48)</f>
        <v>1</v>
      </c>
      <c r="Q52" s="8">
        <f t="shared" ref="Q52:S52" si="14">MIN(Q4:Q25,Q27:Q48)</f>
        <v>2</v>
      </c>
      <c r="S52" s="8">
        <f t="shared" si="14"/>
        <v>0</v>
      </c>
      <c r="U52" s="8">
        <f>_xlfn.QUARTILE.INC(U4:U48,0)</f>
        <v>0.41407565267341029</v>
      </c>
      <c r="W52" s="8">
        <f t="shared" ref="W52:AB52" si="15">_xlfn.QUARTILE.INC(W4:W48,0)</f>
        <v>0.75646500254204674</v>
      </c>
      <c r="X52" s="8">
        <f t="shared" si="15"/>
        <v>68</v>
      </c>
      <c r="Y52" s="8">
        <f t="shared" si="15"/>
        <v>0.5871708018275954</v>
      </c>
      <c r="Z52" s="8">
        <f t="shared" si="15"/>
        <v>0.73453127326225098</v>
      </c>
      <c r="AA52" s="8">
        <f t="shared" si="15"/>
        <v>2</v>
      </c>
      <c r="AB52" s="8">
        <f t="shared" si="15"/>
        <v>0.30121273598247778</v>
      </c>
      <c r="AC52" s="8">
        <f>MIN(H4:H25,H27:H48)</f>
        <v>2</v>
      </c>
      <c r="AD52" s="8"/>
      <c r="AI52" s="27" t="s">
        <v>59</v>
      </c>
      <c r="AJ52" s="8">
        <f>QUARTILE((AK4:AK25,AK27:AK48), 2)</f>
        <v>0.44468750000000001</v>
      </c>
      <c r="AK52" s="12" t="s">
        <v>59</v>
      </c>
      <c r="AL52" s="8">
        <f>QUARTILE((AM4:AM25,AM27:AM48), 2)</f>
        <v>1</v>
      </c>
      <c r="AM52" s="12" t="s">
        <v>59</v>
      </c>
      <c r="AN52" s="8">
        <f>QUARTILE((AO4:AO25,AO27:AO48), 2)</f>
        <v>12.590810714285714</v>
      </c>
    </row>
    <row r="53" spans="7:40" x14ac:dyDescent="0.25">
      <c r="G53" s="10" t="s">
        <v>61</v>
      </c>
      <c r="H53" s="8">
        <f>QUARTILE((AD4:AD25,AD27:AD48), 3)</f>
        <v>18.531532142857145</v>
      </c>
      <c r="M53" s="10" t="s">
        <v>62</v>
      </c>
      <c r="N53" s="10"/>
      <c r="O53" s="8">
        <f>AVERAGE(O4:O25,O27:O48)</f>
        <v>5.5227272727272725</v>
      </c>
      <c r="Q53" s="8">
        <f t="shared" ref="Q53:AB53" si="16">AVERAGE(Q4:Q25,Q27:Q48)</f>
        <v>8.4344696969696979</v>
      </c>
      <c r="S53" s="8">
        <f t="shared" si="16"/>
        <v>0.26191590909090912</v>
      </c>
      <c r="U53" s="8">
        <f t="shared" si="16"/>
        <v>0.78536166550381781</v>
      </c>
      <c r="W53" s="8">
        <f t="shared" si="16"/>
        <v>0.9483299899370311</v>
      </c>
      <c r="X53" s="8">
        <f t="shared" si="16"/>
        <v>68</v>
      </c>
      <c r="Y53" s="8">
        <f t="shared" si="16"/>
        <v>0.91873233359558892</v>
      </c>
      <c r="Z53" s="8">
        <f t="shared" si="16"/>
        <v>0.93571268627256077</v>
      </c>
      <c r="AA53" s="8">
        <f t="shared" si="16"/>
        <v>2</v>
      </c>
      <c r="AB53" s="8">
        <f t="shared" si="16"/>
        <v>0.7113938892398135</v>
      </c>
      <c r="AC53" s="8">
        <f>AVERAGE(H4:H25,H27:H48)</f>
        <v>13.75</v>
      </c>
      <c r="AD53" s="8"/>
      <c r="AI53" s="27" t="s">
        <v>61</v>
      </c>
      <c r="AJ53" s="8">
        <f>QUARTILE((AK4:AK25,AK27:AK48), 3)</f>
        <v>0.50770833333333332</v>
      </c>
      <c r="AK53" s="12" t="s">
        <v>61</v>
      </c>
      <c r="AL53" s="8">
        <f>QUARTILE((AM4:AM25,AM27:AM48), 3)</f>
        <v>1</v>
      </c>
      <c r="AM53" s="12" t="s">
        <v>61</v>
      </c>
      <c r="AN53" s="8">
        <f>QUARTILE((AO4:AO25,AO27:AO48), 3)</f>
        <v>17.56395357142857</v>
      </c>
    </row>
    <row r="54" spans="7:40" x14ac:dyDescent="0.25">
      <c r="G54" s="10" t="s">
        <v>63</v>
      </c>
      <c r="H54" s="8">
        <f>AVERAGE((AD4:AD25,AD27:AD48))</f>
        <v>15.739454485710366</v>
      </c>
      <c r="M54" s="10" t="s">
        <v>64</v>
      </c>
      <c r="N54" s="10"/>
      <c r="O54" s="8">
        <f>STDEV(O4:O25,O27:O48)</f>
        <v>3.5073917716971872</v>
      </c>
      <c r="Q54" s="8">
        <f t="shared" ref="Q54:AB54" si="17">STDEV(Q4:Q25,Q27:Q48)</f>
        <v>6.3645643650763661</v>
      </c>
      <c r="S54" s="8">
        <f t="shared" si="17"/>
        <v>0.22076270744133566</v>
      </c>
      <c r="U54" s="8">
        <f t="shared" si="17"/>
        <v>0.18022921288951618</v>
      </c>
      <c r="W54" s="8">
        <f t="shared" si="17"/>
        <v>7.554946147295527E-2</v>
      </c>
      <c r="X54" s="8">
        <f t="shared" si="17"/>
        <v>0</v>
      </c>
      <c r="Y54" s="8">
        <f t="shared" si="17"/>
        <v>8.6074437913440896E-2</v>
      </c>
      <c r="Z54" s="8">
        <f t="shared" si="17"/>
        <v>8.3564963800888806E-2</v>
      </c>
      <c r="AA54" s="8">
        <f t="shared" si="17"/>
        <v>0</v>
      </c>
      <c r="AB54" s="8">
        <f t="shared" si="17"/>
        <v>0.23057228873310248</v>
      </c>
      <c r="AC54" s="8">
        <f>STDEV(H4:H25,H27:H48)</f>
        <v>9.9839988260285537</v>
      </c>
      <c r="AD54" s="8"/>
      <c r="AI54" s="27" t="s">
        <v>63</v>
      </c>
      <c r="AJ54" s="8">
        <f>AVERAGE((AK4:AK25,AK27:AK48))</f>
        <v>0.37235225063131311</v>
      </c>
      <c r="AK54" s="12" t="s">
        <v>63</v>
      </c>
      <c r="AL54" s="8">
        <f>AVERAGE((AM4:AM25,AM27:AM48))</f>
        <v>0.94905000000000017</v>
      </c>
      <c r="AM54" s="12" t="s">
        <v>63</v>
      </c>
      <c r="AN54" s="8">
        <f>AVERAGE((AO4:AO25,AO27:AO48))</f>
        <v>14.418052235079058</v>
      </c>
    </row>
    <row r="55" spans="7:40" x14ac:dyDescent="0.25">
      <c r="G55" s="10" t="s">
        <v>65</v>
      </c>
      <c r="H55" s="8">
        <f>STDEV((AD4:AD25,AD27:AD48))</f>
        <v>7.3216012279739857</v>
      </c>
      <c r="AD55" s="8"/>
      <c r="AI55" s="27" t="s">
        <v>65</v>
      </c>
      <c r="AJ55" s="8">
        <f>STDEV((AK4:AK25,AK27:AK48))</f>
        <v>0.17649096239391041</v>
      </c>
      <c r="AK55" s="12" t="s">
        <v>65</v>
      </c>
      <c r="AL55" s="8">
        <f>STDEV((AM4:AM25,AM27:AM48))</f>
        <v>9.387505674602685E-2</v>
      </c>
      <c r="AM55" s="12" t="s">
        <v>65</v>
      </c>
      <c r="AN55" s="8">
        <f>STDEV((AO4:AO25,AO27:AO48))</f>
        <v>7.441517531920173</v>
      </c>
    </row>
    <row r="56" spans="7:40" x14ac:dyDescent="0.25">
      <c r="G56" s="10" t="s">
        <v>66</v>
      </c>
      <c r="H56" s="8">
        <f>H55/H54</f>
        <v>0.46517503097843488</v>
      </c>
      <c r="AD56" s="8"/>
      <c r="AI56" s="27" t="s">
        <v>66</v>
      </c>
      <c r="AJ56" s="8">
        <f>AJ55/AJ54</f>
        <v>0.47398924565293959</v>
      </c>
      <c r="AK56" s="12" t="s">
        <v>66</v>
      </c>
      <c r="AL56" s="8">
        <f>AL55/AL54</f>
        <v>9.8914763970314346E-2</v>
      </c>
      <c r="AM56" s="12" t="s">
        <v>66</v>
      </c>
      <c r="AN56" s="8">
        <f>AN55/AN54</f>
        <v>0.51612502233935553</v>
      </c>
    </row>
    <row r="58" spans="7:40" x14ac:dyDescent="0.25">
      <c r="O58" s="10" t="s">
        <v>67</v>
      </c>
      <c r="P58" s="10"/>
      <c r="Q58" s="10" t="s">
        <v>68</v>
      </c>
      <c r="R58" s="10"/>
      <c r="S58" s="10" t="s">
        <v>69</v>
      </c>
      <c r="T58" s="54" t="s">
        <v>70</v>
      </c>
      <c r="U58" s="10">
        <f>_xlfn.QUARTILE.INC(U4:U48,1)</f>
        <v>0.60968433721171089</v>
      </c>
      <c r="V58" s="10"/>
      <c r="W58" s="10">
        <f t="shared" ref="W58:AB58" si="18">_xlfn.QUARTILE.INC(W4:W48,1)</f>
        <v>0.94804580521875448</v>
      </c>
      <c r="X58" s="10">
        <f t="shared" si="18"/>
        <v>68</v>
      </c>
      <c r="Y58" s="10">
        <f t="shared" si="18"/>
        <v>0.89630651903788383</v>
      </c>
      <c r="Z58" s="10">
        <f t="shared" si="18"/>
        <v>0.87567414425915813</v>
      </c>
      <c r="AA58" s="10">
        <f t="shared" si="18"/>
        <v>2</v>
      </c>
      <c r="AB58" s="10">
        <f t="shared" si="18"/>
        <v>0.47373256427823185</v>
      </c>
      <c r="AD58">
        <f>IF( EXACT(AE4, "Alto"),3,IF(EXACT(AE4,"Medio"),2,1))</f>
        <v>3</v>
      </c>
    </row>
    <row r="59" spans="7:40" x14ac:dyDescent="0.25">
      <c r="M59" s="10" t="s">
        <v>71</v>
      </c>
      <c r="N59" s="10"/>
      <c r="O59" s="8">
        <f>COUNTIF($AE$4:$AE$25, O58) + COUNTIF($AE$27:$AE$48,O58)</f>
        <v>11</v>
      </c>
      <c r="Q59" s="8">
        <f>COUNTIF($AE$4:$AE$25, Q58) + COUNTIF($AE$27:$AE$48,Q58)</f>
        <v>22</v>
      </c>
      <c r="S59" s="8">
        <f>COUNTIF($AE$4:$AE$25, S58) + COUNTIF($AE$27:$AE$48,S58)</f>
        <v>11</v>
      </c>
      <c r="T59" s="55" t="s">
        <v>72</v>
      </c>
      <c r="U59" s="8">
        <f>_xlfn.QUARTILE.INC(U4:U48,2)</f>
        <v>0.86339754440849381</v>
      </c>
      <c r="W59" s="8">
        <f t="shared" ref="W59:AB59" si="19">_xlfn.QUARTILE.INC(W4:W48,2)</f>
        <v>0.98589883522090205</v>
      </c>
      <c r="X59" s="8">
        <f t="shared" si="19"/>
        <v>68</v>
      </c>
      <c r="Y59" s="8">
        <f t="shared" si="19"/>
        <v>0.94638034786024594</v>
      </c>
      <c r="Z59" s="8">
        <f t="shared" si="19"/>
        <v>0.98667669048166451</v>
      </c>
      <c r="AA59" s="8">
        <f t="shared" si="19"/>
        <v>2</v>
      </c>
      <c r="AB59" s="8">
        <f t="shared" si="19"/>
        <v>0.80269758024105253</v>
      </c>
      <c r="AD59">
        <f t="shared" ref="AD59:AD102" si="20">IF( EXACT(AE5, "Alto"),3,IF(EXACT(AE5,"Medio"),2,1))</f>
        <v>3</v>
      </c>
    </row>
    <row r="60" spans="7:40" x14ac:dyDescent="0.25">
      <c r="M60" s="10" t="s">
        <v>73</v>
      </c>
      <c r="N60" s="10"/>
      <c r="O60" s="8" t="e" cm="1">
        <f t="array" ref="O60">CORREL(AD3:AD48-AD26, AD58:AD102-AD80)</f>
        <v>#N/A</v>
      </c>
      <c r="T60" s="55" t="s">
        <v>74</v>
      </c>
      <c r="U60" s="8">
        <f>_xlfn.QUARTILE.INC(U4:U48,3)</f>
        <v>0.94169965608862416</v>
      </c>
      <c r="W60" s="8">
        <f t="shared" ref="W60:AB60" si="21">_xlfn.QUARTILE.INC(W4:W48,3)</f>
        <v>0.99705448550158149</v>
      </c>
      <c r="X60" s="8">
        <f t="shared" si="21"/>
        <v>68</v>
      </c>
      <c r="Y60" s="8">
        <f t="shared" si="21"/>
        <v>0.98351947772006676</v>
      </c>
      <c r="Z60" s="8">
        <f t="shared" si="21"/>
        <v>0.99858955524539428</v>
      </c>
      <c r="AA60" s="8">
        <f t="shared" si="21"/>
        <v>2</v>
      </c>
      <c r="AB60" s="8">
        <f t="shared" si="21"/>
        <v>0.92315084647740753</v>
      </c>
      <c r="AD60">
        <f t="shared" si="20"/>
        <v>3</v>
      </c>
    </row>
    <row r="61" spans="7:40" x14ac:dyDescent="0.25">
      <c r="O61" s="8" cm="1">
        <f t="array" ref="O61">SUMPRODUCT(($AE$3:$AE$48=$O$58)*($AD$3:$AD$48-$AD$26)) / O59</f>
        <v>8.845814285714285</v>
      </c>
      <c r="Q61" s="8" cm="1">
        <f t="array" ref="Q61">SUMPRODUCT(($AE$3:$AE$48=$O$58)*($AD$3:$AD$48-$AD$26)) / Q59</f>
        <v>4.4229071428571425</v>
      </c>
      <c r="S61" s="8" cm="1">
        <f t="array" ref="S61">SUMPRODUCT(($AE$3:$AE$48=$O$58)*($AD$3:$AD$48-$AD$26)) / S59</f>
        <v>8.845814285714285</v>
      </c>
      <c r="AD61">
        <f t="shared" si="20"/>
        <v>2</v>
      </c>
    </row>
    <row r="62" spans="7:40" x14ac:dyDescent="0.25">
      <c r="T62" s="55" t="s">
        <v>75</v>
      </c>
      <c r="U62" s="8">
        <f>_xlfn.PERCENTILE.INC(U4:U48, 1/3)</f>
        <v>0.71563454565366968</v>
      </c>
      <c r="W62" s="8">
        <f t="shared" ref="W62:AB62" si="22">_xlfn.PERCENTILE.INC(W4:W48, 1/3)</f>
        <v>0.95648865801518945</v>
      </c>
      <c r="X62" s="8">
        <f t="shared" si="22"/>
        <v>68</v>
      </c>
      <c r="Y62" s="8">
        <f t="shared" si="22"/>
        <v>0.91128405081131436</v>
      </c>
      <c r="Z62" s="8">
        <f t="shared" si="22"/>
        <v>0.93287802012207888</v>
      </c>
      <c r="AA62" s="8">
        <f t="shared" si="22"/>
        <v>2</v>
      </c>
      <c r="AB62" s="8">
        <f t="shared" si="22"/>
        <v>0.60563727767307962</v>
      </c>
      <c r="AD62">
        <f t="shared" si="20"/>
        <v>2</v>
      </c>
    </row>
    <row r="63" spans="7:40" x14ac:dyDescent="0.25">
      <c r="T63" s="55" t="s">
        <v>76</v>
      </c>
      <c r="U63" s="8">
        <f>_xlfn.PERCENTILE.INC(U4:U48, 2/3)</f>
        <v>0.91488220231845563</v>
      </c>
      <c r="W63" s="8">
        <f t="shared" ref="W63:AB63" si="23">_xlfn.PERCENTILE.INC(W4:W48, 2/3)</f>
        <v>0.99685915695390293</v>
      </c>
      <c r="X63" s="8">
        <f t="shared" si="23"/>
        <v>68</v>
      </c>
      <c r="Y63" s="8">
        <f t="shared" si="23"/>
        <v>0.97341194558462119</v>
      </c>
      <c r="Z63" s="8">
        <f t="shared" si="23"/>
        <v>0.99539335652000449</v>
      </c>
      <c r="AA63" s="8">
        <f t="shared" si="23"/>
        <v>2</v>
      </c>
      <c r="AB63" s="8">
        <f t="shared" si="23"/>
        <v>0.87710963904224826</v>
      </c>
      <c r="AD63">
        <f t="shared" si="20"/>
        <v>3</v>
      </c>
    </row>
    <row r="64" spans="7:40" x14ac:dyDescent="0.25">
      <c r="AD64">
        <f t="shared" si="20"/>
        <v>1</v>
      </c>
    </row>
    <row r="65" spans="1:41" x14ac:dyDescent="0.25">
      <c r="AD65">
        <f t="shared" si="20"/>
        <v>1</v>
      </c>
    </row>
    <row r="66" spans="1:41" s="8" customFormat="1" x14ac:dyDescent="0.25">
      <c r="A66"/>
      <c r="B66"/>
      <c r="C66"/>
      <c r="D66"/>
      <c r="E66"/>
      <c r="F66"/>
      <c r="G66"/>
      <c r="H66"/>
      <c r="I66"/>
      <c r="J66"/>
      <c r="L66"/>
      <c r="U66" s="59" t="s">
        <v>77</v>
      </c>
      <c r="V66" s="8">
        <f>COUNTIF($V$4:$V$48,"Group 1")</f>
        <v>15</v>
      </c>
      <c r="AA66" s="59" t="s">
        <v>77</v>
      </c>
      <c r="AB66" s="59" t="s">
        <v>77</v>
      </c>
      <c r="AC66" s="8">
        <f>COUNTIF($AC$4:$AC$48,"Group 1")</f>
        <v>16</v>
      </c>
      <c r="AD66">
        <f t="shared" si="20"/>
        <v>1</v>
      </c>
      <c r="AK66"/>
      <c r="AM66"/>
      <c r="AN66"/>
      <c r="AO66"/>
    </row>
    <row r="67" spans="1:41" s="8" customFormat="1" x14ac:dyDescent="0.25">
      <c r="A67"/>
      <c r="B67"/>
      <c r="C67"/>
      <c r="D67"/>
      <c r="E67"/>
      <c r="F67"/>
      <c r="G67"/>
      <c r="H67"/>
      <c r="I67"/>
      <c r="J67"/>
      <c r="L67"/>
      <c r="U67" s="59" t="s">
        <v>78</v>
      </c>
      <c r="V67" s="8">
        <f>COUNTIF($V$4:$V$48,"Group 2")</f>
        <v>15</v>
      </c>
      <c r="AA67" s="59" t="s">
        <v>78</v>
      </c>
      <c r="AB67" s="59" t="s">
        <v>78</v>
      </c>
      <c r="AC67" s="8">
        <f>COUNTIF($AC$4:$AC$48,"Group 2")</f>
        <v>14</v>
      </c>
      <c r="AD67">
        <f t="shared" si="20"/>
        <v>2</v>
      </c>
      <c r="AK67"/>
      <c r="AM67"/>
      <c r="AN67"/>
      <c r="AO67"/>
    </row>
    <row r="68" spans="1:41" s="8" customFormat="1" x14ac:dyDescent="0.25">
      <c r="A68"/>
      <c r="B68"/>
      <c r="C68"/>
      <c r="D68"/>
      <c r="E68"/>
      <c r="F68"/>
      <c r="G68"/>
      <c r="H68"/>
      <c r="I68"/>
      <c r="J68"/>
      <c r="L68"/>
      <c r="U68" s="59" t="s">
        <v>79</v>
      </c>
      <c r="V68" s="8">
        <f>COUNTIF($V$4:$V$48,"Group 3")</f>
        <v>15</v>
      </c>
      <c r="AA68" s="59" t="s">
        <v>79</v>
      </c>
      <c r="AB68" s="59" t="s">
        <v>79</v>
      </c>
      <c r="AC68" s="8">
        <f>COUNTIF($AC$4:$AC$48,"Group 3")</f>
        <v>15</v>
      </c>
      <c r="AD68">
        <f t="shared" si="20"/>
        <v>1</v>
      </c>
      <c r="AK68"/>
      <c r="AM68"/>
      <c r="AN68"/>
      <c r="AO68"/>
    </row>
    <row r="69" spans="1:41" s="8" customFormat="1" x14ac:dyDescent="0.25">
      <c r="A69"/>
      <c r="B69"/>
      <c r="C69"/>
      <c r="D69"/>
      <c r="E69"/>
      <c r="F69"/>
      <c r="G69"/>
      <c r="H69"/>
      <c r="I69"/>
      <c r="J69"/>
      <c r="L69"/>
      <c r="AD69">
        <f t="shared" si="20"/>
        <v>3</v>
      </c>
      <c r="AK69"/>
      <c r="AM69"/>
      <c r="AN69"/>
      <c r="AO69"/>
    </row>
    <row r="70" spans="1:41" s="8" customFormat="1" x14ac:dyDescent="0.25">
      <c r="A70"/>
      <c r="B70"/>
      <c r="C70"/>
      <c r="D70"/>
      <c r="E70"/>
      <c r="F70"/>
      <c r="G70"/>
      <c r="H70"/>
      <c r="I70"/>
      <c r="J70"/>
      <c r="L70"/>
      <c r="AD70">
        <f t="shared" si="20"/>
        <v>2</v>
      </c>
      <c r="AK70"/>
      <c r="AM70"/>
      <c r="AN70"/>
      <c r="AO70"/>
    </row>
    <row r="71" spans="1:41" s="8" customFormat="1" x14ac:dyDescent="0.25">
      <c r="A71"/>
      <c r="B71"/>
      <c r="C71"/>
      <c r="D71"/>
      <c r="E71"/>
      <c r="F71"/>
      <c r="G71"/>
      <c r="H71"/>
      <c r="I71"/>
      <c r="J71"/>
      <c r="L71"/>
      <c r="AD71">
        <f t="shared" si="20"/>
        <v>2</v>
      </c>
      <c r="AK71"/>
      <c r="AM71"/>
      <c r="AN71"/>
      <c r="AO71"/>
    </row>
    <row r="72" spans="1:41" s="8" customFormat="1" x14ac:dyDescent="0.25">
      <c r="A72"/>
      <c r="B72"/>
      <c r="C72"/>
      <c r="D72"/>
      <c r="E72"/>
      <c r="F72"/>
      <c r="G72"/>
      <c r="H72"/>
      <c r="I72"/>
      <c r="J72"/>
      <c r="L72"/>
      <c r="AD72">
        <f t="shared" si="20"/>
        <v>2</v>
      </c>
      <c r="AK72"/>
      <c r="AM72"/>
      <c r="AN72"/>
      <c r="AO72"/>
    </row>
    <row r="73" spans="1:41" s="8" customFormat="1" x14ac:dyDescent="0.25">
      <c r="A73"/>
      <c r="B73"/>
      <c r="C73"/>
      <c r="D73"/>
      <c r="E73"/>
      <c r="F73"/>
      <c r="G73"/>
      <c r="H73"/>
      <c r="I73"/>
      <c r="J73"/>
      <c r="L73"/>
      <c r="AD73">
        <f t="shared" si="20"/>
        <v>1</v>
      </c>
      <c r="AK73"/>
      <c r="AM73"/>
      <c r="AN73"/>
      <c r="AO73"/>
    </row>
    <row r="74" spans="1:41" s="8" customFormat="1" x14ac:dyDescent="0.25">
      <c r="A74"/>
      <c r="B74"/>
      <c r="C74"/>
      <c r="D74"/>
      <c r="E74"/>
      <c r="F74"/>
      <c r="G74"/>
      <c r="H74"/>
      <c r="I74"/>
      <c r="J74"/>
      <c r="L74"/>
      <c r="AD74">
        <f t="shared" si="20"/>
        <v>3</v>
      </c>
      <c r="AK74"/>
      <c r="AM74"/>
      <c r="AN74"/>
      <c r="AO74"/>
    </row>
    <row r="75" spans="1:41" s="8" customFormat="1" x14ac:dyDescent="0.25">
      <c r="A75"/>
      <c r="B75"/>
      <c r="C75"/>
      <c r="D75"/>
      <c r="E75"/>
      <c r="F75"/>
      <c r="G75"/>
      <c r="H75"/>
      <c r="I75"/>
      <c r="J75"/>
      <c r="L75"/>
      <c r="AD75">
        <f t="shared" si="20"/>
        <v>2</v>
      </c>
      <c r="AK75"/>
      <c r="AM75"/>
      <c r="AN75"/>
      <c r="AO75"/>
    </row>
    <row r="76" spans="1:41" s="8" customFormat="1" x14ac:dyDescent="0.25">
      <c r="A76"/>
      <c r="B76"/>
      <c r="C76"/>
      <c r="D76"/>
      <c r="E76"/>
      <c r="F76"/>
      <c r="G76"/>
      <c r="H76"/>
      <c r="I76"/>
      <c r="J76"/>
      <c r="L76"/>
      <c r="AD76">
        <f t="shared" si="20"/>
        <v>2</v>
      </c>
      <c r="AK76"/>
      <c r="AM76"/>
      <c r="AN76"/>
      <c r="AO76"/>
    </row>
    <row r="77" spans="1:41" s="8" customFormat="1" x14ac:dyDescent="0.25">
      <c r="A77"/>
      <c r="B77"/>
      <c r="C77"/>
      <c r="D77"/>
      <c r="E77"/>
      <c r="F77"/>
      <c r="G77"/>
      <c r="H77"/>
      <c r="I77"/>
      <c r="J77"/>
      <c r="L77"/>
      <c r="AD77">
        <f t="shared" si="20"/>
        <v>2</v>
      </c>
      <c r="AK77"/>
      <c r="AM77"/>
      <c r="AN77"/>
      <c r="AO77"/>
    </row>
    <row r="78" spans="1:41" s="8" customFormat="1" x14ac:dyDescent="0.25">
      <c r="A78"/>
      <c r="B78"/>
      <c r="C78"/>
      <c r="D78"/>
      <c r="E78"/>
      <c r="F78"/>
      <c r="G78"/>
      <c r="H78"/>
      <c r="I78"/>
      <c r="J78"/>
      <c r="L78"/>
      <c r="AD78">
        <f t="shared" si="20"/>
        <v>1</v>
      </c>
      <c r="AK78"/>
      <c r="AM78"/>
      <c r="AN78"/>
      <c r="AO78"/>
    </row>
    <row r="79" spans="1:41" s="8" customFormat="1" x14ac:dyDescent="0.25">
      <c r="A79"/>
      <c r="B79"/>
      <c r="C79"/>
      <c r="D79"/>
      <c r="E79"/>
      <c r="F79"/>
      <c r="G79"/>
      <c r="H79"/>
      <c r="I79"/>
      <c r="J79"/>
      <c r="L79"/>
      <c r="AD79">
        <f t="shared" si="20"/>
        <v>2</v>
      </c>
      <c r="AK79"/>
      <c r="AM79"/>
      <c r="AN79"/>
      <c r="AO79"/>
    </row>
    <row r="80" spans="1:41" s="8" customFormat="1" x14ac:dyDescent="0.25">
      <c r="A80"/>
      <c r="B80"/>
      <c r="C80"/>
      <c r="D80"/>
      <c r="E80"/>
      <c r="F80"/>
      <c r="G80"/>
      <c r="H80"/>
      <c r="I80"/>
      <c r="J80"/>
      <c r="L80"/>
      <c r="AD80">
        <f t="shared" si="20"/>
        <v>1</v>
      </c>
      <c r="AK80"/>
      <c r="AM80"/>
      <c r="AN80"/>
      <c r="AO80"/>
    </row>
    <row r="81" spans="1:41" s="8" customFormat="1" x14ac:dyDescent="0.25">
      <c r="A81"/>
      <c r="B81"/>
      <c r="C81"/>
      <c r="D81"/>
      <c r="E81"/>
      <c r="F81"/>
      <c r="G81"/>
      <c r="H81"/>
      <c r="I81"/>
      <c r="J81"/>
      <c r="L81"/>
      <c r="AD81">
        <f t="shared" si="20"/>
        <v>2</v>
      </c>
      <c r="AK81"/>
      <c r="AM81"/>
      <c r="AN81"/>
      <c r="AO81"/>
    </row>
    <row r="82" spans="1:41" s="8" customFormat="1" x14ac:dyDescent="0.25">
      <c r="A82"/>
      <c r="B82"/>
      <c r="C82"/>
      <c r="D82"/>
      <c r="E82"/>
      <c r="F82"/>
      <c r="G82"/>
      <c r="H82"/>
      <c r="I82"/>
      <c r="J82"/>
      <c r="L82"/>
      <c r="AD82">
        <f t="shared" si="20"/>
        <v>3</v>
      </c>
      <c r="AK82"/>
      <c r="AM82"/>
      <c r="AN82"/>
      <c r="AO82"/>
    </row>
    <row r="83" spans="1:41" s="8" customFormat="1" x14ac:dyDescent="0.25">
      <c r="A83"/>
      <c r="B83"/>
      <c r="C83"/>
      <c r="D83"/>
      <c r="E83"/>
      <c r="F83"/>
      <c r="G83"/>
      <c r="H83"/>
      <c r="I83"/>
      <c r="J83"/>
      <c r="L83"/>
      <c r="AD83">
        <f t="shared" si="20"/>
        <v>1</v>
      </c>
      <c r="AK83"/>
      <c r="AM83"/>
      <c r="AN83"/>
      <c r="AO83"/>
    </row>
    <row r="84" spans="1:41" s="8" customFormat="1" x14ac:dyDescent="0.25">
      <c r="A84"/>
      <c r="B84"/>
      <c r="C84"/>
      <c r="D84"/>
      <c r="E84"/>
      <c r="F84"/>
      <c r="G84"/>
      <c r="H84"/>
      <c r="I84"/>
      <c r="J84"/>
      <c r="L84"/>
      <c r="AD84">
        <f t="shared" si="20"/>
        <v>1</v>
      </c>
      <c r="AK84"/>
      <c r="AM84"/>
      <c r="AN84"/>
      <c r="AO84"/>
    </row>
    <row r="85" spans="1:41" s="8" customFormat="1" x14ac:dyDescent="0.25">
      <c r="A85"/>
      <c r="B85"/>
      <c r="C85"/>
      <c r="D85"/>
      <c r="E85"/>
      <c r="F85"/>
      <c r="G85"/>
      <c r="H85"/>
      <c r="I85"/>
      <c r="J85"/>
      <c r="L85"/>
      <c r="AD85">
        <f t="shared" si="20"/>
        <v>3</v>
      </c>
      <c r="AK85"/>
      <c r="AM85"/>
      <c r="AN85"/>
      <c r="AO85"/>
    </row>
    <row r="86" spans="1:41" s="8" customFormat="1" x14ac:dyDescent="0.25">
      <c r="A86"/>
      <c r="B86"/>
      <c r="C86"/>
      <c r="D86"/>
      <c r="E86"/>
      <c r="F86"/>
      <c r="G86"/>
      <c r="H86"/>
      <c r="I86"/>
      <c r="J86"/>
      <c r="L86"/>
      <c r="AD86">
        <f t="shared" si="20"/>
        <v>2</v>
      </c>
      <c r="AK86"/>
      <c r="AM86"/>
      <c r="AN86"/>
      <c r="AO86"/>
    </row>
    <row r="87" spans="1:41" s="8" customFormat="1" x14ac:dyDescent="0.25">
      <c r="A87"/>
      <c r="B87"/>
      <c r="C87"/>
      <c r="D87"/>
      <c r="E87"/>
      <c r="F87"/>
      <c r="G87"/>
      <c r="H87"/>
      <c r="I87"/>
      <c r="J87"/>
      <c r="L87"/>
      <c r="AD87">
        <f t="shared" si="20"/>
        <v>2</v>
      </c>
      <c r="AK87"/>
      <c r="AM87"/>
      <c r="AN87"/>
      <c r="AO87"/>
    </row>
    <row r="88" spans="1:41" s="8" customFormat="1" x14ac:dyDescent="0.25">
      <c r="A88"/>
      <c r="B88"/>
      <c r="C88"/>
      <c r="D88"/>
      <c r="E88"/>
      <c r="F88"/>
      <c r="G88"/>
      <c r="H88"/>
      <c r="I88"/>
      <c r="J88"/>
      <c r="L88"/>
      <c r="AD88">
        <f t="shared" si="20"/>
        <v>2</v>
      </c>
      <c r="AK88"/>
      <c r="AM88"/>
      <c r="AN88"/>
      <c r="AO88"/>
    </row>
    <row r="89" spans="1:41" s="8" customFormat="1" x14ac:dyDescent="0.25">
      <c r="A89"/>
      <c r="B89"/>
      <c r="C89"/>
      <c r="D89"/>
      <c r="E89"/>
      <c r="F89"/>
      <c r="G89"/>
      <c r="H89"/>
      <c r="I89"/>
      <c r="J89"/>
      <c r="L89"/>
      <c r="AD89">
        <f t="shared" si="20"/>
        <v>2</v>
      </c>
      <c r="AK89"/>
      <c r="AM89"/>
      <c r="AN89"/>
      <c r="AO89"/>
    </row>
    <row r="90" spans="1:41" s="8" customFormat="1" x14ac:dyDescent="0.25">
      <c r="A90"/>
      <c r="B90"/>
      <c r="C90"/>
      <c r="D90"/>
      <c r="E90"/>
      <c r="F90"/>
      <c r="G90"/>
      <c r="H90"/>
      <c r="I90"/>
      <c r="J90"/>
      <c r="L90"/>
      <c r="AD90">
        <f t="shared" si="20"/>
        <v>1</v>
      </c>
      <c r="AK90"/>
      <c r="AM90"/>
      <c r="AN90"/>
      <c r="AO90"/>
    </row>
    <row r="91" spans="1:41" s="8" customFormat="1" x14ac:dyDescent="0.25">
      <c r="A91"/>
      <c r="B91"/>
      <c r="C91"/>
      <c r="D91"/>
      <c r="E91"/>
      <c r="F91"/>
      <c r="G91"/>
      <c r="H91"/>
      <c r="I91"/>
      <c r="J91"/>
      <c r="L91"/>
      <c r="AD91">
        <f t="shared" si="20"/>
        <v>2</v>
      </c>
      <c r="AK91"/>
      <c r="AM91"/>
      <c r="AN91"/>
      <c r="AO91"/>
    </row>
    <row r="92" spans="1:41" s="8" customFormat="1" x14ac:dyDescent="0.25">
      <c r="A92"/>
      <c r="B92"/>
      <c r="C92"/>
      <c r="D92"/>
      <c r="E92"/>
      <c r="F92"/>
      <c r="G92"/>
      <c r="H92"/>
      <c r="I92"/>
      <c r="J92"/>
      <c r="L92"/>
      <c r="AD92">
        <f t="shared" si="20"/>
        <v>1</v>
      </c>
      <c r="AK92"/>
      <c r="AM92"/>
      <c r="AN92"/>
      <c r="AO92"/>
    </row>
    <row r="93" spans="1:41" s="8" customFormat="1" x14ac:dyDescent="0.25">
      <c r="A93"/>
      <c r="B93"/>
      <c r="C93"/>
      <c r="D93"/>
      <c r="E93"/>
      <c r="F93"/>
      <c r="G93"/>
      <c r="H93"/>
      <c r="I93"/>
      <c r="J93"/>
      <c r="L93"/>
      <c r="AD93">
        <f t="shared" si="20"/>
        <v>2</v>
      </c>
      <c r="AK93"/>
      <c r="AM93"/>
      <c r="AN93"/>
      <c r="AO93"/>
    </row>
    <row r="94" spans="1:41" s="8" customFormat="1" x14ac:dyDescent="0.25">
      <c r="A94"/>
      <c r="B94"/>
      <c r="C94"/>
      <c r="D94"/>
      <c r="E94"/>
      <c r="F94"/>
      <c r="G94"/>
      <c r="H94"/>
      <c r="I94"/>
      <c r="J94"/>
      <c r="L94"/>
      <c r="AD94">
        <f t="shared" si="20"/>
        <v>1</v>
      </c>
      <c r="AK94"/>
      <c r="AM94"/>
      <c r="AN94"/>
      <c r="AO94"/>
    </row>
    <row r="95" spans="1:41" s="8" customFormat="1" x14ac:dyDescent="0.25">
      <c r="A95"/>
      <c r="B95"/>
      <c r="C95"/>
      <c r="D95"/>
      <c r="E95"/>
      <c r="F95"/>
      <c r="G95"/>
      <c r="H95"/>
      <c r="I95"/>
      <c r="J95"/>
      <c r="L95"/>
      <c r="AD95">
        <f t="shared" si="20"/>
        <v>2</v>
      </c>
      <c r="AK95"/>
      <c r="AM95"/>
      <c r="AN95"/>
      <c r="AO95"/>
    </row>
    <row r="96" spans="1:41" s="8" customFormat="1" x14ac:dyDescent="0.25">
      <c r="A96"/>
      <c r="B96"/>
      <c r="C96"/>
      <c r="D96"/>
      <c r="E96"/>
      <c r="F96"/>
      <c r="G96"/>
      <c r="H96"/>
      <c r="I96"/>
      <c r="J96"/>
      <c r="L96"/>
      <c r="AD96">
        <f t="shared" si="20"/>
        <v>2</v>
      </c>
      <c r="AK96"/>
      <c r="AM96"/>
      <c r="AN96"/>
      <c r="AO96"/>
    </row>
    <row r="97" spans="1:41" s="8" customFormat="1" x14ac:dyDescent="0.25">
      <c r="A97"/>
      <c r="B97"/>
      <c r="C97"/>
      <c r="D97"/>
      <c r="E97"/>
      <c r="F97"/>
      <c r="G97"/>
      <c r="H97"/>
      <c r="I97"/>
      <c r="J97"/>
      <c r="L97"/>
      <c r="AD97">
        <f t="shared" si="20"/>
        <v>3</v>
      </c>
      <c r="AK97"/>
      <c r="AM97"/>
      <c r="AN97"/>
      <c r="AO97"/>
    </row>
    <row r="98" spans="1:41" s="8" customFormat="1" x14ac:dyDescent="0.25">
      <c r="A98"/>
      <c r="B98"/>
      <c r="C98"/>
      <c r="D98"/>
      <c r="E98"/>
      <c r="F98"/>
      <c r="G98"/>
      <c r="H98"/>
      <c r="I98"/>
      <c r="J98"/>
      <c r="L98"/>
      <c r="AD98">
        <f t="shared" si="20"/>
        <v>2</v>
      </c>
      <c r="AK98"/>
      <c r="AM98"/>
      <c r="AN98"/>
      <c r="AO98"/>
    </row>
    <row r="99" spans="1:41" s="8" customFormat="1" x14ac:dyDescent="0.25">
      <c r="A99"/>
      <c r="B99"/>
      <c r="C99"/>
      <c r="D99"/>
      <c r="E99"/>
      <c r="F99"/>
      <c r="G99"/>
      <c r="H99"/>
      <c r="I99"/>
      <c r="J99"/>
      <c r="L99"/>
      <c r="AD99">
        <f t="shared" si="20"/>
        <v>2</v>
      </c>
      <c r="AK99"/>
      <c r="AM99"/>
      <c r="AN99"/>
      <c r="AO99"/>
    </row>
    <row r="100" spans="1:41" s="8" customFormat="1" x14ac:dyDescent="0.25">
      <c r="A100"/>
      <c r="B100"/>
      <c r="C100"/>
      <c r="D100"/>
      <c r="E100"/>
      <c r="F100"/>
      <c r="G100"/>
      <c r="H100"/>
      <c r="I100"/>
      <c r="J100"/>
      <c r="L100"/>
      <c r="AD100">
        <f t="shared" si="20"/>
        <v>3</v>
      </c>
      <c r="AK100"/>
      <c r="AM100"/>
      <c r="AN100"/>
      <c r="AO100"/>
    </row>
    <row r="101" spans="1:41" s="8" customFormat="1" x14ac:dyDescent="0.25">
      <c r="A101"/>
      <c r="B101"/>
      <c r="C101"/>
      <c r="D101"/>
      <c r="E101"/>
      <c r="F101"/>
      <c r="G101"/>
      <c r="H101"/>
      <c r="I101"/>
      <c r="J101"/>
      <c r="L101"/>
      <c r="AD101">
        <f t="shared" si="20"/>
        <v>2</v>
      </c>
      <c r="AK101"/>
      <c r="AM101"/>
      <c r="AN101"/>
      <c r="AO101"/>
    </row>
    <row r="102" spans="1:41" s="8" customFormat="1" x14ac:dyDescent="0.25">
      <c r="A102"/>
      <c r="B102"/>
      <c r="C102"/>
      <c r="D102"/>
      <c r="E102"/>
      <c r="F102"/>
      <c r="G102"/>
      <c r="H102"/>
      <c r="I102"/>
      <c r="J102"/>
      <c r="L102"/>
      <c r="AD102">
        <f t="shared" si="20"/>
        <v>3</v>
      </c>
      <c r="AK102"/>
      <c r="AM102"/>
      <c r="AN102"/>
      <c r="AO102"/>
    </row>
  </sheetData>
  <mergeCells count="4">
    <mergeCell ref="K1:AD1"/>
    <mergeCell ref="AE1:AK1"/>
    <mergeCell ref="AL1:AM1"/>
    <mergeCell ref="AN1:AO1"/>
  </mergeCell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7253-3917-4175-8D4C-9A5774537634}">
  <dimension ref="A1:Y102"/>
  <sheetViews>
    <sheetView zoomScale="124" zoomScaleNormal="124" workbookViewId="0">
      <selection activeCell="N18" sqref="N18"/>
    </sheetView>
  </sheetViews>
  <sheetFormatPr baseColWidth="10" defaultColWidth="8.85546875" defaultRowHeight="15" x14ac:dyDescent="0.25"/>
  <cols>
    <col min="1" max="1" width="18.42578125" customWidth="1"/>
    <col min="2" max="2" width="18" customWidth="1"/>
    <col min="3" max="3" width="42.28515625" customWidth="1"/>
    <col min="7" max="7" width="7.140625" style="8" bestFit="1" customWidth="1"/>
    <col min="9" max="9" width="8.85546875" style="8"/>
    <col min="10" max="10" width="10.28515625" style="8" customWidth="1"/>
    <col min="11" max="11" width="8.85546875" style="8" bestFit="1" customWidth="1"/>
    <col min="12" max="12" width="8.140625" style="8" customWidth="1"/>
    <col min="13" max="13" width="16.28515625" style="8" bestFit="1" customWidth="1"/>
    <col min="14" max="14" width="23.140625" bestFit="1" customWidth="1"/>
    <col min="15" max="15" width="9.42578125" style="8" bestFit="1" customWidth="1"/>
    <col min="16" max="16" width="31.42578125" style="8" bestFit="1" customWidth="1"/>
    <col min="17" max="17" width="17.28515625" style="8" bestFit="1" customWidth="1"/>
    <col min="18" max="18" width="8.28515625" style="8" bestFit="1" customWidth="1"/>
    <col min="19" max="19" width="20.7109375" style="8" bestFit="1" customWidth="1"/>
    <col min="20" max="20" width="17.42578125" style="8" bestFit="1" customWidth="1"/>
    <col min="21" max="21" width="20.7109375" bestFit="1" customWidth="1"/>
    <col min="22" max="22" width="7.28515625" style="8" bestFit="1" customWidth="1"/>
    <col min="23" max="23" width="20.7109375" bestFit="1" customWidth="1"/>
    <col min="24" max="24" width="22.42578125" bestFit="1" customWidth="1"/>
    <col min="25" max="25" width="8.42578125" bestFit="1" customWidth="1"/>
  </cols>
  <sheetData>
    <row r="1" spans="1:25" x14ac:dyDescent="0.25">
      <c r="G1" s="90" t="s">
        <v>0</v>
      </c>
      <c r="H1" s="90"/>
      <c r="I1" s="90"/>
      <c r="J1" s="90"/>
      <c r="K1" s="90"/>
      <c r="L1" s="90"/>
      <c r="M1" s="90"/>
      <c r="N1" s="90"/>
      <c r="O1" s="91" t="s">
        <v>1</v>
      </c>
      <c r="P1" s="91"/>
      <c r="Q1" s="91"/>
      <c r="R1" s="91"/>
      <c r="S1" s="91"/>
      <c r="T1" s="91"/>
      <c r="U1" s="91"/>
      <c r="V1" s="92" t="s">
        <v>2</v>
      </c>
      <c r="W1" s="92"/>
      <c r="X1" s="93"/>
      <c r="Y1" s="93"/>
    </row>
    <row r="2" spans="1:25" ht="15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25" t="s">
        <v>9</v>
      </c>
      <c r="H2" s="1" t="s">
        <v>10</v>
      </c>
      <c r="I2" s="25" t="s">
        <v>11</v>
      </c>
      <c r="J2" s="25" t="s">
        <v>13</v>
      </c>
      <c r="K2" s="25" t="s">
        <v>15</v>
      </c>
      <c r="L2" s="25" t="s">
        <v>17</v>
      </c>
      <c r="M2" s="25" t="s">
        <v>28</v>
      </c>
      <c r="N2" s="1" t="s">
        <v>29</v>
      </c>
      <c r="O2" s="25" t="s">
        <v>30</v>
      </c>
      <c r="P2" s="25" t="s">
        <v>31</v>
      </c>
      <c r="Q2" s="25" t="s">
        <v>32</v>
      </c>
      <c r="R2" s="25" t="s">
        <v>33</v>
      </c>
      <c r="S2" s="25" t="s">
        <v>34</v>
      </c>
      <c r="T2" s="25" t="s">
        <v>35</v>
      </c>
      <c r="U2" s="1" t="s">
        <v>36</v>
      </c>
      <c r="V2" s="25" t="s">
        <v>37</v>
      </c>
      <c r="W2" s="1" t="s">
        <v>38</v>
      </c>
      <c r="X2" s="1" t="s">
        <v>39</v>
      </c>
      <c r="Y2" s="1" t="s">
        <v>40</v>
      </c>
    </row>
    <row r="3" spans="1:25" ht="15.75" x14ac:dyDescent="0.25">
      <c r="A3" s="81" t="s">
        <v>80</v>
      </c>
      <c r="B3" s="82"/>
      <c r="C3" s="82"/>
      <c r="D3" s="82">
        <v>6</v>
      </c>
      <c r="E3" s="82">
        <v>1</v>
      </c>
      <c r="F3" s="82">
        <v>1</v>
      </c>
      <c r="G3" s="83">
        <v>0</v>
      </c>
      <c r="H3" s="83">
        <v>0</v>
      </c>
      <c r="I3" s="83">
        <f>Tabla13[[#This Row],[ERL]]+Tabla13[[#This Row],[IRL]]</f>
        <v>0</v>
      </c>
      <c r="J3" s="83">
        <v>3</v>
      </c>
      <c r="K3" s="83">
        <f>Tabla13[[#This Row],[LoCode]]/Tabla13[[#This Row],[NoFunctions]]</f>
        <v>6</v>
      </c>
      <c r="L3" s="83">
        <v>0</v>
      </c>
      <c r="M3" s="83" cm="1">
        <f t="array" ref="M3">SUM(Tabla13[[#This Row],[CC]:[IDC]] - Tabla13[[#This Row],[IRC]])</f>
        <v>9</v>
      </c>
      <c r="N3" s="82" t="str">
        <f>IF(Tabla13[[#This Row],[Valor general]]&lt; $D$51, "Alto", IF(Tabla13[[#This Row],[Valor general]]&lt; $D$53, "Medio", "Bajo"))</f>
        <v>Medio</v>
      </c>
      <c r="O3" s="83">
        <f>1-((Tabla13[[#This Row],[TPFM]]-$K$52) / ($K$51-$K$52))</f>
        <v>0.875</v>
      </c>
      <c r="P3" s="83">
        <v>0.02</v>
      </c>
      <c r="Q3" s="83">
        <v>0.1</v>
      </c>
      <c r="R3" s="83">
        <f>SUM(Tabla13[[#This Row],[ITPFM]:[Comentarios2]])/3</f>
        <v>0.33166666666666667</v>
      </c>
      <c r="S3" s="83">
        <f>Tabla13[[#This Row],[CC]]/$S$49</f>
        <v>0.3</v>
      </c>
      <c r="T3" s="83">
        <f>(Tabla13[[#This Row],[ICLC]]+(1-Tabla13[[#This Row],[ICC]]))/2</f>
        <v>0.51583333333333337</v>
      </c>
      <c r="U3" s="82" t="str">
        <f>IF(Tabla13[[#This Row],[Valor general2]]&lt; $T$51, "Bajo", IF(Tabla13[[#This Row],[Valor general2]]&lt; $T$53, "Medio", "Alto"))</f>
        <v>Alto</v>
      </c>
      <c r="V3" s="83">
        <v>1</v>
      </c>
      <c r="W3" s="82" t="str">
        <f>IF(Tabla13[[#This Row],[INN]]&lt; $V$51, "Bajo", IF(Tabla13[[#This Row],[INN]]&lt; $V$53, "Medio", "Alto"))</f>
        <v>Alto</v>
      </c>
      <c r="X3" s="83">
        <f>Tabla13[[#This Row],[Valor general]]-Tabla13[[#This Row],[Valor general2]]-Tabla13[[#This Row],[INN]]</f>
        <v>7.4841666666666669</v>
      </c>
      <c r="Y3" s="82" t="str">
        <f>IF(Tabla13[[#This Row],[Valor general de PC]]&lt; $X$51, "Alto", IF(Tabla13[[#This Row],[Valor general de PC]]&lt; $X$53, "Medio", "Bajo"))</f>
        <v>Medio</v>
      </c>
    </row>
    <row r="4" spans="1:25" x14ac:dyDescent="0.25">
      <c r="A4" s="31">
        <v>2024256560</v>
      </c>
      <c r="B4" s="32" t="s">
        <v>42</v>
      </c>
      <c r="C4" s="32" t="s">
        <v>43</v>
      </c>
      <c r="D4" s="32">
        <v>5</v>
      </c>
      <c r="E4" s="32">
        <v>6</v>
      </c>
      <c r="F4" s="32">
        <v>1</v>
      </c>
      <c r="G4" s="33">
        <v>0</v>
      </c>
      <c r="H4" s="33">
        <v>0</v>
      </c>
      <c r="I4" s="33">
        <f>Tabla13[[#This Row],[ERL]]+Tabla13[[#This Row],[IRL]]</f>
        <v>0</v>
      </c>
      <c r="J4" s="33">
        <v>3</v>
      </c>
      <c r="K4" s="33">
        <f>Tabla13[[#This Row],[LoCode]]/Tabla13[[#This Row],[NoFunctions]]</f>
        <v>5</v>
      </c>
      <c r="L4" s="33">
        <v>0.2</v>
      </c>
      <c r="M4" s="33" cm="1">
        <f t="array" ref="M4">SUM(Tabla13[[#This Row],[CC]:[IDC]] - Tabla13[[#This Row],[IRC]])</f>
        <v>8.1999999999999993</v>
      </c>
      <c r="N4" s="32" t="str">
        <f>IF(Tabla13[[#This Row],[Valor general]]&lt; $D$51, "Alto", IF(Tabla13[[#This Row],[Valor general]]&lt; $D$53, "Medio", "Bajo"))</f>
        <v>Alto</v>
      </c>
      <c r="O4" s="33">
        <f>1-((Tabla13[[#This Row],[TPFM]]-$K$52) / ($K$51-$K$52))</f>
        <v>0.90625</v>
      </c>
      <c r="P4" s="33">
        <v>0.02</v>
      </c>
      <c r="Q4" s="33">
        <v>7.0000000000000007E-2</v>
      </c>
      <c r="R4" s="33">
        <f>SUM(Tabla13[[#This Row],[ITPFM]:[Comentarios2]])/3</f>
        <v>0.33208333333333334</v>
      </c>
      <c r="S4" s="33">
        <f>Tabla13[[#This Row],[CC]]/$S$49</f>
        <v>0.3</v>
      </c>
      <c r="T4" s="33">
        <f>(Tabla13[[#This Row],[ICLC]]+(1-Tabla13[[#This Row],[ICC]]))/2</f>
        <v>0.51604166666666662</v>
      </c>
      <c r="U4" s="32" t="str">
        <f>IF(Tabla13[[#This Row],[Valor general2]]&lt; $T$51, "Bajo", IF(Tabla13[[#This Row],[Valor general2]]&lt; $T$53, "Medio", "Alto"))</f>
        <v>Alto</v>
      </c>
      <c r="V4" s="33">
        <v>1</v>
      </c>
      <c r="W4" s="32" t="str">
        <f>IF(Tabla13[[#This Row],[INN]]&lt; $V$51, "Bajo", IF(Tabla13[[#This Row],[INN]]&lt; $V$53, "Medio", "Alto"))</f>
        <v>Alto</v>
      </c>
      <c r="X4" s="33">
        <f>Tabla13[[#This Row],[Valor general]]-Tabla13[[#This Row],[Valor general2]]-Tabla13[[#This Row],[INN]]</f>
        <v>6.683958333333333</v>
      </c>
      <c r="Y4" s="32" t="str">
        <f>IF(Tabla13[[#This Row],[Valor general de PC]]&lt; $X$51, "Alto", IF(Tabla13[[#This Row],[Valor general de PC]]&lt; $X$53, "Medio", "Bajo"))</f>
        <v>Alto</v>
      </c>
    </row>
    <row r="5" spans="1:25" x14ac:dyDescent="0.25">
      <c r="A5" s="2">
        <v>2016220461</v>
      </c>
      <c r="B5" t="s">
        <v>44</v>
      </c>
      <c r="C5" t="s">
        <v>45</v>
      </c>
      <c r="D5">
        <v>5</v>
      </c>
      <c r="E5">
        <v>0</v>
      </c>
      <c r="F5">
        <v>1</v>
      </c>
      <c r="G5" s="8">
        <v>0</v>
      </c>
      <c r="H5" s="8">
        <f>0/Tabla13[[#This Row],[LoCode]]</f>
        <v>0</v>
      </c>
      <c r="I5" s="8">
        <f>Tabla13[[#This Row],[ERL]]+Tabla13[[#This Row],[IRL]]</f>
        <v>0</v>
      </c>
      <c r="J5" s="8">
        <v>3</v>
      </c>
      <c r="K5" s="8">
        <f>Tabla13[[#This Row],[LoCode]]/Tabla13[[#This Row],[NoFunctions]]</f>
        <v>5</v>
      </c>
      <c r="L5" s="8">
        <v>0</v>
      </c>
      <c r="M5" s="8" cm="1">
        <f t="array" ref="M5">SUM(Tabla13[[#This Row],[CC]:[IDC]] - Tabla13[[#This Row],[IRC]])</f>
        <v>8</v>
      </c>
      <c r="N5" t="str">
        <f>IF(Tabla13[[#This Row],[Valor general]]&lt; $D$51, "Alto", IF(Tabla13[[#This Row],[Valor general]]&lt; $D$53, "Medio", "Bajo"))</f>
        <v>Alto</v>
      </c>
      <c r="O5" s="8">
        <f>1-((Tabla13[[#This Row],[TPFM]]-$K$52) / ($K$51-$K$52))</f>
        <v>0.90625</v>
      </c>
      <c r="P5" s="8">
        <v>0.04</v>
      </c>
      <c r="Q5" s="8">
        <v>0</v>
      </c>
      <c r="R5" s="8">
        <f>SUM(Tabla13[[#This Row],[ITPFM]:[Comentarios2]])/3</f>
        <v>0.31541666666666668</v>
      </c>
      <c r="S5" s="8">
        <f>Tabla13[[#This Row],[CC]]/$S$49</f>
        <v>0.3</v>
      </c>
      <c r="T5" s="8">
        <f>(Tabla13[[#This Row],[ICLC]]+(1-Tabla13[[#This Row],[ICC]]))/2</f>
        <v>0.50770833333333332</v>
      </c>
      <c r="U5" t="str">
        <f>IF(Tabla13[[#This Row],[Valor general2]]&lt; $T$51, "Bajo", IF(Tabla13[[#This Row],[Valor general2]]&lt; $T$53, "Medio", "Alto"))</f>
        <v>Alto</v>
      </c>
      <c r="V5" s="8">
        <v>1</v>
      </c>
      <c r="W5" t="str">
        <f>IF(Tabla13[[#This Row],[INN]]&lt; $V$51, "Bajo", IF(Tabla13[[#This Row],[INN]]&lt; $V$53, "Medio", "Alto"))</f>
        <v>Alto</v>
      </c>
      <c r="X5" s="8">
        <f>Tabla13[[#This Row],[Valor general]]-Tabla13[[#This Row],[Valor general2]]-Tabla13[[#This Row],[INN]]</f>
        <v>6.4922916666666666</v>
      </c>
      <c r="Y5" t="str">
        <f>IF(Tabla13[[#This Row],[Valor general de PC]]&lt; $X$51, "Alto", IF(Tabla13[[#This Row],[Valor general de PC]]&lt; $X$53, "Medio", "Bajo"))</f>
        <v>Alto</v>
      </c>
    </row>
    <row r="6" spans="1:25" x14ac:dyDescent="0.25">
      <c r="A6" s="28">
        <v>2020184824</v>
      </c>
      <c r="B6" s="29" t="s">
        <v>42</v>
      </c>
      <c r="C6" s="29" t="s">
        <v>43</v>
      </c>
      <c r="D6" s="29">
        <v>2</v>
      </c>
      <c r="E6" s="29">
        <v>0</v>
      </c>
      <c r="F6" s="29">
        <v>1</v>
      </c>
      <c r="G6" s="30">
        <v>0</v>
      </c>
      <c r="H6" s="8">
        <f>0/Tabla13[[#This Row],[LoCode]]</f>
        <v>0</v>
      </c>
      <c r="I6" s="30">
        <f>Tabla13[[#This Row],[ERL]]+Tabla13[[#This Row],[IRL]]</f>
        <v>0</v>
      </c>
      <c r="J6" s="30">
        <v>1</v>
      </c>
      <c r="K6" s="30">
        <f>Tabla13[[#This Row],[LoCode]]/Tabla13[[#This Row],[NoFunctions]]</f>
        <v>2</v>
      </c>
      <c r="L6" s="30">
        <v>0</v>
      </c>
      <c r="M6" s="30" cm="1">
        <f t="array" ref="M6">SUM(Tabla13[[#This Row],[CC]:[IDC]] - Tabla13[[#This Row],[IRC]])</f>
        <v>3</v>
      </c>
      <c r="N6" s="29" t="str">
        <f>IF(Tabla13[[#This Row],[Valor general]]&lt; $D$51, "Alto", IF(Tabla13[[#This Row],[Valor general]]&lt; $D$53, "Medio", "Bajo"))</f>
        <v>Alto</v>
      </c>
      <c r="O6" s="30">
        <f>1-((Tabla13[[#This Row],[TPFM]]-$K$52) / ($K$51-$K$52))</f>
        <v>1</v>
      </c>
      <c r="P6" s="30">
        <v>0.02</v>
      </c>
      <c r="Q6" s="30">
        <v>0</v>
      </c>
      <c r="R6" s="30">
        <f>SUM(Tabla13[[#This Row],[ITPFM]:[Comentarios2]])/3</f>
        <v>0.34</v>
      </c>
      <c r="S6" s="30">
        <f>Tabla13[[#This Row],[CC]]/$S$49</f>
        <v>0.1</v>
      </c>
      <c r="T6" s="30">
        <f>(Tabla13[[#This Row],[ICLC]]+(1-Tabla13[[#This Row],[ICC]]))/2</f>
        <v>0.62</v>
      </c>
      <c r="U6" s="29" t="str">
        <f>IF(Tabla13[[#This Row],[Valor general2]]&lt; $T$51, "Bajo", IF(Tabla13[[#This Row],[Valor general2]]&lt; $T$53, "Medio", "Alto"))</f>
        <v>Alto</v>
      </c>
      <c r="V6" s="8">
        <v>1</v>
      </c>
      <c r="W6" s="29" t="str">
        <f>IF(Tabla13[[#This Row],[INN]]&lt; $V$51, "Bajo", IF(Tabla13[[#This Row],[INN]]&lt; $V$53, "Medio", "Alto"))</f>
        <v>Alto</v>
      </c>
      <c r="X6" s="30">
        <f>Tabla13[[#This Row],[Valor general]]-Tabla13[[#This Row],[Valor general2]]-Tabla13[[#This Row],[INN]]</f>
        <v>1.38</v>
      </c>
      <c r="Y6" s="29" t="str">
        <f>IF(Tabla13[[#This Row],[Valor general de PC]]&lt; $X$51, "Alto", IF(Tabla13[[#This Row],[Valor general de PC]]&lt; $X$53, "Medio", "Bajo"))</f>
        <v>Alto</v>
      </c>
    </row>
    <row r="7" spans="1:25" x14ac:dyDescent="0.25">
      <c r="A7" s="2">
        <v>2022000033</v>
      </c>
      <c r="B7" t="s">
        <v>46</v>
      </c>
      <c r="C7" t="s">
        <v>47</v>
      </c>
      <c r="D7">
        <v>8</v>
      </c>
      <c r="E7">
        <v>2</v>
      </c>
      <c r="F7">
        <v>1</v>
      </c>
      <c r="G7" s="8">
        <v>0</v>
      </c>
      <c r="H7" s="8">
        <f>0/Tabla13[[#This Row],[LoCode]]</f>
        <v>0</v>
      </c>
      <c r="I7" s="8">
        <f>Tabla13[[#This Row],[ERL]]+Tabla13[[#This Row],[IRL]]</f>
        <v>0</v>
      </c>
      <c r="J7" s="8">
        <v>4</v>
      </c>
      <c r="K7" s="8">
        <f>Tabla13[[#This Row],[LoCode]]/Tabla13[[#This Row],[NoFunctions]]</f>
        <v>8</v>
      </c>
      <c r="L7" s="8">
        <v>0.25</v>
      </c>
      <c r="M7" s="8" cm="1">
        <f t="array" ref="M7">SUM(Tabla13[[#This Row],[CC]:[IDC]] - Tabla13[[#This Row],[IRC]])</f>
        <v>12.25</v>
      </c>
      <c r="N7" t="str">
        <f>IF(Tabla13[[#This Row],[Valor general]]&lt; $D$51, "Alto", IF(Tabla13[[#This Row],[Valor general]]&lt; $D$53, "Medio", "Bajo"))</f>
        <v>Medio</v>
      </c>
      <c r="O7" s="8">
        <f>1-((Tabla13[[#This Row],[TPFM]]-$K$52) / ($K$51-$K$52))</f>
        <v>0.8125</v>
      </c>
      <c r="P7" s="8">
        <v>0.04</v>
      </c>
      <c r="Q7" s="8">
        <v>0</v>
      </c>
      <c r="R7" s="8">
        <f>SUM(Tabla13[[#This Row],[ITPFM]:[Comentarios2]])/3</f>
        <v>0.28416666666666668</v>
      </c>
      <c r="S7" s="8">
        <f>Tabla13[[#This Row],[CC]]/$S$49</f>
        <v>0.4</v>
      </c>
      <c r="T7" s="8">
        <f>(Tabla13[[#This Row],[ICLC]]+(1-Tabla13[[#This Row],[ICC]]))/2</f>
        <v>0.44208333333333333</v>
      </c>
      <c r="U7" t="str">
        <f>IF(Tabla13[[#This Row],[Valor general2]]&lt; $T$51, "Bajo", IF(Tabla13[[#This Row],[Valor general2]]&lt; $T$53, "Medio", "Alto"))</f>
        <v>Medio</v>
      </c>
      <c r="V7" s="8">
        <v>1</v>
      </c>
      <c r="W7" t="str">
        <f>IF(Tabla13[[#This Row],[INN]]&lt; $V$51, "Bajo", IF(Tabla13[[#This Row],[INN]]&lt; $V$53, "Medio", "Alto"))</f>
        <v>Alto</v>
      </c>
      <c r="X7" s="8">
        <f>Tabla13[[#This Row],[Valor general]]-Tabla13[[#This Row],[Valor general2]]-Tabla13[[#This Row],[INN]]</f>
        <v>10.807916666666667</v>
      </c>
      <c r="Y7" t="str">
        <f>IF(Tabla13[[#This Row],[Valor general de PC]]&lt; $X$51, "Alto", IF(Tabla13[[#This Row],[Valor general de PC]]&lt; $X$53, "Medio", "Bajo"))</f>
        <v>Medio</v>
      </c>
    </row>
    <row r="8" spans="1:25" x14ac:dyDescent="0.25">
      <c r="A8" s="2">
        <v>2022146515</v>
      </c>
      <c r="B8" t="s">
        <v>42</v>
      </c>
      <c r="D8">
        <v>7</v>
      </c>
      <c r="E8">
        <v>2</v>
      </c>
      <c r="F8">
        <v>1</v>
      </c>
      <c r="G8" s="8">
        <v>0</v>
      </c>
      <c r="H8" s="8">
        <f>0/Tabla13[[#This Row],[LoCode]]</f>
        <v>0</v>
      </c>
      <c r="I8" s="8">
        <f>Tabla13[[#This Row],[ERL]]+Tabla13[[#This Row],[IRL]]</f>
        <v>0</v>
      </c>
      <c r="J8" s="8">
        <v>3</v>
      </c>
      <c r="K8" s="8">
        <f>Tabla13[[#This Row],[LoCode]]/Tabla13[[#This Row],[NoFunctions]]</f>
        <v>7</v>
      </c>
      <c r="L8" s="8">
        <v>0</v>
      </c>
      <c r="M8" s="8" cm="1">
        <f t="array" ref="M8">SUM(Tabla13[[#This Row],[CC]:[IDC]] - Tabla13[[#This Row],[IRC]])</f>
        <v>10</v>
      </c>
      <c r="N8" t="str">
        <f>IF(Tabla13[[#This Row],[Valor general]]&lt; $D$51, "Alto", IF(Tabla13[[#This Row],[Valor general]]&lt; $D$53, "Medio", "Bajo"))</f>
        <v>Medio</v>
      </c>
      <c r="O8" s="8">
        <f>1-((Tabla13[[#This Row],[TPFM]]-$K$52) / ($K$51-$K$52))</f>
        <v>0.84375</v>
      </c>
      <c r="P8" s="8">
        <v>0.02</v>
      </c>
      <c r="Q8" s="8">
        <v>0.11</v>
      </c>
      <c r="R8" s="8">
        <f>SUM(Tabla13[[#This Row],[ITPFM]:[Comentarios2]])/3</f>
        <v>0.32458333333333333</v>
      </c>
      <c r="S8" s="8">
        <f>Tabla13[[#This Row],[CC]]/$S$49</f>
        <v>0.3</v>
      </c>
      <c r="T8" s="8">
        <f>(Tabla13[[#This Row],[ICLC]]+(1-Tabla13[[#This Row],[ICC]]))/2</f>
        <v>0.51229166666666659</v>
      </c>
      <c r="U8" t="str">
        <f>IF(Tabla13[[#This Row],[Valor general2]]&lt; $T$51, "Bajo", IF(Tabla13[[#This Row],[Valor general2]]&lt; $T$53, "Medio", "Alto"))</f>
        <v>Alto</v>
      </c>
      <c r="V8" s="8">
        <v>1</v>
      </c>
      <c r="W8" t="str">
        <f>IF(Tabla13[[#This Row],[INN]]&lt; $V$51, "Bajo", IF(Tabla13[[#This Row],[INN]]&lt; $V$53, "Medio", "Alto"))</f>
        <v>Alto</v>
      </c>
      <c r="X8" s="8">
        <f>Tabla13[[#This Row],[Valor general]]-Tabla13[[#This Row],[Valor general2]]-Tabla13[[#This Row],[INN]]</f>
        <v>8.4877083333333339</v>
      </c>
      <c r="Y8" t="str">
        <f>IF(Tabla13[[#This Row],[Valor general de PC]]&lt; $X$51, "Alto", IF(Tabla13[[#This Row],[Valor general de PC]]&lt; $X$53, "Medio", "Bajo"))</f>
        <v>Medio</v>
      </c>
    </row>
    <row r="9" spans="1:25" x14ac:dyDescent="0.25">
      <c r="A9" s="2">
        <v>2022163260</v>
      </c>
      <c r="B9" t="s">
        <v>42</v>
      </c>
      <c r="C9" t="s">
        <v>43</v>
      </c>
      <c r="D9">
        <v>5</v>
      </c>
      <c r="E9">
        <v>0</v>
      </c>
      <c r="F9">
        <v>1</v>
      </c>
      <c r="G9" s="8">
        <v>0</v>
      </c>
      <c r="H9" s="8">
        <f>0/Tabla13[[#This Row],[LoCode]]</f>
        <v>0</v>
      </c>
      <c r="I9" s="8">
        <f>Tabla13[[#This Row],[ERL]]+Tabla13[[#This Row],[IRL]]</f>
        <v>0</v>
      </c>
      <c r="J9" s="8">
        <v>3</v>
      </c>
      <c r="K9" s="8">
        <f>Tabla13[[#This Row],[LoCode]]/Tabla13[[#This Row],[NoFunctions]]</f>
        <v>5</v>
      </c>
      <c r="L9" s="8">
        <v>0</v>
      </c>
      <c r="M9" s="8" cm="1">
        <f t="array" ref="M9">SUM(Tabla13[[#This Row],[CC]:[IDC]] - Tabla13[[#This Row],[IRC]])</f>
        <v>8</v>
      </c>
      <c r="N9" t="str">
        <f>IF(Tabla13[[#This Row],[Valor general]]&lt; $D$51, "Alto", IF(Tabla13[[#This Row],[Valor general]]&lt; $D$53, "Medio", "Bajo"))</f>
        <v>Alto</v>
      </c>
      <c r="O9" s="8">
        <f>1-((Tabla13[[#This Row],[TPFM]]-$K$52) / ($K$51-$K$52))</f>
        <v>0.90625</v>
      </c>
      <c r="P9" s="8">
        <v>0.02</v>
      </c>
      <c r="Q9" s="8">
        <v>0.08</v>
      </c>
      <c r="R9" s="8">
        <f>SUM(Tabla13[[#This Row],[ITPFM]:[Comentarios2]])/3</f>
        <v>0.3354166666666667</v>
      </c>
      <c r="S9" s="8">
        <f>Tabla13[[#This Row],[CC]]/$S$49</f>
        <v>0.3</v>
      </c>
      <c r="T9" s="8">
        <f>(Tabla13[[#This Row],[ICLC]]+(1-Tabla13[[#This Row],[ICC]]))/2</f>
        <v>0.51770833333333333</v>
      </c>
      <c r="U9" t="str">
        <f>IF(Tabla13[[#This Row],[Valor general2]]&lt; $T$51, "Bajo", IF(Tabla13[[#This Row],[Valor general2]]&lt; $T$53, "Medio", "Alto"))</f>
        <v>Alto</v>
      </c>
      <c r="V9" s="8">
        <v>1</v>
      </c>
      <c r="W9" t="str">
        <f>IF(Tabla13[[#This Row],[INN]]&lt; $V$51, "Bajo", IF(Tabla13[[#This Row],[INN]]&lt; $V$53, "Medio", "Alto"))</f>
        <v>Alto</v>
      </c>
      <c r="X9" s="8">
        <f>Tabla13[[#This Row],[Valor general]]-Tabla13[[#This Row],[Valor general2]]-Tabla13[[#This Row],[INN]]</f>
        <v>6.4822916666666668</v>
      </c>
      <c r="Y9" t="str">
        <f>IF(Tabla13[[#This Row],[Valor general de PC]]&lt; $X$51, "Alto", IF(Tabla13[[#This Row],[Valor general de PC]]&lt; $X$53, "Medio", "Bajo"))</f>
        <v>Alto</v>
      </c>
    </row>
    <row r="10" spans="1:25" x14ac:dyDescent="0.25">
      <c r="A10" s="2">
        <v>2023066681</v>
      </c>
      <c r="B10" t="s">
        <v>46</v>
      </c>
      <c r="C10" t="s">
        <v>48</v>
      </c>
      <c r="D10">
        <v>17</v>
      </c>
      <c r="E10">
        <v>0</v>
      </c>
      <c r="F10">
        <v>1</v>
      </c>
      <c r="G10" s="8">
        <v>0</v>
      </c>
      <c r="H10" s="8">
        <f>0</f>
        <v>0</v>
      </c>
      <c r="I10" s="8">
        <f>Tabla13[[#This Row],[ERL]]+Tabla13[[#This Row],[IRL]]</f>
        <v>0</v>
      </c>
      <c r="J10" s="8">
        <v>5</v>
      </c>
      <c r="K10" s="8">
        <f>Tabla13[[#This Row],[LoCode]]/Tabla13[[#This Row],[NoFunctions]]</f>
        <v>17</v>
      </c>
      <c r="L10" s="8">
        <v>0.29409999999999997</v>
      </c>
      <c r="M10" s="8" cm="1">
        <f t="array" ref="M10">SUM(Tabla13[[#This Row],[CC]:[IDC]] - Tabla13[[#This Row],[IRC]])</f>
        <v>22.2941</v>
      </c>
      <c r="N10" t="str">
        <f>IF(Tabla13[[#This Row],[Valor general]]&lt; $D$51, "Alto", IF(Tabla13[[#This Row],[Valor general]]&lt; $D$53, "Medio", "Bajo"))</f>
        <v>Bajo</v>
      </c>
      <c r="O10" s="8">
        <f>1-((Tabla13[[#This Row],[TPFM]]-$K$52) / ($K$51-$K$52))</f>
        <v>0.53125</v>
      </c>
      <c r="P10" s="8">
        <v>0.02</v>
      </c>
      <c r="Q10" s="8">
        <v>0</v>
      </c>
      <c r="R10" s="8">
        <f>SUM(Tabla13[[#This Row],[ITPFM]:[Comentarios2]])/3</f>
        <v>0.18375</v>
      </c>
      <c r="S10" s="8">
        <f>Tabla13[[#This Row],[CC]]/$S$49</f>
        <v>0.5</v>
      </c>
      <c r="T10" s="8">
        <f>(Tabla13[[#This Row],[ICLC]]+(1-Tabla13[[#This Row],[ICC]]))/2</f>
        <v>0.34187499999999998</v>
      </c>
      <c r="U10" t="str">
        <f>IF(Tabla13[[#This Row],[Valor general2]]&lt; $T$51, "Bajo", IF(Tabla13[[#This Row],[Valor general2]]&lt; $T$53, "Medio", "Alto"))</f>
        <v>Medio</v>
      </c>
      <c r="V10" s="8">
        <v>1</v>
      </c>
      <c r="W10" t="str">
        <f>IF(Tabla13[[#This Row],[INN]]&lt; $V$51, "Bajo", IF(Tabla13[[#This Row],[INN]]&lt; $V$53, "Medio", "Alto"))</f>
        <v>Alto</v>
      </c>
      <c r="X10" s="8">
        <f>Tabla13[[#This Row],[Valor general]]-Tabla13[[#This Row],[Valor general2]]-Tabla13[[#This Row],[INN]]</f>
        <v>20.952224999999999</v>
      </c>
      <c r="Y10" t="str">
        <f>IF(Tabla13[[#This Row],[Valor general de PC]]&lt; $X$51, "Alto", IF(Tabla13[[#This Row],[Valor general de PC]]&lt; $X$53, "Medio", "Bajo"))</f>
        <v>Bajo</v>
      </c>
    </row>
    <row r="11" spans="1:25" x14ac:dyDescent="0.25">
      <c r="A11" s="2">
        <v>2023112646</v>
      </c>
      <c r="B11" t="s">
        <v>46</v>
      </c>
      <c r="C11" t="s">
        <v>48</v>
      </c>
      <c r="D11">
        <v>23</v>
      </c>
      <c r="E11">
        <v>0</v>
      </c>
      <c r="F11">
        <v>1</v>
      </c>
      <c r="G11" s="8">
        <v>0</v>
      </c>
      <c r="H11" s="8">
        <v>0</v>
      </c>
      <c r="I11" s="8">
        <f>Tabla13[[#This Row],[ERL]]+Tabla13[[#This Row],[IRL]]</f>
        <v>0</v>
      </c>
      <c r="J11" s="8">
        <v>7</v>
      </c>
      <c r="K11" s="8">
        <f>Tabla13[[#This Row],[LoCode]]/Tabla13[[#This Row],[NoFunctions]]</f>
        <v>23</v>
      </c>
      <c r="L11" s="8">
        <v>0.39129999999999998</v>
      </c>
      <c r="M11" s="8" cm="1">
        <f t="array" ref="M11">SUM(Tabla13[[#This Row],[CC]:[IDC]] - Tabla13[[#This Row],[IRC]])</f>
        <v>30.391300000000001</v>
      </c>
      <c r="N11" t="str">
        <f>IF(Tabla13[[#This Row],[Valor general]]&lt; $D$51, "Alto", IF(Tabla13[[#This Row],[Valor general]]&lt; $D$53, "Medio", "Bajo"))</f>
        <v>Bajo</v>
      </c>
      <c r="O11" s="8">
        <f>1-((Tabla13[[#This Row],[TPFM]]-$K$52) / ($K$51-$K$52))</f>
        <v>0.34375</v>
      </c>
      <c r="P11" s="8">
        <v>0.02</v>
      </c>
      <c r="Q11" s="8">
        <v>0</v>
      </c>
      <c r="R11" s="8">
        <f>SUM(Tabla13[[#This Row],[ITPFM]:[Comentarios2]])/3</f>
        <v>0.12125000000000001</v>
      </c>
      <c r="S11" s="8">
        <f>Tabla13[[#This Row],[CC]]/$S$49</f>
        <v>0.7</v>
      </c>
      <c r="T11" s="8">
        <f>(Tabla13[[#This Row],[ICLC]]+(1-Tabla13[[#This Row],[ICC]]))/2</f>
        <v>0.21062500000000003</v>
      </c>
      <c r="U11" t="str">
        <f>IF(Tabla13[[#This Row],[Valor general2]]&lt; $T$51, "Bajo", IF(Tabla13[[#This Row],[Valor general2]]&lt; $T$53, "Medio", "Alto"))</f>
        <v>Bajo</v>
      </c>
      <c r="V11" s="8">
        <v>1</v>
      </c>
      <c r="W11" t="str">
        <f>IF(Tabla13[[#This Row],[INN]]&lt; $V$51, "Bajo", IF(Tabla13[[#This Row],[INN]]&lt; $V$53, "Medio", "Alto"))</f>
        <v>Alto</v>
      </c>
      <c r="X11" s="8">
        <f>Tabla13[[#This Row],[Valor general]]-Tabla13[[#This Row],[Valor general2]]-Tabla13[[#This Row],[INN]]</f>
        <v>29.180675000000001</v>
      </c>
      <c r="Y11" t="str">
        <f>IF(Tabla13[[#This Row],[Valor general de PC]]&lt; $X$51, "Alto", IF(Tabla13[[#This Row],[Valor general de PC]]&lt; $X$53, "Medio", "Bajo"))</f>
        <v>Bajo</v>
      </c>
    </row>
    <row r="12" spans="1:25" x14ac:dyDescent="0.25">
      <c r="A12" s="2">
        <v>2023147244</v>
      </c>
      <c r="B12" t="s">
        <v>42</v>
      </c>
      <c r="C12" s="3" t="s">
        <v>49</v>
      </c>
      <c r="D12">
        <v>21</v>
      </c>
      <c r="E12">
        <v>9</v>
      </c>
      <c r="F12">
        <v>4</v>
      </c>
      <c r="G12" s="8">
        <v>0</v>
      </c>
      <c r="H12" s="8">
        <v>0</v>
      </c>
      <c r="I12" s="8">
        <f>Tabla13[[#This Row],[ERL]]+Tabla13[[#This Row],[IRL]]</f>
        <v>0</v>
      </c>
      <c r="J12" s="8">
        <v>12</v>
      </c>
      <c r="K12" s="8">
        <f>Tabla13[[#This Row],[LoCode]]/Tabla13[[#This Row],[NoFunctions]]</f>
        <v>5.25</v>
      </c>
      <c r="L12" s="8">
        <v>0.66669999999999996</v>
      </c>
      <c r="M12" s="8" cm="1">
        <f t="array" ref="M12">SUM(Tabla13[[#This Row],[CC]:[IDC]] - Tabla13[[#This Row],[IRC]])</f>
        <v>17.916699999999999</v>
      </c>
      <c r="N12" t="str">
        <f>IF(Tabla13[[#This Row],[Valor general]]&lt; $D$51, "Alto", IF(Tabla13[[#This Row],[Valor general]]&lt; $D$53, "Medio", "Bajo"))</f>
        <v>Bajo</v>
      </c>
      <c r="O12" s="8">
        <f>1-((Tabla13[[#This Row],[TPFM]]-$K$52) / ($K$51-$K$52))</f>
        <v>0.8984375</v>
      </c>
      <c r="P12" s="8">
        <v>0.11</v>
      </c>
      <c r="Q12" s="8">
        <v>0.21</v>
      </c>
      <c r="R12" s="8">
        <f>SUM(Tabla13[[#This Row],[ITPFM]:[Comentarios2]])/3</f>
        <v>0.40614583333333337</v>
      </c>
      <c r="S12" s="8">
        <f>Tabla13[[#This Row],[CC]]/$S$49</f>
        <v>1.2</v>
      </c>
      <c r="T12" s="8">
        <f>(Tabla13[[#This Row],[ICLC]]+(1-Tabla13[[#This Row],[ICC]]))/2</f>
        <v>0.10307291666666671</v>
      </c>
      <c r="U12" t="str">
        <f>IF(Tabla13[[#This Row],[Valor general2]]&lt; $T$51, "Bajo", IF(Tabla13[[#This Row],[Valor general2]]&lt; $T$53, "Medio", "Alto"))</f>
        <v>Bajo</v>
      </c>
      <c r="V12" s="8">
        <v>1</v>
      </c>
      <c r="W12" t="str">
        <f>IF(Tabla13[[#This Row],[INN]]&lt; $V$51, "Bajo", IF(Tabla13[[#This Row],[INN]]&lt; $V$53, "Medio", "Alto"))</f>
        <v>Alto</v>
      </c>
      <c r="X12" s="8">
        <f>Tabla13[[#This Row],[Valor general]]-Tabla13[[#This Row],[Valor general2]]-Tabla13[[#This Row],[INN]]</f>
        <v>16.813627083333333</v>
      </c>
      <c r="Y12" t="str">
        <f>IF(Tabla13[[#This Row],[Valor general de PC]]&lt; $X$51, "Alto", IF(Tabla13[[#This Row],[Valor general de PC]]&lt; $X$53, "Medio", "Bajo"))</f>
        <v>Bajo</v>
      </c>
    </row>
    <row r="13" spans="1:25" ht="30" x14ac:dyDescent="0.25">
      <c r="A13" s="2">
        <v>2023152721</v>
      </c>
      <c r="B13" t="s">
        <v>44</v>
      </c>
      <c r="C13" s="3" t="s">
        <v>50</v>
      </c>
      <c r="D13">
        <v>7</v>
      </c>
      <c r="E13">
        <v>0</v>
      </c>
      <c r="F13">
        <v>1</v>
      </c>
      <c r="G13" s="8">
        <v>0</v>
      </c>
      <c r="H13" s="8">
        <v>0</v>
      </c>
      <c r="I13" s="8">
        <f>Tabla13[[#This Row],[ERL]]+Tabla13[[#This Row],[IRL]]</f>
        <v>0</v>
      </c>
      <c r="J13" s="8">
        <v>3</v>
      </c>
      <c r="K13" s="8">
        <f>Tabla13[[#This Row],[LoCode]]/Tabla13[[#This Row],[NoFunctions]]</f>
        <v>7</v>
      </c>
      <c r="L13" s="8">
        <v>0</v>
      </c>
      <c r="M13" s="8" cm="1">
        <f t="array" ref="M13">SUM(Tabla13[[#This Row],[CC]:[IDC]] - Tabla13[[#This Row],[IRC]])</f>
        <v>10</v>
      </c>
      <c r="N13" t="str">
        <f>IF(Tabla13[[#This Row],[Valor general]]&lt; $D$51, "Alto", IF(Tabla13[[#This Row],[Valor general]]&lt; $D$53, "Medio", "Bajo"))</f>
        <v>Medio</v>
      </c>
      <c r="O13" s="8">
        <f>1-((Tabla13[[#This Row],[TPFM]]-$K$52) / ($K$51-$K$52))</f>
        <v>0.84375</v>
      </c>
      <c r="P13" s="8">
        <v>0.04</v>
      </c>
      <c r="Q13" s="8">
        <v>0</v>
      </c>
      <c r="R13" s="8">
        <f>SUM(Tabla13[[#This Row],[ITPFM]:[Comentarios2]])/3</f>
        <v>0.29458333333333336</v>
      </c>
      <c r="S13" s="8">
        <f>Tabla13[[#This Row],[CC]]/$S$49</f>
        <v>0.3</v>
      </c>
      <c r="T13" s="8">
        <f>(Tabla13[[#This Row],[ICLC]]+(1-Tabla13[[#This Row],[ICC]]))/2</f>
        <v>0.49729166666666669</v>
      </c>
      <c r="U13" t="str">
        <f>IF(Tabla13[[#This Row],[Valor general2]]&lt; $T$51, "Bajo", IF(Tabla13[[#This Row],[Valor general2]]&lt; $T$53, "Medio", "Alto"))</f>
        <v>Medio</v>
      </c>
      <c r="V13" s="8">
        <v>1</v>
      </c>
      <c r="W13" t="str">
        <f>IF(Tabla13[[#This Row],[INN]]&lt; $V$51, "Bajo", IF(Tabla13[[#This Row],[INN]]&lt; $V$53, "Medio", "Alto"))</f>
        <v>Alto</v>
      </c>
      <c r="X13" s="8">
        <f>Tabla13[[#This Row],[Valor general]]-Tabla13[[#This Row],[Valor general2]]-Tabla13[[#This Row],[INN]]</f>
        <v>8.5027083333333326</v>
      </c>
      <c r="Y13" t="str">
        <f>IF(Tabla13[[#This Row],[Valor general de PC]]&lt; $X$51, "Alto", IF(Tabla13[[#This Row],[Valor general de PC]]&lt; $X$53, "Medio", "Bajo"))</f>
        <v>Medio</v>
      </c>
    </row>
    <row r="14" spans="1:25" x14ac:dyDescent="0.25">
      <c r="A14" s="2">
        <v>2024063271</v>
      </c>
      <c r="B14" t="s">
        <v>42</v>
      </c>
      <c r="D14">
        <v>18</v>
      </c>
      <c r="E14">
        <v>1</v>
      </c>
      <c r="F14">
        <v>2</v>
      </c>
      <c r="G14" s="8">
        <v>0</v>
      </c>
      <c r="H14" s="8">
        <v>0</v>
      </c>
      <c r="I14" s="8">
        <f>Tabla13[[#This Row],[ERL]]+Tabla13[[#This Row],[IRL]]</f>
        <v>0</v>
      </c>
      <c r="J14" s="8">
        <v>8</v>
      </c>
      <c r="K14" s="8">
        <f>Tabla13[[#This Row],[LoCode]]/Tabla13[[#This Row],[NoFunctions]]</f>
        <v>9</v>
      </c>
      <c r="L14" s="8">
        <v>0.33329999999999999</v>
      </c>
      <c r="M14" s="8" cm="1">
        <f t="array" ref="M14">SUM(Tabla13[[#This Row],[CC]:[IDC]] - Tabla13[[#This Row],[IRC]])</f>
        <v>17.333300000000001</v>
      </c>
      <c r="N14" t="str">
        <f>IF(Tabla13[[#This Row],[Valor general]]&lt; $D$51, "Alto", IF(Tabla13[[#This Row],[Valor general]]&lt; $D$53, "Medio", "Bajo"))</f>
        <v>Medio</v>
      </c>
      <c r="O14" s="8">
        <f>1-((Tabla13[[#This Row],[TPFM]]-$K$52) / ($K$51-$K$52))</f>
        <v>0.78125</v>
      </c>
      <c r="P14" s="8">
        <v>0.02</v>
      </c>
      <c r="Q14" s="8">
        <v>0.08</v>
      </c>
      <c r="R14" s="8">
        <f>SUM(Tabla13[[#This Row],[ITPFM]:[Comentarios2]])/3</f>
        <v>0.29375000000000001</v>
      </c>
      <c r="S14" s="8">
        <f>Tabla13[[#This Row],[CC]]/$S$49</f>
        <v>0.8</v>
      </c>
      <c r="T14" s="8">
        <f>(Tabla13[[#This Row],[ICLC]]+(1-Tabla13[[#This Row],[ICC]]))/2</f>
        <v>0.24687499999999998</v>
      </c>
      <c r="U14" t="str">
        <f>IF(Tabla13[[#This Row],[Valor general2]]&lt; $T$51, "Bajo", IF(Tabla13[[#This Row],[Valor general2]]&lt; $T$53, "Medio", "Alto"))</f>
        <v>Medio</v>
      </c>
      <c r="V14" s="8">
        <v>0.83330000000000004</v>
      </c>
      <c r="W14" t="str">
        <f>IF(Tabla13[[#This Row],[INN]]&lt; $V$51, "Bajo", IF(Tabla13[[#This Row],[INN]]&lt; $V$53, "Medio", "Alto"))</f>
        <v>Bajo</v>
      </c>
      <c r="X14" s="8">
        <f>Tabla13[[#This Row],[Valor general]]-Tabla13[[#This Row],[Valor general2]]-Tabla13[[#This Row],[INN]]</f>
        <v>16.253125000000001</v>
      </c>
      <c r="Y14" t="str">
        <f>IF(Tabla13[[#This Row],[Valor general de PC]]&lt; $X$51, "Alto", IF(Tabla13[[#This Row],[Valor general de PC]]&lt; $X$53, "Medio", "Bajo"))</f>
        <v>Medio</v>
      </c>
    </row>
    <row r="15" spans="1:25" x14ac:dyDescent="0.25">
      <c r="A15" s="2">
        <v>2024066829</v>
      </c>
      <c r="B15" t="s">
        <v>42</v>
      </c>
      <c r="D15">
        <v>5</v>
      </c>
      <c r="E15">
        <v>1</v>
      </c>
      <c r="F15">
        <v>1</v>
      </c>
      <c r="G15" s="8">
        <v>0</v>
      </c>
      <c r="H15" s="8">
        <v>0</v>
      </c>
      <c r="I15" s="8">
        <f>Tabla13[[#This Row],[ERL]]+Tabla13[[#This Row],[IRL]]</f>
        <v>0</v>
      </c>
      <c r="J15" s="8">
        <v>3</v>
      </c>
      <c r="K15" s="8">
        <f>Tabla13[[#This Row],[LoCode]]/Tabla13[[#This Row],[NoFunctions]]</f>
        <v>5</v>
      </c>
      <c r="L15" s="8">
        <v>0</v>
      </c>
      <c r="M15" s="8" cm="1">
        <f t="array" ref="M15">SUM(Tabla13[[#This Row],[CC]:[IDC]] - Tabla13[[#This Row],[IRC]])</f>
        <v>8</v>
      </c>
      <c r="N15" t="str">
        <f>IF(Tabla13[[#This Row],[Valor general]]&lt; $D$51, "Alto", IF(Tabla13[[#This Row],[Valor general]]&lt; $D$53, "Medio", "Bajo"))</f>
        <v>Alto</v>
      </c>
      <c r="O15" s="8">
        <f>1-((Tabla13[[#This Row],[TPFM]]-$K$52) / ($K$51-$K$52))</f>
        <v>0.90625</v>
      </c>
      <c r="P15" s="8">
        <v>0.02</v>
      </c>
      <c r="Q15" s="8">
        <v>0</v>
      </c>
      <c r="R15" s="8">
        <f>SUM(Tabla13[[#This Row],[ITPFM]:[Comentarios2]])/3</f>
        <v>0.30875000000000002</v>
      </c>
      <c r="S15" s="8">
        <f>Tabla13[[#This Row],[CC]]/$S$49</f>
        <v>0.3</v>
      </c>
      <c r="T15" s="8">
        <f>(Tabla13[[#This Row],[ICLC]]+(1-Tabla13[[#This Row],[ICC]]))/2</f>
        <v>0.50437500000000002</v>
      </c>
      <c r="U15" t="str">
        <f>IF(Tabla13[[#This Row],[Valor general2]]&lt; $T$51, "Bajo", IF(Tabla13[[#This Row],[Valor general2]]&lt; $T$53, "Medio", "Alto"))</f>
        <v>Medio</v>
      </c>
      <c r="V15" s="8">
        <v>1</v>
      </c>
      <c r="W15" t="str">
        <f>IF(Tabla13[[#This Row],[INN]]&lt; $V$51, "Bajo", IF(Tabla13[[#This Row],[INN]]&lt; $V$53, "Medio", "Alto"))</f>
        <v>Alto</v>
      </c>
      <c r="X15" s="8">
        <f>Tabla13[[#This Row],[Valor general]]-Tabla13[[#This Row],[Valor general2]]-Tabla13[[#This Row],[INN]]</f>
        <v>6.4956250000000004</v>
      </c>
      <c r="Y15" t="str">
        <f>IF(Tabla13[[#This Row],[Valor general de PC]]&lt; $X$51, "Alto", IF(Tabla13[[#This Row],[Valor general de PC]]&lt; $X$53, "Medio", "Bajo"))</f>
        <v>Alto</v>
      </c>
    </row>
    <row r="16" spans="1:25" x14ac:dyDescent="0.25">
      <c r="A16" s="2">
        <v>2024070969</v>
      </c>
      <c r="B16" t="s">
        <v>44</v>
      </c>
      <c r="C16" t="s">
        <v>51</v>
      </c>
      <c r="D16">
        <v>20</v>
      </c>
      <c r="E16">
        <v>1</v>
      </c>
      <c r="F16">
        <v>3</v>
      </c>
      <c r="G16" s="8">
        <v>0</v>
      </c>
      <c r="H16" s="8">
        <v>0</v>
      </c>
      <c r="I16" s="8">
        <f>Tabla13[[#This Row],[ERL]]+Tabla13[[#This Row],[IRL]]</f>
        <v>0</v>
      </c>
      <c r="J16" s="8">
        <v>10</v>
      </c>
      <c r="K16" s="8">
        <f>Tabla13[[#This Row],[LoCode]]/Tabla13[[#This Row],[NoFunctions]]</f>
        <v>6.666666666666667</v>
      </c>
      <c r="L16" s="8">
        <v>0.52380000000000004</v>
      </c>
      <c r="M16" s="8" cm="1">
        <f t="array" ref="M16">SUM(Tabla13[[#This Row],[CC]:[IDC]] - Tabla13[[#This Row],[IRC]])</f>
        <v>17.190466666666669</v>
      </c>
      <c r="N16" t="str">
        <f>IF(Tabla13[[#This Row],[Valor general]]&lt; $D$51, "Alto", IF(Tabla13[[#This Row],[Valor general]]&lt; $D$53, "Medio", "Bajo"))</f>
        <v>Medio</v>
      </c>
      <c r="O16" s="8">
        <f>1-((Tabla13[[#This Row],[TPFM]]-$K$52) / ($K$51-$K$52))</f>
        <v>0.85416666666666663</v>
      </c>
      <c r="P16" s="8">
        <v>0.09</v>
      </c>
      <c r="Q16" s="8">
        <v>0.02</v>
      </c>
      <c r="R16" s="8">
        <f>SUM(Tabla13[[#This Row],[ITPFM]:[Comentarios2]])/3</f>
        <v>0.32138888888888889</v>
      </c>
      <c r="S16" s="8">
        <f>Tabla13[[#This Row],[CC]]/$S$49</f>
        <v>1</v>
      </c>
      <c r="T16" s="8">
        <f>(Tabla13[[#This Row],[ICLC]]+(1-Tabla13[[#This Row],[ICC]]))/2</f>
        <v>0.16069444444444445</v>
      </c>
      <c r="U16" t="str">
        <f>IF(Tabla13[[#This Row],[Valor general2]]&lt; $T$51, "Bajo", IF(Tabla13[[#This Row],[Valor general2]]&lt; $T$53, "Medio", "Alto"))</f>
        <v>Bajo</v>
      </c>
      <c r="V16" s="8">
        <v>1</v>
      </c>
      <c r="W16" t="str">
        <f>IF(Tabla13[[#This Row],[INN]]&lt; $V$51, "Bajo", IF(Tabla13[[#This Row],[INN]]&lt; $V$53, "Medio", "Alto"))</f>
        <v>Alto</v>
      </c>
      <c r="X16" s="8">
        <f>Tabla13[[#This Row],[Valor general]]-Tabla13[[#This Row],[Valor general2]]-Tabla13[[#This Row],[INN]]</f>
        <v>16.029772222222224</v>
      </c>
      <c r="Y16" t="str">
        <f>IF(Tabla13[[#This Row],[Valor general de PC]]&lt; $X$51, "Alto", IF(Tabla13[[#This Row],[Valor general de PC]]&lt; $X$53, "Medio", "Bajo"))</f>
        <v>Medio</v>
      </c>
    </row>
    <row r="17" spans="1:25" x14ac:dyDescent="0.25">
      <c r="A17" s="2">
        <v>2024071983</v>
      </c>
      <c r="B17" t="s">
        <v>44</v>
      </c>
      <c r="C17" t="s">
        <v>45</v>
      </c>
      <c r="D17">
        <v>16</v>
      </c>
      <c r="E17">
        <v>1</v>
      </c>
      <c r="F17">
        <v>3</v>
      </c>
      <c r="G17" s="8">
        <v>0</v>
      </c>
      <c r="H17" s="8">
        <v>0</v>
      </c>
      <c r="I17" s="8">
        <f>Tabla13[[#This Row],[ERL]]+Tabla13[[#This Row],[IRL]]</f>
        <v>0</v>
      </c>
      <c r="J17" s="8">
        <v>9</v>
      </c>
      <c r="K17" s="8">
        <f>Tabla13[[#This Row],[LoCode]]/Tabla13[[#This Row],[NoFunctions]]</f>
        <v>5.333333333333333</v>
      </c>
      <c r="L17" s="8">
        <v>0.625</v>
      </c>
      <c r="M17" s="8" cm="1">
        <f t="array" ref="M17">SUM(Tabla13[[#This Row],[CC]:[IDC]] - Tabla13[[#This Row],[IRC]])</f>
        <v>14.958333333333332</v>
      </c>
      <c r="N17" t="str">
        <f>IF(Tabla13[[#This Row],[Valor general]]&lt; $D$51, "Alto", IF(Tabla13[[#This Row],[Valor general]]&lt; $D$53, "Medio", "Bajo"))</f>
        <v>Medio</v>
      </c>
      <c r="O17" s="8">
        <f>1-((Tabla13[[#This Row],[TPFM]]-$K$52) / ($K$51-$K$52))</f>
        <v>0.89583333333333337</v>
      </c>
      <c r="P17" s="8">
        <v>0.09</v>
      </c>
      <c r="Q17" s="8">
        <v>0.04</v>
      </c>
      <c r="R17" s="8">
        <f>SUM(Tabla13[[#This Row],[ITPFM]:[Comentarios2]])/3</f>
        <v>0.34194444444444444</v>
      </c>
      <c r="S17" s="8">
        <f>Tabla13[[#This Row],[CC]]/$S$49</f>
        <v>0.9</v>
      </c>
      <c r="T17" s="8">
        <f>(Tabla13[[#This Row],[ICLC]]+(1-Tabla13[[#This Row],[ICC]]))/2</f>
        <v>0.22097222222222221</v>
      </c>
      <c r="U17" t="str">
        <f>IF(Tabla13[[#This Row],[Valor general2]]&lt; $T$51, "Bajo", IF(Tabla13[[#This Row],[Valor general2]]&lt; $T$53, "Medio", "Alto"))</f>
        <v>Bajo</v>
      </c>
      <c r="V17" s="8">
        <v>1</v>
      </c>
      <c r="W17" t="str">
        <f>IF(Tabla13[[#This Row],[INN]]&lt; $V$51, "Bajo", IF(Tabla13[[#This Row],[INN]]&lt; $V$53, "Medio", "Alto"))</f>
        <v>Alto</v>
      </c>
      <c r="X17" s="8">
        <f>Tabla13[[#This Row],[Valor general]]-Tabla13[[#This Row],[Valor general2]]-Tabla13[[#This Row],[INN]]</f>
        <v>13.73736111111111</v>
      </c>
      <c r="Y17" t="str">
        <f>IF(Tabla13[[#This Row],[Valor general de PC]]&lt; $X$51, "Alto", IF(Tabla13[[#This Row],[Valor general de PC]]&lt; $X$53, "Medio", "Bajo"))</f>
        <v>Medio</v>
      </c>
    </row>
    <row r="18" spans="1:25" x14ac:dyDescent="0.25">
      <c r="A18" s="2">
        <v>2024082949</v>
      </c>
      <c r="B18" t="s">
        <v>42</v>
      </c>
      <c r="C18" s="3"/>
      <c r="D18">
        <v>11</v>
      </c>
      <c r="E18">
        <v>1</v>
      </c>
      <c r="F18">
        <v>2</v>
      </c>
      <c r="G18" s="8">
        <v>0</v>
      </c>
      <c r="H18" s="8">
        <v>0</v>
      </c>
      <c r="I18" s="8">
        <f>Tabla13[[#This Row],[ERL]]+Tabla13[[#This Row],[IRL]]</f>
        <v>0</v>
      </c>
      <c r="J18" s="8">
        <v>6</v>
      </c>
      <c r="K18" s="8">
        <f>Tabla13[[#This Row],[LoCode]]/Tabla13[[#This Row],[NoFunctions]]</f>
        <v>5.5</v>
      </c>
      <c r="L18" s="8">
        <v>0.45450000000000002</v>
      </c>
      <c r="M18" s="8" cm="1">
        <f t="array" ref="M18">SUM(Tabla13[[#This Row],[CC]:[IDC]] - Tabla13[[#This Row],[IRC]])</f>
        <v>11.954499999999999</v>
      </c>
      <c r="N18" t="str">
        <f>IF(Tabla13[[#This Row],[Valor general]]&lt; $D$51, "Alto", IF(Tabla13[[#This Row],[Valor general]]&lt; $D$53, "Medio", "Bajo"))</f>
        <v>Medio</v>
      </c>
      <c r="O18" s="8">
        <f>1-((Tabla13[[#This Row],[TPFM]]-$K$52) / ($K$51-$K$52))</f>
        <v>0.890625</v>
      </c>
      <c r="P18" s="8">
        <v>0.09</v>
      </c>
      <c r="Q18" s="8">
        <v>0</v>
      </c>
      <c r="R18" s="8">
        <f>SUM(Tabla13[[#This Row],[ITPFM]:[Comentarios2]])/3</f>
        <v>0.32687499999999997</v>
      </c>
      <c r="S18" s="8">
        <f>Tabla13[[#This Row],[CC]]/$S$49</f>
        <v>0.6</v>
      </c>
      <c r="T18" s="8">
        <f>(Tabla13[[#This Row],[ICLC]]+(1-Tabla13[[#This Row],[ICC]]))/2</f>
        <v>0.36343749999999997</v>
      </c>
      <c r="U18" t="str">
        <f>IF(Tabla13[[#This Row],[Valor general2]]&lt; $T$51, "Bajo", IF(Tabla13[[#This Row],[Valor general2]]&lt; $T$53, "Medio", "Alto"))</f>
        <v>Medio</v>
      </c>
      <c r="V18" s="8">
        <v>1</v>
      </c>
      <c r="W18" t="str">
        <f>IF(Tabla13[[#This Row],[INN]]&lt; $V$51, "Bajo", IF(Tabla13[[#This Row],[INN]]&lt; $V$53, "Medio", "Alto"))</f>
        <v>Alto</v>
      </c>
      <c r="X18" s="8">
        <f>Tabla13[[#This Row],[Valor general]]-Tabla13[[#This Row],[Valor general2]]-Tabla13[[#This Row],[INN]]</f>
        <v>10.5910625</v>
      </c>
      <c r="Y18" t="str">
        <f>IF(Tabla13[[#This Row],[Valor general de PC]]&lt; $X$51, "Alto", IF(Tabla13[[#This Row],[Valor general de PC]]&lt; $X$53, "Medio", "Bajo"))</f>
        <v>Medio</v>
      </c>
    </row>
    <row r="19" spans="1:25" x14ac:dyDescent="0.25">
      <c r="A19" s="2">
        <v>2024090884</v>
      </c>
      <c r="B19" t="s">
        <v>42</v>
      </c>
      <c r="C19" t="s">
        <v>52</v>
      </c>
      <c r="D19">
        <v>31</v>
      </c>
      <c r="E19">
        <v>0</v>
      </c>
      <c r="F19">
        <v>5</v>
      </c>
      <c r="G19" s="8">
        <v>0</v>
      </c>
      <c r="H19" s="8">
        <v>0</v>
      </c>
      <c r="I19" s="8">
        <f>Tabla13[[#This Row],[ERL]]+Tabla13[[#This Row],[IRL]]</f>
        <v>0</v>
      </c>
      <c r="J19" s="8">
        <v>13</v>
      </c>
      <c r="K19" s="8">
        <f>Tabla13[[#This Row],[LoCode]]/Tabla13[[#This Row],[NoFunctions]]</f>
        <v>6.2</v>
      </c>
      <c r="L19" s="8">
        <v>0.6129</v>
      </c>
      <c r="M19" s="8" cm="1">
        <f t="array" ref="M19">SUM(Tabla13[[#This Row],[CC]:[IDC]] - Tabla13[[#This Row],[IRC]])</f>
        <v>19.812899999999999</v>
      </c>
      <c r="N19" t="str">
        <f>IF(Tabla13[[#This Row],[Valor general]]&lt; $D$51, "Alto", IF(Tabla13[[#This Row],[Valor general]]&lt; $D$53, "Medio", "Bajo"))</f>
        <v>Bajo</v>
      </c>
      <c r="O19" s="8">
        <f>1-((Tabla13[[#This Row],[TPFM]]-$K$52) / ($K$51-$K$52))</f>
        <v>0.86875000000000002</v>
      </c>
      <c r="P19" s="8">
        <v>0.08</v>
      </c>
      <c r="Q19" s="8">
        <v>0</v>
      </c>
      <c r="R19" s="8">
        <f>SUM(Tabla13[[#This Row],[ITPFM]:[Comentarios2]])/3</f>
        <v>0.31624999999999998</v>
      </c>
      <c r="S19" s="8">
        <f>Tabla13[[#This Row],[CC]]/$S$49</f>
        <v>1.3</v>
      </c>
      <c r="T19" s="8">
        <f>(Tabla13[[#This Row],[ICLC]]+(1-Tabla13[[#This Row],[ICC]]))/2</f>
        <v>8.1249999999999656E-3</v>
      </c>
      <c r="U19" t="str">
        <f>IF(Tabla13[[#This Row],[Valor general2]]&lt; $T$51, "Bajo", IF(Tabla13[[#This Row],[Valor general2]]&lt; $T$53, "Medio", "Alto"))</f>
        <v>Bajo</v>
      </c>
      <c r="V19" s="8">
        <v>1</v>
      </c>
      <c r="W19" t="str">
        <f>IF(Tabla13[[#This Row],[INN]]&lt; $V$51, "Bajo", IF(Tabla13[[#This Row],[INN]]&lt; $V$53, "Medio", "Alto"))</f>
        <v>Alto</v>
      </c>
      <c r="X19" s="8">
        <f>Tabla13[[#This Row],[Valor general]]-Tabla13[[#This Row],[Valor general2]]-Tabla13[[#This Row],[INN]]</f>
        <v>18.804774999999999</v>
      </c>
      <c r="Y19" t="str">
        <f>IF(Tabla13[[#This Row],[Valor general de PC]]&lt; $X$51, "Alto", IF(Tabla13[[#This Row],[Valor general de PC]]&lt; $X$53, "Medio", "Bajo"))</f>
        <v>Bajo</v>
      </c>
    </row>
    <row r="20" spans="1:25" x14ac:dyDescent="0.25">
      <c r="A20" s="2">
        <v>2024093410</v>
      </c>
      <c r="B20" t="s">
        <v>42</v>
      </c>
      <c r="D20">
        <v>5</v>
      </c>
      <c r="E20">
        <v>0</v>
      </c>
      <c r="F20">
        <v>1</v>
      </c>
      <c r="G20" s="8">
        <v>0</v>
      </c>
      <c r="H20" s="8">
        <v>0</v>
      </c>
      <c r="I20" s="8">
        <f>Tabla13[[#This Row],[ERL]]+Tabla13[[#This Row],[IRL]]</f>
        <v>0</v>
      </c>
      <c r="J20" s="8">
        <v>3</v>
      </c>
      <c r="K20" s="8">
        <f>Tabla13[[#This Row],[LoCode]]/Tabla13[[#This Row],[NoFunctions]]</f>
        <v>5</v>
      </c>
      <c r="L20" s="8">
        <v>0</v>
      </c>
      <c r="M20" s="8" cm="1">
        <f t="array" ref="M20">SUM(Tabla13[[#This Row],[CC]:[IDC]] - Tabla13[[#This Row],[IRC]])</f>
        <v>8</v>
      </c>
      <c r="N20" t="str">
        <f>IF(Tabla13[[#This Row],[Valor general]]&lt; $D$51, "Alto", IF(Tabla13[[#This Row],[Valor general]]&lt; $D$53, "Medio", "Bajo"))</f>
        <v>Alto</v>
      </c>
      <c r="O20" s="8">
        <f>1-((Tabla13[[#This Row],[TPFM]]-$K$52) / ($K$51-$K$52))</f>
        <v>0.90625</v>
      </c>
      <c r="P20" s="8">
        <v>0.04</v>
      </c>
      <c r="Q20" s="8">
        <v>0.02</v>
      </c>
      <c r="R20" s="8">
        <f>SUM(Tabla13[[#This Row],[ITPFM]:[Comentarios2]])/3</f>
        <v>0.32208333333333333</v>
      </c>
      <c r="S20" s="8">
        <f>Tabla13[[#This Row],[CC]]/$S$49</f>
        <v>0.3</v>
      </c>
      <c r="T20" s="8">
        <f>(Tabla13[[#This Row],[ICLC]]+(1-Tabla13[[#This Row],[ICC]]))/2</f>
        <v>0.51104166666666662</v>
      </c>
      <c r="U20" t="str">
        <f>IF(Tabla13[[#This Row],[Valor general2]]&lt; $T$51, "Bajo", IF(Tabla13[[#This Row],[Valor general2]]&lt; $T$53, "Medio", "Alto"))</f>
        <v>Alto</v>
      </c>
      <c r="V20" s="8">
        <v>0.75</v>
      </c>
      <c r="W20" t="str">
        <f>IF(Tabla13[[#This Row],[INN]]&lt; $V$51, "Bajo", IF(Tabla13[[#This Row],[INN]]&lt; $V$53, "Medio", "Alto"))</f>
        <v>Bajo</v>
      </c>
      <c r="X20" s="8">
        <f>Tabla13[[#This Row],[Valor general]]-Tabla13[[#This Row],[Valor general2]]-Tabla13[[#This Row],[INN]]</f>
        <v>6.7389583333333336</v>
      </c>
      <c r="Y20" t="str">
        <f>IF(Tabla13[[#This Row],[Valor general de PC]]&lt; $X$51, "Alto", IF(Tabla13[[#This Row],[Valor general de PC]]&lt; $X$53, "Medio", "Bajo"))</f>
        <v>Alto</v>
      </c>
    </row>
    <row r="21" spans="1:25" ht="45" x14ac:dyDescent="0.25">
      <c r="A21" s="2">
        <v>2024096731</v>
      </c>
      <c r="B21" t="s">
        <v>44</v>
      </c>
      <c r="C21" s="3" t="s">
        <v>53</v>
      </c>
      <c r="D21">
        <v>19</v>
      </c>
      <c r="E21">
        <v>2</v>
      </c>
      <c r="F21">
        <v>2</v>
      </c>
      <c r="G21" s="8">
        <v>0</v>
      </c>
      <c r="H21" s="8">
        <v>0</v>
      </c>
      <c r="I21" s="8">
        <f>Tabla13[[#This Row],[ERL]]+Tabla13[[#This Row],[IRL]]</f>
        <v>0</v>
      </c>
      <c r="J21" s="8">
        <v>4</v>
      </c>
      <c r="K21" s="8">
        <f>Tabla13[[#This Row],[LoCode]]/Tabla13[[#This Row],[NoFunctions]]</f>
        <v>9.5</v>
      </c>
      <c r="L21" s="8">
        <v>0.21049999999999999</v>
      </c>
      <c r="M21" s="8" cm="1">
        <f t="array" ref="M21">SUM(Tabla13[[#This Row],[CC]:[IDC]] - Tabla13[[#This Row],[IRC]])</f>
        <v>13.7105</v>
      </c>
      <c r="N21" t="str">
        <f>IF(Tabla13[[#This Row],[Valor general]]&lt; $D$51, "Alto", IF(Tabla13[[#This Row],[Valor general]]&lt; $D$53, "Medio", "Bajo"))</f>
        <v>Medio</v>
      </c>
      <c r="O21" s="8">
        <f>1-((Tabla13[[#This Row],[TPFM]]-$K$52) / ($K$51-$K$52))</f>
        <v>0.765625</v>
      </c>
      <c r="P21" s="8">
        <v>0.02</v>
      </c>
      <c r="Q21" s="8">
        <v>0</v>
      </c>
      <c r="R21" s="8">
        <f>SUM(Tabla13[[#This Row],[ITPFM]:[Comentarios2]])/3</f>
        <v>0.26187500000000002</v>
      </c>
      <c r="S21" s="8">
        <f>Tabla13[[#This Row],[CC]]/$S$49</f>
        <v>0.4</v>
      </c>
      <c r="T21" s="8">
        <f>(Tabla13[[#This Row],[ICLC]]+(1-Tabla13[[#This Row],[ICC]]))/2</f>
        <v>0.43093749999999997</v>
      </c>
      <c r="U21" t="str">
        <f>IF(Tabla13[[#This Row],[Valor general2]]&lt; $T$51, "Bajo", IF(Tabla13[[#This Row],[Valor general2]]&lt; $T$53, "Medio", "Alto"))</f>
        <v>Medio</v>
      </c>
      <c r="V21" s="8">
        <v>0.83330000000000004</v>
      </c>
      <c r="W21" t="str">
        <f>IF(Tabla13[[#This Row],[INN]]&lt; $V$51, "Bajo", IF(Tabla13[[#This Row],[INN]]&lt; $V$53, "Medio", "Alto"))</f>
        <v>Bajo</v>
      </c>
      <c r="X21" s="8">
        <f>Tabla13[[#This Row],[Valor general]]-Tabla13[[#This Row],[Valor general2]]-Tabla13[[#This Row],[INN]]</f>
        <v>12.4462625</v>
      </c>
      <c r="Y21" t="str">
        <f>IF(Tabla13[[#This Row],[Valor general de PC]]&lt; $X$51, "Alto", IF(Tabla13[[#This Row],[Valor general de PC]]&lt; $X$53, "Medio", "Bajo"))</f>
        <v>Medio</v>
      </c>
    </row>
    <row r="22" spans="1:25" x14ac:dyDescent="0.25">
      <c r="A22" s="2">
        <v>2024099007</v>
      </c>
      <c r="B22" t="s">
        <v>42</v>
      </c>
      <c r="D22">
        <v>8</v>
      </c>
      <c r="E22">
        <v>0</v>
      </c>
      <c r="F22">
        <v>1</v>
      </c>
      <c r="G22" s="8">
        <v>0</v>
      </c>
      <c r="H22" s="8">
        <v>0</v>
      </c>
      <c r="I22" s="8">
        <f>Tabla13[[#This Row],[ERL]]+Tabla13[[#This Row],[IRL]]</f>
        <v>0</v>
      </c>
      <c r="J22" s="8">
        <v>4</v>
      </c>
      <c r="K22" s="8">
        <f>Tabla13[[#This Row],[LoCode]]/Tabla13[[#This Row],[NoFunctions]]</f>
        <v>8</v>
      </c>
      <c r="L22" s="8">
        <v>0.25</v>
      </c>
      <c r="M22" s="8" cm="1">
        <f t="array" ref="M22">SUM(Tabla13[[#This Row],[CC]:[IDC]] - Tabla13[[#This Row],[IRC]])</f>
        <v>12.25</v>
      </c>
      <c r="N22" t="str">
        <f>IF(Tabla13[[#This Row],[Valor general]]&lt; $D$51, "Alto", IF(Tabla13[[#This Row],[Valor general]]&lt; $D$53, "Medio", "Bajo"))</f>
        <v>Medio</v>
      </c>
      <c r="O22" s="8">
        <f>1-((Tabla13[[#This Row],[TPFM]]-$K$52) / ($K$51-$K$52))</f>
        <v>0.8125</v>
      </c>
      <c r="P22" s="8">
        <v>0.02</v>
      </c>
      <c r="Q22" s="8">
        <v>0</v>
      </c>
      <c r="R22" s="8">
        <f>SUM(Tabla13[[#This Row],[ITPFM]:[Comentarios2]])/3</f>
        <v>0.27750000000000002</v>
      </c>
      <c r="S22" s="8">
        <f>Tabla13[[#This Row],[CC]]/$S$49</f>
        <v>0.4</v>
      </c>
      <c r="T22" s="8">
        <f>(Tabla13[[#This Row],[ICLC]]+(1-Tabla13[[#This Row],[ICC]]))/2</f>
        <v>0.43874999999999997</v>
      </c>
      <c r="U22" t="str">
        <f>IF(Tabla13[[#This Row],[Valor general2]]&lt; $T$51, "Bajo", IF(Tabla13[[#This Row],[Valor general2]]&lt; $T$53, "Medio", "Alto"))</f>
        <v>Medio</v>
      </c>
      <c r="V22" s="8">
        <v>1</v>
      </c>
      <c r="W22" t="str">
        <f>IF(Tabla13[[#This Row],[INN]]&lt; $V$51, "Bajo", IF(Tabla13[[#This Row],[INN]]&lt; $V$53, "Medio", "Alto"))</f>
        <v>Alto</v>
      </c>
      <c r="X22" s="8">
        <f>Tabla13[[#This Row],[Valor general]]-Tabla13[[#This Row],[Valor general2]]-Tabla13[[#This Row],[INN]]</f>
        <v>10.811249999999999</v>
      </c>
      <c r="Y22" t="str">
        <f>IF(Tabla13[[#This Row],[Valor general de PC]]&lt; $X$51, "Alto", IF(Tabla13[[#This Row],[Valor general de PC]]&lt; $X$53, "Medio", "Bajo"))</f>
        <v>Medio</v>
      </c>
    </row>
    <row r="23" spans="1:25" x14ac:dyDescent="0.25">
      <c r="A23" s="2">
        <v>2024109692</v>
      </c>
      <c r="B23" t="s">
        <v>44</v>
      </c>
      <c r="C23" t="s">
        <v>45</v>
      </c>
      <c r="D23">
        <v>13</v>
      </c>
      <c r="E23">
        <v>0</v>
      </c>
      <c r="F23">
        <v>2</v>
      </c>
      <c r="G23" s="8">
        <v>0</v>
      </c>
      <c r="H23" s="8">
        <v>0</v>
      </c>
      <c r="I23" s="8">
        <f>Tabla13[[#This Row],[ERL]]+Tabla13[[#This Row],[IRL]]</f>
        <v>0</v>
      </c>
      <c r="J23" s="8">
        <v>4</v>
      </c>
      <c r="K23" s="8">
        <f>Tabla13[[#This Row],[LoCode]]/Tabla13[[#This Row],[NoFunctions]]</f>
        <v>6.5</v>
      </c>
      <c r="L23" s="8">
        <v>7.6899999999999996E-2</v>
      </c>
      <c r="M23" s="8" cm="1">
        <f t="array" ref="M23">SUM(Tabla13[[#This Row],[CC]:[IDC]] - Tabla13[[#This Row],[IRC]])</f>
        <v>10.5769</v>
      </c>
      <c r="N23" t="str">
        <f>IF(Tabla13[[#This Row],[Valor general]]&lt; $D$51, "Alto", IF(Tabla13[[#This Row],[Valor general]]&lt; $D$53, "Medio", "Bajo"))</f>
        <v>Medio</v>
      </c>
      <c r="O23" s="8">
        <f>1-((Tabla13[[#This Row],[TPFM]]-$K$52) / ($K$51-$K$52))</f>
        <v>0.859375</v>
      </c>
      <c r="P23" s="8">
        <v>0.06</v>
      </c>
      <c r="Q23" s="8">
        <v>0</v>
      </c>
      <c r="R23" s="8">
        <f>SUM(Tabla13[[#This Row],[ITPFM]:[Comentarios2]])/3</f>
        <v>0.30645833333333333</v>
      </c>
      <c r="S23" s="8">
        <f>Tabla13[[#This Row],[CC]]/$S$49</f>
        <v>0.4</v>
      </c>
      <c r="T23" s="8">
        <f>(Tabla13[[#This Row],[ICLC]]+(1-Tabla13[[#This Row],[ICC]]))/2</f>
        <v>0.45322916666666668</v>
      </c>
      <c r="U23" t="str">
        <f>IF(Tabla13[[#This Row],[Valor general2]]&lt; $T$51, "Bajo", IF(Tabla13[[#This Row],[Valor general2]]&lt; $T$53, "Medio", "Alto"))</f>
        <v>Medio</v>
      </c>
      <c r="V23" s="8">
        <v>1</v>
      </c>
      <c r="W23" t="str">
        <f>IF(Tabla13[[#This Row],[INN]]&lt; $V$51, "Bajo", IF(Tabla13[[#This Row],[INN]]&lt; $V$53, "Medio", "Alto"))</f>
        <v>Alto</v>
      </c>
      <c r="X23" s="8">
        <f>Tabla13[[#This Row],[Valor general]]-Tabla13[[#This Row],[Valor general2]]-Tabla13[[#This Row],[INN]]</f>
        <v>9.1236708333333336</v>
      </c>
      <c r="Y23" t="str">
        <f>IF(Tabla13[[#This Row],[Valor general de PC]]&lt; $X$51, "Alto", IF(Tabla13[[#This Row],[Valor general de PC]]&lt; $X$53, "Medio", "Bajo"))</f>
        <v>Medio</v>
      </c>
    </row>
    <row r="24" spans="1:25" x14ac:dyDescent="0.25">
      <c r="A24" s="2">
        <v>2024112230</v>
      </c>
      <c r="B24" t="s">
        <v>42</v>
      </c>
      <c r="C24" t="s">
        <v>52</v>
      </c>
      <c r="D24">
        <v>26</v>
      </c>
      <c r="E24">
        <v>3</v>
      </c>
      <c r="F24">
        <v>4</v>
      </c>
      <c r="G24" s="8">
        <v>0</v>
      </c>
      <c r="H24" s="8">
        <f>3/Tabla13[[#This Row],[LoCode]]</f>
        <v>0.11538461538461539</v>
      </c>
      <c r="I24" s="8">
        <f>Tabla13[[#This Row],[ERL]]+Tabla13[[#This Row],[IRL]]</f>
        <v>0.11538461538461539</v>
      </c>
      <c r="J24" s="8">
        <v>12</v>
      </c>
      <c r="K24" s="8">
        <f>Tabla13[[#This Row],[LoCode]]/Tabla13[[#This Row],[NoFunctions]]</f>
        <v>6.5</v>
      </c>
      <c r="L24" s="8">
        <v>0.64290000000000003</v>
      </c>
      <c r="M24" s="8" cm="1">
        <f t="array" ref="M24">SUM(Tabla13[[#This Row],[CC]:[IDC]] - Tabla13[[#This Row],[IRC]])</f>
        <v>18.796746153846154</v>
      </c>
      <c r="N24" t="str">
        <f>IF(Tabla13[[#This Row],[Valor general]]&lt; $D$51, "Alto", IF(Tabla13[[#This Row],[Valor general]]&lt; $D$53, "Medio", "Bajo"))</f>
        <v>Bajo</v>
      </c>
      <c r="O24" s="8">
        <f>1-((Tabla13[[#This Row],[TPFM]]-$K$52) / ($K$51-$K$52))</f>
        <v>0.859375</v>
      </c>
      <c r="P24" s="8">
        <v>0.09</v>
      </c>
      <c r="Q24" s="8">
        <v>0.08</v>
      </c>
      <c r="R24" s="8">
        <f>SUM(Tabla13[[#This Row],[ITPFM]:[Comentarios2]])/3</f>
        <v>0.34312499999999996</v>
      </c>
      <c r="S24" s="8">
        <f>Tabla13[[#This Row],[CC]]/$S$49</f>
        <v>1.2</v>
      </c>
      <c r="T24" s="8">
        <f>(Tabla13[[#This Row],[ICLC]]+(1-Tabla13[[#This Row],[ICC]]))/2</f>
        <v>7.1562500000000001E-2</v>
      </c>
      <c r="U24" t="str">
        <f>IF(Tabla13[[#This Row],[Valor general2]]&lt; $T$51, "Bajo", IF(Tabla13[[#This Row],[Valor general2]]&lt; $T$53, "Medio", "Alto"))</f>
        <v>Bajo</v>
      </c>
      <c r="V24" s="8">
        <v>1</v>
      </c>
      <c r="W24" t="str">
        <f>IF(Tabla13[[#This Row],[INN]]&lt; $V$51, "Bajo", IF(Tabla13[[#This Row],[INN]]&lt; $V$53, "Medio", "Alto"))</f>
        <v>Alto</v>
      </c>
      <c r="X24" s="8">
        <f>Tabla13[[#This Row],[Valor general]]-Tabla13[[#This Row],[Valor general2]]-Tabla13[[#This Row],[INN]]</f>
        <v>17.725183653846155</v>
      </c>
      <c r="Y24" t="str">
        <f>IF(Tabla13[[#This Row],[Valor general de PC]]&lt; $X$51, "Alto", IF(Tabla13[[#This Row],[Valor general de PC]]&lt; $X$53, "Medio", "Bajo"))</f>
        <v>Bajo</v>
      </c>
    </row>
    <row r="25" spans="1:25" x14ac:dyDescent="0.25">
      <c r="A25" s="2">
        <v>2024114502</v>
      </c>
      <c r="B25" t="s">
        <v>42</v>
      </c>
      <c r="C25" s="3"/>
      <c r="D25">
        <v>11</v>
      </c>
      <c r="E25">
        <v>1</v>
      </c>
      <c r="F25">
        <v>2</v>
      </c>
      <c r="G25" s="8">
        <v>0</v>
      </c>
      <c r="H25" s="8">
        <v>0</v>
      </c>
      <c r="I25" s="8">
        <f>Tabla13[[#This Row],[ERL]]+Tabla13[[#This Row],[IRL]]</f>
        <v>0</v>
      </c>
      <c r="J25" s="8">
        <v>4</v>
      </c>
      <c r="K25" s="8">
        <f>Tabla13[[#This Row],[LoCode]]/Tabla13[[#This Row],[NoFunctions]]</f>
        <v>5.5</v>
      </c>
      <c r="L25" s="8">
        <v>0.18179999999999999</v>
      </c>
      <c r="M25" s="8" cm="1">
        <f t="array" ref="M25">SUM(Tabla13[[#This Row],[CC]:[IDC]] - Tabla13[[#This Row],[IRC]])</f>
        <v>9.6818000000000008</v>
      </c>
      <c r="N25" t="str">
        <f>IF(Tabla13[[#This Row],[Valor general]]&lt; $D$51, "Alto", IF(Tabla13[[#This Row],[Valor general]]&lt; $D$53, "Medio", "Bajo"))</f>
        <v>Medio</v>
      </c>
      <c r="O25" s="8">
        <f>1-((Tabla13[[#This Row],[TPFM]]-$K$52) / ($K$51-$K$52))</f>
        <v>0.890625</v>
      </c>
      <c r="P25" s="8">
        <v>0.04</v>
      </c>
      <c r="Q25" s="8">
        <v>0.06</v>
      </c>
      <c r="R25" s="8">
        <f>SUM(Tabla13[[#This Row],[ITPFM]:[Comentarios2]])/3</f>
        <v>0.33020833333333338</v>
      </c>
      <c r="S25" s="8">
        <f>Tabla13[[#This Row],[CC]]/$S$49</f>
        <v>0.4</v>
      </c>
      <c r="T25" s="8">
        <f>(Tabla13[[#This Row],[ICLC]]+(1-Tabla13[[#This Row],[ICC]]))/2</f>
        <v>0.46510416666666665</v>
      </c>
      <c r="U25" t="str">
        <f>IF(Tabla13[[#This Row],[Valor general2]]&lt; $T$51, "Bajo", IF(Tabla13[[#This Row],[Valor general2]]&lt; $T$53, "Medio", "Alto"))</f>
        <v>Medio</v>
      </c>
      <c r="V25" s="8">
        <v>0.83330000000000004</v>
      </c>
      <c r="W25" t="str">
        <f>IF(Tabla13[[#This Row],[INN]]&lt; $V$51, "Bajo", IF(Tabla13[[#This Row],[INN]]&lt; $V$53, "Medio", "Alto"))</f>
        <v>Bajo</v>
      </c>
      <c r="X25" s="8">
        <f>Tabla13[[#This Row],[Valor general]]-Tabla13[[#This Row],[Valor general2]]-Tabla13[[#This Row],[INN]]</f>
        <v>8.3833958333333349</v>
      </c>
      <c r="Y25" t="str">
        <f>IF(Tabla13[[#This Row],[Valor general de PC]]&lt; $X$51, "Alto", IF(Tabla13[[#This Row],[Valor general de PC]]&lt; $X$53, "Medio", "Bajo"))</f>
        <v>Medio</v>
      </c>
    </row>
    <row r="26" spans="1:25" s="16" customFormat="1" hidden="1" x14ac:dyDescent="0.25">
      <c r="A26" s="50"/>
      <c r="G26" s="17"/>
      <c r="H26" s="17"/>
      <c r="I26" s="17"/>
      <c r="J26" s="17"/>
      <c r="K26" s="17"/>
      <c r="L26" s="17"/>
      <c r="M26" s="17"/>
      <c r="O26" s="17"/>
      <c r="P26" s="17"/>
      <c r="Q26" s="17"/>
      <c r="R26" s="17"/>
      <c r="S26" s="17"/>
      <c r="T26" s="17"/>
      <c r="V26" s="17"/>
      <c r="X26" s="17"/>
    </row>
    <row r="27" spans="1:25" x14ac:dyDescent="0.25">
      <c r="A27" s="2">
        <v>2024136072</v>
      </c>
      <c r="B27" t="s">
        <v>42</v>
      </c>
      <c r="D27">
        <v>9</v>
      </c>
      <c r="E27">
        <v>0</v>
      </c>
      <c r="F27">
        <v>2</v>
      </c>
      <c r="G27" s="8">
        <v>0</v>
      </c>
      <c r="H27" s="8">
        <v>0</v>
      </c>
      <c r="I27" s="8">
        <f>Tabla13[[#This Row],[ERL]]+Tabla13[[#This Row],[IRL]]</f>
        <v>0</v>
      </c>
      <c r="J27" s="8">
        <v>7</v>
      </c>
      <c r="K27" s="8">
        <f>Tabla13[[#This Row],[LoCode]]/Tabla13[[#This Row],[NoFunctions]]</f>
        <v>4.5</v>
      </c>
      <c r="L27" s="8">
        <v>0.44440000000000002</v>
      </c>
      <c r="M27" s="8" cm="1">
        <f t="array" ref="M27">SUM(Tabla13[[#This Row],[CC]:[IDC]] - Tabla13[[#This Row],[IRC]])</f>
        <v>11.9444</v>
      </c>
      <c r="N27" t="str">
        <f>IF(Tabla13[[#This Row],[Valor general]]&lt; $D$51, "Alto", IF(Tabla13[[#This Row],[Valor general]]&lt; $D$53, "Medio", "Bajo"))</f>
        <v>Medio</v>
      </c>
      <c r="O27" s="8">
        <f>1-((Tabla13[[#This Row],[TPFM]]-$K$52) / ($K$51-$K$52))</f>
        <v>0.921875</v>
      </c>
      <c r="P27" s="8">
        <v>0.02</v>
      </c>
      <c r="Q27" s="8">
        <v>0.08</v>
      </c>
      <c r="R27" s="8">
        <f>SUM(Tabla13[[#This Row],[ITPFM]:[Comentarios2]])/3</f>
        <v>0.34062500000000001</v>
      </c>
      <c r="S27" s="8">
        <f>Tabla13[[#This Row],[CC]]/$S$49</f>
        <v>0.7</v>
      </c>
      <c r="T27" s="8">
        <f>(Tabla13[[#This Row],[ICLC]]+(1-Tabla13[[#This Row],[ICC]]))/2</f>
        <v>0.3203125</v>
      </c>
      <c r="U27" t="str">
        <f>IF(Tabla13[[#This Row],[Valor general2]]&lt; $T$51, "Bajo", IF(Tabla13[[#This Row],[Valor general2]]&lt; $T$53, "Medio", "Alto"))</f>
        <v>Medio</v>
      </c>
      <c r="V27" s="8">
        <v>1</v>
      </c>
      <c r="W27" t="str">
        <f>IF(Tabla13[[#This Row],[INN]]&lt; $V$51, "Bajo", IF(Tabla13[[#This Row],[INN]]&lt; $V$53, "Medio", "Alto"))</f>
        <v>Alto</v>
      </c>
      <c r="X27" s="8">
        <f>Tabla13[[#This Row],[Valor general]]-Tabla13[[#This Row],[Valor general2]]-Tabla13[[#This Row],[INN]]</f>
        <v>10.6240875</v>
      </c>
      <c r="Y27" t="str">
        <f>IF(Tabla13[[#This Row],[Valor general de PC]]&lt; $X$51, "Alto", IF(Tabla13[[#This Row],[Valor general de PC]]&lt; $X$53, "Medio", "Bajo"))</f>
        <v>Medio</v>
      </c>
    </row>
    <row r="28" spans="1:25" x14ac:dyDescent="0.25">
      <c r="A28" s="2">
        <v>2024138712</v>
      </c>
      <c r="B28" t="s">
        <v>42</v>
      </c>
      <c r="C28" t="s">
        <v>43</v>
      </c>
      <c r="D28">
        <v>5</v>
      </c>
      <c r="E28">
        <v>0</v>
      </c>
      <c r="F28">
        <v>1</v>
      </c>
      <c r="G28" s="8">
        <v>0</v>
      </c>
      <c r="H28" s="8">
        <v>0</v>
      </c>
      <c r="I28" s="8">
        <f>Tabla13[[#This Row],[ERL]]+Tabla13[[#This Row],[IRL]]</f>
        <v>0</v>
      </c>
      <c r="J28" s="8">
        <v>3</v>
      </c>
      <c r="K28" s="8">
        <f>Tabla13[[#This Row],[LoCode]]/Tabla13[[#This Row],[NoFunctions]]</f>
        <v>5</v>
      </c>
      <c r="L28" s="8">
        <v>0.2</v>
      </c>
      <c r="M28" s="8" cm="1">
        <f t="array" ref="M28">SUM(Tabla13[[#This Row],[CC]:[IDC]] - Tabla13[[#This Row],[IRC]])</f>
        <v>8.1999999999999993</v>
      </c>
      <c r="N28" t="str">
        <f>IF(Tabla13[[#This Row],[Valor general]]&lt; $D$51, "Alto", IF(Tabla13[[#This Row],[Valor general]]&lt; $D$53, "Medio", "Bajo"))</f>
        <v>Alto</v>
      </c>
      <c r="O28" s="8">
        <f>1-((Tabla13[[#This Row],[TPFM]]-$K$52) / ($K$51-$K$52))</f>
        <v>0.90625</v>
      </c>
      <c r="P28" s="8">
        <v>0.04</v>
      </c>
      <c r="Q28" s="8">
        <v>0</v>
      </c>
      <c r="R28" s="8">
        <f>SUM(Tabla13[[#This Row],[ITPFM]:[Comentarios2]])/3</f>
        <v>0.31541666666666668</v>
      </c>
      <c r="S28" s="8">
        <f>Tabla13[[#This Row],[CC]]/$S$49</f>
        <v>0.3</v>
      </c>
      <c r="T28" s="8">
        <f>(Tabla13[[#This Row],[ICLC]]+(1-Tabla13[[#This Row],[ICC]]))/2</f>
        <v>0.50770833333333332</v>
      </c>
      <c r="U28" t="str">
        <f>IF(Tabla13[[#This Row],[Valor general2]]&lt; $T$51, "Bajo", IF(Tabla13[[#This Row],[Valor general2]]&lt; $T$53, "Medio", "Alto"))</f>
        <v>Alto</v>
      </c>
      <c r="V28" s="8">
        <v>0.75</v>
      </c>
      <c r="W28" t="str">
        <f>IF(Tabla13[[#This Row],[INN]]&lt; $V$51, "Bajo", IF(Tabla13[[#This Row],[INN]]&lt; $V$53, "Medio", "Alto"))</f>
        <v>Bajo</v>
      </c>
      <c r="X28" s="8">
        <f>Tabla13[[#This Row],[Valor general]]-Tabla13[[#This Row],[Valor general2]]-Tabla13[[#This Row],[INN]]</f>
        <v>6.9422916666666659</v>
      </c>
      <c r="Y28" t="str">
        <f>IF(Tabla13[[#This Row],[Valor general de PC]]&lt; $X$51, "Alto", IF(Tabla13[[#This Row],[Valor general de PC]]&lt; $X$53, "Medio", "Bajo"))</f>
        <v>Alto</v>
      </c>
    </row>
    <row r="29" spans="1:25" x14ac:dyDescent="0.25">
      <c r="A29" s="2">
        <v>2024140841</v>
      </c>
      <c r="B29" t="s">
        <v>42</v>
      </c>
      <c r="C29" s="3" t="s">
        <v>52</v>
      </c>
      <c r="D29">
        <v>26</v>
      </c>
      <c r="E29">
        <v>19</v>
      </c>
      <c r="F29">
        <v>4</v>
      </c>
      <c r="G29" s="8">
        <v>0</v>
      </c>
      <c r="H29" s="8">
        <v>0</v>
      </c>
      <c r="I29" s="8">
        <f>Tabla13[[#This Row],[ERL]]+Tabla13[[#This Row],[IRL]]</f>
        <v>0</v>
      </c>
      <c r="J29" s="8">
        <v>12</v>
      </c>
      <c r="K29" s="8">
        <f>Tabla13[[#This Row],[LoCode]]/Tabla13[[#This Row],[NoFunctions]]</f>
        <v>6.5</v>
      </c>
      <c r="L29" s="8">
        <v>0.65380000000000005</v>
      </c>
      <c r="M29" s="8" cm="1">
        <f t="array" ref="M29">SUM(Tabla13[[#This Row],[CC]:[IDC]] - Tabla13[[#This Row],[IRC]])</f>
        <v>19.1538</v>
      </c>
      <c r="N29" t="str">
        <f>IF(Tabla13[[#This Row],[Valor general]]&lt; $D$51, "Alto", IF(Tabla13[[#This Row],[Valor general]]&lt; $D$53, "Medio", "Bajo"))</f>
        <v>Bajo</v>
      </c>
      <c r="O29" s="8">
        <f>1-((Tabla13[[#This Row],[TPFM]]-$K$52) / ($K$51-$K$52))</f>
        <v>0.859375</v>
      </c>
      <c r="P29" s="8">
        <v>0.08</v>
      </c>
      <c r="Q29" s="8">
        <v>0.16</v>
      </c>
      <c r="R29" s="8">
        <f>SUM(Tabla13[[#This Row],[ITPFM]:[Comentarios2]])/3</f>
        <v>0.36645833333333333</v>
      </c>
      <c r="S29" s="8">
        <f>Tabla13[[#This Row],[CC]]/$S$49</f>
        <v>1.2</v>
      </c>
      <c r="T29" s="8">
        <f>(Tabla13[[#This Row],[ICLC]]+(1-Tabla13[[#This Row],[ICC]]))/2</f>
        <v>8.3229166666666687E-2</v>
      </c>
      <c r="U29" t="str">
        <f>IF(Tabla13[[#This Row],[Valor general2]]&lt; $T$51, "Bajo", IF(Tabla13[[#This Row],[Valor general2]]&lt; $T$53, "Medio", "Alto"))</f>
        <v>Bajo</v>
      </c>
      <c r="V29" s="8">
        <v>0.875</v>
      </c>
      <c r="W29" t="str">
        <f>IF(Tabla13[[#This Row],[INN]]&lt; $V$51, "Bajo", IF(Tabla13[[#This Row],[INN]]&lt; $V$53, "Medio", "Alto"))</f>
        <v>Bajo</v>
      </c>
      <c r="X29" s="8">
        <f>Tabla13[[#This Row],[Valor general]]-Tabla13[[#This Row],[Valor general2]]-Tabla13[[#This Row],[INN]]</f>
        <v>18.195570833333335</v>
      </c>
      <c r="Y29" t="str">
        <f>IF(Tabla13[[#This Row],[Valor general de PC]]&lt; $X$51, "Alto", IF(Tabla13[[#This Row],[Valor general de PC]]&lt; $X$53, "Medio", "Bajo"))</f>
        <v>Bajo</v>
      </c>
    </row>
    <row r="30" spans="1:25" x14ac:dyDescent="0.25">
      <c r="A30" s="2">
        <v>2024145117</v>
      </c>
      <c r="B30" t="s">
        <v>46</v>
      </c>
      <c r="C30" s="3" t="s">
        <v>48</v>
      </c>
      <c r="D30">
        <v>50</v>
      </c>
      <c r="E30">
        <v>3</v>
      </c>
      <c r="F30">
        <v>4</v>
      </c>
      <c r="G30" s="8">
        <v>0</v>
      </c>
      <c r="H30" s="8">
        <f>2/Tabla13[[#This Row],[LoCode]]</f>
        <v>0.04</v>
      </c>
      <c r="I30" s="8">
        <f>Tabla13[[#This Row],[ERL]]+Tabla13[[#This Row],[IRL]]</f>
        <v>0.04</v>
      </c>
      <c r="J30" s="8">
        <v>12</v>
      </c>
      <c r="K30" s="8">
        <f>Tabla13[[#This Row],[LoCode]]/Tabla13[[#This Row],[NoFunctions]]</f>
        <v>12.5</v>
      </c>
      <c r="L30" s="8">
        <v>0.38</v>
      </c>
      <c r="M30" s="8" cm="1">
        <f t="array" ref="M30">SUM(Tabla13[[#This Row],[CC]:[IDC]] - Tabla13[[#This Row],[IRC]])</f>
        <v>24.76</v>
      </c>
      <c r="N30" t="str">
        <f>IF(Tabla13[[#This Row],[Valor general]]&lt; $D$51, "Alto", IF(Tabla13[[#This Row],[Valor general]]&lt; $D$53, "Medio", "Bajo"))</f>
        <v>Bajo</v>
      </c>
      <c r="O30" s="8">
        <f>1-((Tabla13[[#This Row],[TPFM]]-$K$52) / ($K$51-$K$52))</f>
        <v>0.671875</v>
      </c>
      <c r="P30" s="8">
        <v>0.06</v>
      </c>
      <c r="Q30" s="8">
        <v>7.0000000000000007E-2</v>
      </c>
      <c r="R30" s="8">
        <f>SUM(Tabla13[[#This Row],[ITPFM]:[Comentarios2]])/3</f>
        <v>0.26729166666666671</v>
      </c>
      <c r="S30" s="8">
        <f>Tabla13[[#This Row],[CC]]/$S$49</f>
        <v>1.2</v>
      </c>
      <c r="T30" s="8">
        <f>(Tabla13[[#This Row],[ICLC]]+(1-Tabla13[[#This Row],[ICC]]))/2</f>
        <v>3.3645833333333375E-2</v>
      </c>
      <c r="U30" t="str">
        <f>IF(Tabla13[[#This Row],[Valor general2]]&lt; $T$51, "Bajo", IF(Tabla13[[#This Row],[Valor general2]]&lt; $T$53, "Medio", "Alto"))</f>
        <v>Bajo</v>
      </c>
      <c r="V30" s="8">
        <v>1</v>
      </c>
      <c r="W30" t="str">
        <f>IF(Tabla13[[#This Row],[INN]]&lt; $V$51, "Bajo", IF(Tabla13[[#This Row],[INN]]&lt; $V$53, "Medio", "Alto"))</f>
        <v>Alto</v>
      </c>
      <c r="X30" s="8">
        <f>Tabla13[[#This Row],[Valor general]]-Tabla13[[#This Row],[Valor general2]]-Tabla13[[#This Row],[INN]]</f>
        <v>23.726354166666667</v>
      </c>
      <c r="Y30" t="str">
        <f>IF(Tabla13[[#This Row],[Valor general de PC]]&lt; $X$51, "Alto", IF(Tabla13[[#This Row],[Valor general de PC]]&lt; $X$53, "Medio", "Bajo"))</f>
        <v>Bajo</v>
      </c>
    </row>
    <row r="31" spans="1:25" x14ac:dyDescent="0.25">
      <c r="A31" s="2">
        <v>2024145153</v>
      </c>
      <c r="B31" t="s">
        <v>44</v>
      </c>
      <c r="C31" t="s">
        <v>45</v>
      </c>
      <c r="D31">
        <v>5</v>
      </c>
      <c r="E31">
        <v>0</v>
      </c>
      <c r="F31">
        <v>1</v>
      </c>
      <c r="G31" s="8">
        <v>0</v>
      </c>
      <c r="H31" s="8">
        <v>0</v>
      </c>
      <c r="I31" s="8">
        <f>Tabla13[[#This Row],[ERL]]+Tabla13[[#This Row],[IRL]]</f>
        <v>0</v>
      </c>
      <c r="J31" s="8">
        <v>3</v>
      </c>
      <c r="K31" s="8">
        <f>Tabla13[[#This Row],[LoCode]]/Tabla13[[#This Row],[NoFunctions]]</f>
        <v>5</v>
      </c>
      <c r="L31" s="8">
        <v>0</v>
      </c>
      <c r="M31" s="8" cm="1">
        <f t="array" ref="M31">SUM(Tabla13[[#This Row],[CC]:[IDC]] - Tabla13[[#This Row],[IRC]])</f>
        <v>8</v>
      </c>
      <c r="N31" t="str">
        <f>IF(Tabla13[[#This Row],[Valor general]]&lt; $D$51, "Alto", IF(Tabla13[[#This Row],[Valor general]]&lt; $D$53, "Medio", "Bajo"))</f>
        <v>Alto</v>
      </c>
      <c r="O31" s="8">
        <f>1-((Tabla13[[#This Row],[TPFM]]-$K$52) / ($K$51-$K$52))</f>
        <v>0.90625</v>
      </c>
      <c r="P31" s="8">
        <v>0.02</v>
      </c>
      <c r="Q31" s="8">
        <v>0</v>
      </c>
      <c r="R31" s="8">
        <f>SUM(Tabla13[[#This Row],[ITPFM]:[Comentarios2]])/3</f>
        <v>0.30875000000000002</v>
      </c>
      <c r="S31" s="8">
        <f>Tabla13[[#This Row],[CC]]/$S$49</f>
        <v>0.3</v>
      </c>
      <c r="T31" s="8">
        <f>(Tabla13[[#This Row],[ICLC]]+(1-Tabla13[[#This Row],[ICC]]))/2</f>
        <v>0.50437500000000002</v>
      </c>
      <c r="U31" t="str">
        <f>IF(Tabla13[[#This Row],[Valor general2]]&lt; $T$51, "Bajo", IF(Tabla13[[#This Row],[Valor general2]]&lt; $T$53, "Medio", "Alto"))</f>
        <v>Medio</v>
      </c>
      <c r="V31" s="8">
        <v>1</v>
      </c>
      <c r="W31" t="str">
        <f>IF(Tabla13[[#This Row],[INN]]&lt; $V$51, "Bajo", IF(Tabla13[[#This Row],[INN]]&lt; $V$53, "Medio", "Alto"))</f>
        <v>Alto</v>
      </c>
      <c r="X31" s="8">
        <f>Tabla13[[#This Row],[Valor general]]-Tabla13[[#This Row],[Valor general2]]-Tabla13[[#This Row],[INN]]</f>
        <v>6.4956250000000004</v>
      </c>
      <c r="Y31" t="str">
        <f>IF(Tabla13[[#This Row],[Valor general de PC]]&lt; $X$51, "Alto", IF(Tabla13[[#This Row],[Valor general de PC]]&lt; $X$53, "Medio", "Bajo"))</f>
        <v>Alto</v>
      </c>
    </row>
    <row r="32" spans="1:25" x14ac:dyDescent="0.25">
      <c r="A32" s="2">
        <v>2024163735</v>
      </c>
      <c r="B32" t="s">
        <v>42</v>
      </c>
      <c r="C32" t="s">
        <v>49</v>
      </c>
      <c r="D32">
        <v>12</v>
      </c>
      <c r="E32">
        <v>5</v>
      </c>
      <c r="F32">
        <v>2</v>
      </c>
      <c r="G32" s="8">
        <v>0</v>
      </c>
      <c r="H32" s="8">
        <v>0</v>
      </c>
      <c r="I32" s="8">
        <f>Tabla13[[#This Row],[ERL]]+Tabla13[[#This Row],[IRL]]</f>
        <v>0</v>
      </c>
      <c r="J32" s="8">
        <v>6</v>
      </c>
      <c r="K32" s="8">
        <f>Tabla13[[#This Row],[LoCode]]/Tabla13[[#This Row],[NoFunctions]]</f>
        <v>6</v>
      </c>
      <c r="L32" s="8">
        <v>0.21429999999999999</v>
      </c>
      <c r="M32" s="8" cm="1">
        <f t="array" ref="M32">SUM(Tabla13[[#This Row],[CC]:[IDC]] - Tabla13[[#This Row],[IRC]])</f>
        <v>12.2143</v>
      </c>
      <c r="N32" t="str">
        <f>IF(Tabla13[[#This Row],[Valor general]]&lt; $D$51, "Alto", IF(Tabla13[[#This Row],[Valor general]]&lt; $D$53, "Medio", "Bajo"))</f>
        <v>Medio</v>
      </c>
      <c r="O32" s="8">
        <f>1-((Tabla13[[#This Row],[TPFM]]-$K$52) / ($K$51-$K$52))</f>
        <v>0.875</v>
      </c>
      <c r="P32" s="8">
        <v>0.04</v>
      </c>
      <c r="Q32" s="8">
        <v>0.1</v>
      </c>
      <c r="R32" s="8">
        <f>SUM(Tabla13[[#This Row],[ITPFM]:[Comentarios2]])/3</f>
        <v>0.33833333333333337</v>
      </c>
      <c r="S32" s="8">
        <f>Tabla13[[#This Row],[CC]]/$S$49</f>
        <v>0.6</v>
      </c>
      <c r="T32" s="8">
        <f>(Tabla13[[#This Row],[ICLC]]+(1-Tabla13[[#This Row],[ICC]]))/2</f>
        <v>0.3691666666666667</v>
      </c>
      <c r="U32" t="str">
        <f>IF(Tabla13[[#This Row],[Valor general2]]&lt; $T$51, "Bajo", IF(Tabla13[[#This Row],[Valor general2]]&lt; $T$53, "Medio", "Alto"))</f>
        <v>Medio</v>
      </c>
      <c r="V32" s="8">
        <v>1</v>
      </c>
      <c r="W32" t="str">
        <f>IF(Tabla13[[#This Row],[INN]]&lt; $V$51, "Bajo", IF(Tabla13[[#This Row],[INN]]&lt; $V$53, "Medio", "Alto"))</f>
        <v>Alto</v>
      </c>
      <c r="X32" s="8">
        <f>Tabla13[[#This Row],[Valor general]]-Tabla13[[#This Row],[Valor general2]]-Tabla13[[#This Row],[INN]]</f>
        <v>10.845133333333333</v>
      </c>
      <c r="Y32" t="str">
        <f>IF(Tabla13[[#This Row],[Valor general de PC]]&lt; $X$51, "Alto", IF(Tabla13[[#This Row],[Valor general de PC]]&lt; $X$53, "Medio", "Bajo"))</f>
        <v>Medio</v>
      </c>
    </row>
    <row r="33" spans="1:25" x14ac:dyDescent="0.25">
      <c r="A33" s="2">
        <v>2024178193</v>
      </c>
      <c r="B33" t="s">
        <v>46</v>
      </c>
      <c r="C33" t="s">
        <v>54</v>
      </c>
      <c r="D33">
        <v>12</v>
      </c>
      <c r="E33">
        <v>1</v>
      </c>
      <c r="F33">
        <v>1</v>
      </c>
      <c r="G33" s="8">
        <v>0</v>
      </c>
      <c r="H33" s="8">
        <v>0</v>
      </c>
      <c r="I33" s="8">
        <f>Tabla13[[#This Row],[ERL]]+Tabla13[[#This Row],[IRL]]</f>
        <v>0</v>
      </c>
      <c r="J33" s="8">
        <v>3</v>
      </c>
      <c r="K33" s="8">
        <f>Tabla13[[#This Row],[LoCode]]/Tabla13[[#This Row],[NoFunctions]]</f>
        <v>12</v>
      </c>
      <c r="L33" s="8">
        <v>0.25</v>
      </c>
      <c r="M33" s="8" cm="1">
        <f t="array" ref="M33">SUM(Tabla13[[#This Row],[CC]:[IDC]] - Tabla13[[#This Row],[IRC]])</f>
        <v>15.25</v>
      </c>
      <c r="N33" t="str">
        <f>IF(Tabla13[[#This Row],[Valor general]]&lt; $D$51, "Alto", IF(Tabla13[[#This Row],[Valor general]]&lt; $D$53, "Medio", "Bajo"))</f>
        <v>Medio</v>
      </c>
      <c r="O33" s="8">
        <f>1-((Tabla13[[#This Row],[TPFM]]-$K$52) / ($K$51-$K$52))</f>
        <v>0.6875</v>
      </c>
      <c r="P33" s="8">
        <v>2.4389999999999998E-2</v>
      </c>
      <c r="Q33" s="8">
        <v>0</v>
      </c>
      <c r="R33" s="8">
        <f>SUM(Tabla13[[#This Row],[ITPFM]:[Comentarios2]])/3</f>
        <v>0.23729666666666668</v>
      </c>
      <c r="S33" s="8">
        <f>Tabla13[[#This Row],[CC]]/$S$49</f>
        <v>0.3</v>
      </c>
      <c r="T33" s="8">
        <f>(Tabla13[[#This Row],[ICLC]]+(1-Tabla13[[#This Row],[ICC]]))/2</f>
        <v>0.46864833333333333</v>
      </c>
      <c r="U33" t="str">
        <f>IF(Tabla13[[#This Row],[Valor general2]]&lt; $T$51, "Bajo", IF(Tabla13[[#This Row],[Valor general2]]&lt; $T$53, "Medio", "Alto"))</f>
        <v>Medio</v>
      </c>
      <c r="V33" s="8">
        <v>1</v>
      </c>
      <c r="W33" t="str">
        <f>IF(Tabla13[[#This Row],[INN]]&lt; $V$51, "Bajo", IF(Tabla13[[#This Row],[INN]]&lt; $V$53, "Medio", "Alto"))</f>
        <v>Alto</v>
      </c>
      <c r="X33" s="8">
        <f>Tabla13[[#This Row],[Valor general]]-Tabla13[[#This Row],[Valor general2]]-Tabla13[[#This Row],[INN]]</f>
        <v>13.781351666666666</v>
      </c>
      <c r="Y33" t="str">
        <f>IF(Tabla13[[#This Row],[Valor general de PC]]&lt; $X$51, "Alto", IF(Tabla13[[#This Row],[Valor general de PC]]&lt; $X$53, "Medio", "Bajo"))</f>
        <v>Medio</v>
      </c>
    </row>
    <row r="34" spans="1:25" x14ac:dyDescent="0.25">
      <c r="A34" s="2">
        <v>2024178653</v>
      </c>
      <c r="B34" t="s">
        <v>42</v>
      </c>
      <c r="D34">
        <v>8</v>
      </c>
      <c r="E34">
        <v>7</v>
      </c>
      <c r="F34">
        <v>1</v>
      </c>
      <c r="G34" s="8">
        <v>0</v>
      </c>
      <c r="H34" s="8">
        <v>0</v>
      </c>
      <c r="I34" s="8">
        <v>0</v>
      </c>
      <c r="J34" s="8">
        <v>3</v>
      </c>
      <c r="K34" s="8">
        <f>Tabla13[[#This Row],[LoCode]]/Tabla13[[#This Row],[NoFunctions]]</f>
        <v>8</v>
      </c>
      <c r="L34" s="8">
        <v>7.1400000000000005E-2</v>
      </c>
      <c r="M34" s="8" cm="1">
        <f t="array" ref="M34">SUM(Tabla13[[#This Row],[CC]:[IDC]] - Tabla13[[#This Row],[IRC]])</f>
        <v>11.071400000000001</v>
      </c>
      <c r="N34" t="str">
        <f>IF(Tabla13[[#This Row],[Valor general]]&lt; $D$51, "Alto", IF(Tabla13[[#This Row],[Valor general]]&lt; $D$53, "Medio", "Bajo"))</f>
        <v>Medio</v>
      </c>
      <c r="O34" s="8">
        <f>1-((Tabla13[[#This Row],[TPFM]]-$K$52) / ($K$51-$K$52))</f>
        <v>0.8125</v>
      </c>
      <c r="P34" s="8">
        <v>0.02</v>
      </c>
      <c r="Q34" s="8">
        <v>7.0000000000000007E-2</v>
      </c>
      <c r="R34" s="8">
        <f>SUM(Tabla13[[#This Row],[ITPFM]:[Comentarios2]])/3</f>
        <v>0.30083333333333334</v>
      </c>
      <c r="S34" s="8">
        <f>Tabla13[[#This Row],[CC]]/$S$49</f>
        <v>0.3</v>
      </c>
      <c r="T34" s="8">
        <f>(Tabla13[[#This Row],[ICLC]]+(1-Tabla13[[#This Row],[ICC]]))/2</f>
        <v>0.50041666666666662</v>
      </c>
      <c r="U34" t="str">
        <f>IF(Tabla13[[#This Row],[Valor general2]]&lt; $T$51, "Bajo", IF(Tabla13[[#This Row],[Valor general2]]&lt; $T$53, "Medio", "Alto"))</f>
        <v>Medio</v>
      </c>
      <c r="V34" s="8">
        <v>1</v>
      </c>
      <c r="W34" t="str">
        <f>IF(Tabla13[[#This Row],[INN]]&lt; $V$51, "Bajo", IF(Tabla13[[#This Row],[INN]]&lt; $V$53, "Medio", "Alto"))</f>
        <v>Alto</v>
      </c>
      <c r="X34" s="8">
        <f>Tabla13[[#This Row],[Valor general]]-Tabla13[[#This Row],[Valor general2]]-Tabla13[[#This Row],[INN]]</f>
        <v>9.5709833333333343</v>
      </c>
      <c r="Y34" t="str">
        <f>IF(Tabla13[[#This Row],[Valor general de PC]]&lt; $X$51, "Alto", IF(Tabla13[[#This Row],[Valor general de PC]]&lt; $X$53, "Medio", "Bajo"))</f>
        <v>Medio</v>
      </c>
    </row>
    <row r="35" spans="1:25" x14ac:dyDescent="0.25">
      <c r="A35" s="2">
        <v>2024192981</v>
      </c>
      <c r="B35" t="s">
        <v>42</v>
      </c>
      <c r="D35">
        <v>12</v>
      </c>
      <c r="E35">
        <v>0</v>
      </c>
      <c r="F35">
        <v>2</v>
      </c>
      <c r="G35" s="8">
        <v>0</v>
      </c>
      <c r="H35" s="8">
        <v>0</v>
      </c>
      <c r="I35" s="8">
        <f>Tabla13[[#This Row],[ERL]]+Tabla13[[#This Row],[IRL]]</f>
        <v>0</v>
      </c>
      <c r="J35" s="8">
        <v>6</v>
      </c>
      <c r="K35" s="8">
        <f>Tabla13[[#This Row],[LoCode]]/Tabla13[[#This Row],[NoFunctions]]</f>
        <v>6</v>
      </c>
      <c r="L35" s="8">
        <v>0.5</v>
      </c>
      <c r="M35" s="8" cm="1">
        <f t="array" ref="M35">SUM(Tabla13[[#This Row],[CC]:[IDC]] - Tabla13[[#This Row],[IRC]])</f>
        <v>12.5</v>
      </c>
      <c r="N35" t="str">
        <f>IF(Tabla13[[#This Row],[Valor general]]&lt; $D$51, "Alto", IF(Tabla13[[#This Row],[Valor general]]&lt; $D$53, "Medio", "Bajo"))</f>
        <v>Medio</v>
      </c>
      <c r="O35" s="8">
        <f>1-((Tabla13[[#This Row],[TPFM]]-$K$52) / ($K$51-$K$52))</f>
        <v>0.875</v>
      </c>
      <c r="P35" s="8">
        <v>0.06</v>
      </c>
      <c r="Q35" s="8">
        <v>0.1</v>
      </c>
      <c r="R35" s="8">
        <f>SUM(Tabla13[[#This Row],[ITPFM]:[Comentarios2]])/3</f>
        <v>0.34500000000000003</v>
      </c>
      <c r="S35" s="8">
        <f>Tabla13[[#This Row],[CC]]/$S$49</f>
        <v>0.6</v>
      </c>
      <c r="T35" s="8">
        <f>(Tabla13[[#This Row],[ICLC]]+(1-Tabla13[[#This Row],[ICC]]))/2</f>
        <v>0.37250000000000005</v>
      </c>
      <c r="U35" t="str">
        <f>IF(Tabla13[[#This Row],[Valor general2]]&lt; $T$51, "Bajo", IF(Tabla13[[#This Row],[Valor general2]]&lt; $T$53, "Medio", "Alto"))</f>
        <v>Medio</v>
      </c>
      <c r="V35" s="8">
        <v>0.8</v>
      </c>
      <c r="W35" t="str">
        <f>IF(Tabla13[[#This Row],[INN]]&lt; $V$51, "Bajo", IF(Tabla13[[#This Row],[INN]]&lt; $V$53, "Medio", "Alto"))</f>
        <v>Bajo</v>
      </c>
      <c r="X35" s="8">
        <f>Tabla13[[#This Row],[Valor general]]-Tabla13[[#This Row],[Valor general2]]-Tabla13[[#This Row],[INN]]</f>
        <v>11.327499999999999</v>
      </c>
      <c r="Y35" t="str">
        <f>IF(Tabla13[[#This Row],[Valor general de PC]]&lt; $X$51, "Alto", IF(Tabla13[[#This Row],[Valor general de PC]]&lt; $X$53, "Medio", "Bajo"))</f>
        <v>Medio</v>
      </c>
    </row>
    <row r="36" spans="1:25" x14ac:dyDescent="0.25">
      <c r="A36" s="2">
        <v>2024201088</v>
      </c>
      <c r="B36" t="s">
        <v>44</v>
      </c>
      <c r="C36" t="s">
        <v>51</v>
      </c>
      <c r="D36">
        <v>26</v>
      </c>
      <c r="E36">
        <v>0</v>
      </c>
      <c r="F36">
        <v>1</v>
      </c>
      <c r="G36" s="8">
        <v>0</v>
      </c>
      <c r="H36" s="8">
        <v>0</v>
      </c>
      <c r="I36" s="8">
        <f>Tabla13[[#This Row],[ERL]]+Tabla13[[#This Row],[IRL]]</f>
        <v>0</v>
      </c>
      <c r="J36" s="8">
        <v>10</v>
      </c>
      <c r="K36" s="8">
        <f>Tabla13[[#This Row],[LoCode]]/Tabla13[[#This Row],[NoFunctions]]</f>
        <v>26</v>
      </c>
      <c r="L36" s="8">
        <v>0.34620000000000001</v>
      </c>
      <c r="M36" s="8" cm="1">
        <f t="array" ref="M36">SUM(Tabla13[[#This Row],[CC]:[IDC]] - Tabla13[[#This Row],[IRC]])</f>
        <v>36.346200000000003</v>
      </c>
      <c r="N36" t="str">
        <f>IF(Tabla13[[#This Row],[Valor general]]&lt; $D$51, "Alto", IF(Tabla13[[#This Row],[Valor general]]&lt; $D$53, "Medio", "Bajo"))</f>
        <v>Bajo</v>
      </c>
      <c r="O36" s="8">
        <f>1-((Tabla13[[#This Row],[TPFM]]-$K$52) / ($K$51-$K$52))</f>
        <v>0.25</v>
      </c>
      <c r="P36" s="8">
        <v>2.4E-2</v>
      </c>
      <c r="Q36" s="8">
        <v>0</v>
      </c>
      <c r="R36" s="8">
        <f>SUM(Tabla13[[#This Row],[ITPFM]:[Comentarios2]])/3</f>
        <v>9.1333333333333336E-2</v>
      </c>
      <c r="S36" s="8">
        <f>Tabla13[[#This Row],[CC]]/$S$49</f>
        <v>1</v>
      </c>
      <c r="T36" s="8">
        <f>(Tabla13[[#This Row],[ICLC]]+(1-Tabla13[[#This Row],[ICC]]))/2</f>
        <v>4.5666666666666668E-2</v>
      </c>
      <c r="U36" t="str">
        <f>IF(Tabla13[[#This Row],[Valor general2]]&lt; $T$51, "Bajo", IF(Tabla13[[#This Row],[Valor general2]]&lt; $T$53, "Medio", "Alto"))</f>
        <v>Bajo</v>
      </c>
      <c r="V36" s="8">
        <v>1</v>
      </c>
      <c r="W36" t="str">
        <f>IF(Tabla13[[#This Row],[INN]]&lt; $V$51, "Bajo", IF(Tabla13[[#This Row],[INN]]&lt; $V$53, "Medio", "Alto"))</f>
        <v>Alto</v>
      </c>
      <c r="X36" s="8">
        <f>Tabla13[[#This Row],[Valor general]]-Tabla13[[#This Row],[Valor general2]]-Tabla13[[#This Row],[INN]]</f>
        <v>35.300533333333334</v>
      </c>
      <c r="Y36" t="str">
        <f>IF(Tabla13[[#This Row],[Valor general de PC]]&lt; $X$51, "Alto", IF(Tabla13[[#This Row],[Valor general de PC]]&lt; $X$53, "Medio", "Bajo"))</f>
        <v>Bajo</v>
      </c>
    </row>
    <row r="37" spans="1:25" x14ac:dyDescent="0.25">
      <c r="A37" s="2">
        <v>2024202804</v>
      </c>
      <c r="B37" t="s">
        <v>44</v>
      </c>
      <c r="C37" t="s">
        <v>45</v>
      </c>
      <c r="D37">
        <v>7</v>
      </c>
      <c r="E37">
        <v>0</v>
      </c>
      <c r="F37">
        <v>1</v>
      </c>
      <c r="G37" s="8">
        <v>0</v>
      </c>
      <c r="H37" s="8">
        <v>0</v>
      </c>
      <c r="I37" s="8">
        <f>Tabla13[[#This Row],[ERL]]+Tabla13[[#This Row],[IRL]]</f>
        <v>0</v>
      </c>
      <c r="J37" s="8">
        <v>4</v>
      </c>
      <c r="K37" s="8">
        <f>Tabla13[[#This Row],[LoCode]]/Tabla13[[#This Row],[NoFunctions]]</f>
        <v>7</v>
      </c>
      <c r="L37" s="8">
        <v>0</v>
      </c>
      <c r="M37" s="8" cm="1">
        <f t="array" ref="M37">SUM(Tabla13[[#This Row],[CC]:[IDC]] - Tabla13[[#This Row],[IRC]])</f>
        <v>11</v>
      </c>
      <c r="N37" t="str">
        <f>IF(Tabla13[[#This Row],[Valor general]]&lt; $D$51, "Alto", IF(Tabla13[[#This Row],[Valor general]]&lt; $D$53, "Medio", "Bajo"))</f>
        <v>Medio</v>
      </c>
      <c r="O37" s="8">
        <f>1-((Tabla13[[#This Row],[TPFM]]-$K$52) / ($K$51-$K$52))</f>
        <v>0.84375</v>
      </c>
      <c r="P37" s="8">
        <v>0.04</v>
      </c>
      <c r="Q37" s="8">
        <v>0</v>
      </c>
      <c r="R37" s="8">
        <f>SUM(Tabla13[[#This Row],[ITPFM]:[Comentarios2]])/3</f>
        <v>0.29458333333333336</v>
      </c>
      <c r="S37" s="8">
        <f>Tabla13[[#This Row],[CC]]/$S$49</f>
        <v>0.4</v>
      </c>
      <c r="T37" s="8">
        <f>(Tabla13[[#This Row],[ICLC]]+(1-Tabla13[[#This Row],[ICC]]))/2</f>
        <v>0.44729166666666664</v>
      </c>
      <c r="U37" t="str">
        <f>IF(Tabla13[[#This Row],[Valor general2]]&lt; $T$51, "Bajo", IF(Tabla13[[#This Row],[Valor general2]]&lt; $T$53, "Medio", "Alto"))</f>
        <v>Medio</v>
      </c>
      <c r="V37" s="8">
        <v>1</v>
      </c>
      <c r="W37" t="str">
        <f>IF(Tabla13[[#This Row],[INN]]&lt; $V$51, "Bajo", IF(Tabla13[[#This Row],[INN]]&lt; $V$53, "Medio", "Alto"))</f>
        <v>Alto</v>
      </c>
      <c r="X37" s="8">
        <f>Tabla13[[#This Row],[Valor general]]-Tabla13[[#This Row],[Valor general2]]-Tabla13[[#This Row],[INN]]</f>
        <v>9.5527083333333334</v>
      </c>
      <c r="Y37" t="str">
        <f>IF(Tabla13[[#This Row],[Valor general de PC]]&lt; $X$51, "Alto", IF(Tabla13[[#This Row],[Valor general de PC]]&lt; $X$53, "Medio", "Bajo"))</f>
        <v>Medio</v>
      </c>
    </row>
    <row r="38" spans="1:25" x14ac:dyDescent="0.25">
      <c r="A38" s="2">
        <v>2024252331</v>
      </c>
      <c r="B38" t="s">
        <v>42</v>
      </c>
      <c r="C38" s="3" t="s">
        <v>48</v>
      </c>
      <c r="D38">
        <v>34</v>
      </c>
      <c r="E38">
        <v>7</v>
      </c>
      <c r="F38">
        <v>1</v>
      </c>
      <c r="G38" s="8">
        <v>0</v>
      </c>
      <c r="H38" s="8">
        <f>2/Tabla13[[#This Row],[LoCode]]</f>
        <v>5.8823529411764705E-2</v>
      </c>
      <c r="I38" s="8">
        <f>Tabla13[[#This Row],[ERL]]+Tabla13[[#This Row],[IRL]]</f>
        <v>5.8823529411764705E-2</v>
      </c>
      <c r="J38" s="8">
        <v>5</v>
      </c>
      <c r="K38" s="8">
        <f>Tabla13[[#This Row],[LoCode]]/Tabla13[[#This Row],[NoFunctions]]</f>
        <v>34</v>
      </c>
      <c r="L38" s="8">
        <v>0.23530000000000001</v>
      </c>
      <c r="M38" s="8" cm="1">
        <f t="array" ref="M38">SUM(Tabla13[[#This Row],[CC]:[IDC]] - Tabla13[[#This Row],[IRC]])</f>
        <v>39.058829411764698</v>
      </c>
      <c r="N38" t="str">
        <f>IF(Tabla13[[#This Row],[Valor general]]&lt; $D$51, "Alto", IF(Tabla13[[#This Row],[Valor general]]&lt; $D$53, "Medio", "Bajo"))</f>
        <v>Bajo</v>
      </c>
      <c r="O38" s="8">
        <f>1-((Tabla13[[#This Row],[TPFM]]-$K$52) / ($K$51-$K$52))</f>
        <v>0</v>
      </c>
      <c r="P38" s="8">
        <v>0.06</v>
      </c>
      <c r="Q38" s="8">
        <v>0.06</v>
      </c>
      <c r="R38" s="8">
        <f>SUM(Tabla13[[#This Row],[ITPFM]:[Comentarios2]])/3</f>
        <v>0.04</v>
      </c>
      <c r="S38" s="8">
        <f>Tabla13[[#This Row],[CC]]/$S$49</f>
        <v>0.5</v>
      </c>
      <c r="T38" s="8">
        <f>(Tabla13[[#This Row],[ICLC]]+(1-Tabla13[[#This Row],[ICC]]))/2</f>
        <v>0.27</v>
      </c>
      <c r="U38" t="str">
        <f>IF(Tabla13[[#This Row],[Valor general2]]&lt; $T$51, "Bajo", IF(Tabla13[[#This Row],[Valor general2]]&lt; $T$53, "Medio", "Alto"))</f>
        <v>Medio</v>
      </c>
      <c r="V38" s="8">
        <v>1</v>
      </c>
      <c r="W38" t="str">
        <f>IF(Tabla13[[#This Row],[INN]]&lt; $V$51, "Bajo", IF(Tabla13[[#This Row],[INN]]&lt; $V$53, "Medio", "Alto"))</f>
        <v>Alto</v>
      </c>
      <c r="X38" s="8">
        <f>Tabla13[[#This Row],[Valor general]]-Tabla13[[#This Row],[Valor general2]]-Tabla13[[#This Row],[INN]]</f>
        <v>37.788829411764695</v>
      </c>
      <c r="Y38" t="str">
        <f>IF(Tabla13[[#This Row],[Valor general de PC]]&lt; $X$51, "Alto", IF(Tabla13[[#This Row],[Valor general de PC]]&lt; $X$53, "Medio", "Bajo"))</f>
        <v>Bajo</v>
      </c>
    </row>
    <row r="39" spans="1:25" x14ac:dyDescent="0.25">
      <c r="A39" s="2">
        <v>2024253395</v>
      </c>
      <c r="B39" t="s">
        <v>42</v>
      </c>
      <c r="C39" t="s">
        <v>54</v>
      </c>
      <c r="D39">
        <v>12</v>
      </c>
      <c r="E39">
        <v>1</v>
      </c>
      <c r="F39">
        <v>1</v>
      </c>
      <c r="G39" s="8">
        <v>0</v>
      </c>
      <c r="H39" s="8">
        <f>3/Tabla13[[#This Row],[LoCode]]</f>
        <v>0.25</v>
      </c>
      <c r="I39" s="8">
        <f>Tabla13[[#This Row],[ERL]]+Tabla13[[#This Row],[IRL]]</f>
        <v>0.25</v>
      </c>
      <c r="J39" s="8">
        <v>3</v>
      </c>
      <c r="K39" s="8">
        <f>Tabla13[[#This Row],[LoCode]]/Tabla13[[#This Row],[NoFunctions]]</f>
        <v>12</v>
      </c>
      <c r="L39" s="8">
        <v>0.33300000000000002</v>
      </c>
      <c r="M39" s="8" cm="1">
        <f t="array" ref="M39">SUM(Tabla13[[#This Row],[CC]:[IDC]] - Tabla13[[#This Row],[IRC]])</f>
        <v>14.583</v>
      </c>
      <c r="N39" t="str">
        <f>IF(Tabla13[[#This Row],[Valor general]]&lt; $D$51, "Alto", IF(Tabla13[[#This Row],[Valor general]]&lt; $D$53, "Medio", "Bajo"))</f>
        <v>Medio</v>
      </c>
      <c r="O39" s="8">
        <f>1-((Tabla13[[#This Row],[TPFM]]-$K$52) / ($K$51-$K$52))</f>
        <v>0.6875</v>
      </c>
      <c r="P39" s="8">
        <v>0.02</v>
      </c>
      <c r="Q39" s="8">
        <v>0</v>
      </c>
      <c r="R39" s="8">
        <f>SUM(Tabla13[[#This Row],[ITPFM]:[Comentarios2]])/3</f>
        <v>0.23583333333333334</v>
      </c>
      <c r="S39" s="8">
        <f>Tabla13[[#This Row],[CC]]/$S$49</f>
        <v>0.3</v>
      </c>
      <c r="T39" s="8">
        <f>(Tabla13[[#This Row],[ICLC]]+(1-Tabla13[[#This Row],[ICC]]))/2</f>
        <v>0.46791666666666665</v>
      </c>
      <c r="U39" t="str">
        <f>IF(Tabla13[[#This Row],[Valor general2]]&lt; $T$51, "Bajo", IF(Tabla13[[#This Row],[Valor general2]]&lt; $T$53, "Medio", "Alto"))</f>
        <v>Medio</v>
      </c>
      <c r="V39" s="8">
        <v>1</v>
      </c>
      <c r="W39" t="str">
        <f>IF(Tabla13[[#This Row],[INN]]&lt; $V$51, "Bajo", IF(Tabla13[[#This Row],[INN]]&lt; $V$53, "Medio", "Alto"))</f>
        <v>Alto</v>
      </c>
      <c r="X39" s="8">
        <f>Tabla13[[#This Row],[Valor general]]-Tabla13[[#This Row],[Valor general2]]-Tabla13[[#This Row],[INN]]</f>
        <v>13.115083333333333</v>
      </c>
      <c r="Y39" t="str">
        <f>IF(Tabla13[[#This Row],[Valor general de PC]]&lt; $X$51, "Alto", IF(Tabla13[[#This Row],[Valor general de PC]]&lt; $X$53, "Medio", "Bajo"))</f>
        <v>Medio</v>
      </c>
    </row>
    <row r="40" spans="1:25" x14ac:dyDescent="0.25">
      <c r="A40" s="2">
        <v>2024253434</v>
      </c>
      <c r="B40" t="s">
        <v>42</v>
      </c>
      <c r="C40" t="s">
        <v>43</v>
      </c>
      <c r="D40">
        <v>20</v>
      </c>
      <c r="E40">
        <v>7</v>
      </c>
      <c r="F40">
        <v>1</v>
      </c>
      <c r="G40" s="8">
        <v>0</v>
      </c>
      <c r="H40" s="8">
        <f>3/Tabla13[[#This Row],[LoCode]]</f>
        <v>0.15</v>
      </c>
      <c r="I40" s="8">
        <f>Tabla13[[#This Row],[ERL]]+Tabla13[[#This Row],[IRL]]</f>
        <v>0.15</v>
      </c>
      <c r="J40" s="8">
        <v>3</v>
      </c>
      <c r="K40" s="8">
        <f>Tabla13[[#This Row],[LoCode]]/Tabla13[[#This Row],[NoFunctions]]</f>
        <v>20</v>
      </c>
      <c r="L40" s="8">
        <v>0.4</v>
      </c>
      <c r="M40" s="8" cm="1">
        <f t="array" ref="M40">SUM(Tabla13[[#This Row],[CC]:[IDC]] - Tabla13[[#This Row],[IRC]])</f>
        <v>22.950000000000003</v>
      </c>
      <c r="N40" t="str">
        <f>IF(Tabla13[[#This Row],[Valor general]]&lt; $D$51, "Alto", IF(Tabla13[[#This Row],[Valor general]]&lt; $D$53, "Medio", "Bajo"))</f>
        <v>Bajo</v>
      </c>
      <c r="O40" s="8">
        <f>1-((Tabla13[[#This Row],[TPFM]]-$K$52) / ($K$51-$K$52))</f>
        <v>0.4375</v>
      </c>
      <c r="P40" s="8">
        <v>0.06</v>
      </c>
      <c r="Q40" s="8">
        <v>0.11</v>
      </c>
      <c r="R40" s="8">
        <f>SUM(Tabla13[[#This Row],[ITPFM]:[Comentarios2]])/3</f>
        <v>0.20250000000000001</v>
      </c>
      <c r="S40" s="8">
        <f>Tabla13[[#This Row],[CC]]/$S$49</f>
        <v>0.3</v>
      </c>
      <c r="T40" s="8">
        <f>(Tabla13[[#This Row],[ICLC]]+(1-Tabla13[[#This Row],[ICC]]))/2</f>
        <v>0.45124999999999998</v>
      </c>
      <c r="U40" t="str">
        <f>IF(Tabla13[[#This Row],[Valor general2]]&lt; $T$51, "Bajo", IF(Tabla13[[#This Row],[Valor general2]]&lt; $T$53, "Medio", "Alto"))</f>
        <v>Medio</v>
      </c>
      <c r="V40" s="8">
        <v>0.83330000000000004</v>
      </c>
      <c r="W40" t="str">
        <f>IF(Tabla13[[#This Row],[INN]]&lt; $V$51, "Bajo", IF(Tabla13[[#This Row],[INN]]&lt; $V$53, "Medio", "Alto"))</f>
        <v>Bajo</v>
      </c>
      <c r="X40" s="8">
        <f>Tabla13[[#This Row],[Valor general]]-Tabla13[[#This Row],[Valor general2]]-Tabla13[[#This Row],[INN]]</f>
        <v>21.66545</v>
      </c>
      <c r="Y40" t="str">
        <f>IF(Tabla13[[#This Row],[Valor general de PC]]&lt; $X$51, "Alto", IF(Tabla13[[#This Row],[Valor general de PC]]&lt; $X$53, "Medio", "Bajo"))</f>
        <v>Bajo</v>
      </c>
    </row>
    <row r="41" spans="1:25" x14ac:dyDescent="0.25">
      <c r="A41" s="2">
        <v>2024256175</v>
      </c>
      <c r="B41" t="s">
        <v>44</v>
      </c>
      <c r="C41" t="s">
        <v>45</v>
      </c>
      <c r="D41">
        <v>12</v>
      </c>
      <c r="E41">
        <v>2</v>
      </c>
      <c r="F41">
        <v>3</v>
      </c>
      <c r="G41" s="8">
        <v>0</v>
      </c>
      <c r="H41" s="8">
        <v>0</v>
      </c>
      <c r="I41" s="8">
        <f>Tabla13[[#This Row],[ERL]]+Tabla13[[#This Row],[IRL]]</f>
        <v>0</v>
      </c>
      <c r="J41" s="8">
        <v>9</v>
      </c>
      <c r="K41" s="8">
        <f>Tabla13[[#This Row],[LoCode]]/Tabla13[[#This Row],[NoFunctions]]</f>
        <v>4</v>
      </c>
      <c r="L41" s="8">
        <v>0.66669999999999996</v>
      </c>
      <c r="M41" s="8" cm="1">
        <f t="array" ref="M41">SUM(Tabla13[[#This Row],[CC]:[IDC]] - Tabla13[[#This Row],[IRC]])</f>
        <v>13.666700000000001</v>
      </c>
      <c r="N41" t="str">
        <f>IF(Tabla13[[#This Row],[Valor general]]&lt; $D$51, "Alto", IF(Tabla13[[#This Row],[Valor general]]&lt; $D$53, "Medio", "Bajo"))</f>
        <v>Medio</v>
      </c>
      <c r="O41" s="8">
        <f>1-((Tabla13[[#This Row],[TPFM]]-$K$52) / ($K$51-$K$52))</f>
        <v>0.9375</v>
      </c>
      <c r="P41" s="8">
        <v>0.09</v>
      </c>
      <c r="Q41" s="8">
        <v>7.0000000000000007E-2</v>
      </c>
      <c r="R41" s="8">
        <f>SUM(Tabla13[[#This Row],[ITPFM]:[Comentarios2]])/3</f>
        <v>0.3658333333333334</v>
      </c>
      <c r="S41" s="8">
        <f>Tabla13[[#This Row],[CC]]/$S$49</f>
        <v>0.9</v>
      </c>
      <c r="T41" s="8">
        <f>(Tabla13[[#This Row],[ICLC]]+(1-Tabla13[[#This Row],[ICC]]))/2</f>
        <v>0.23291666666666669</v>
      </c>
      <c r="U41" t="str">
        <f>IF(Tabla13[[#This Row],[Valor general2]]&lt; $T$51, "Bajo", IF(Tabla13[[#This Row],[Valor general2]]&lt; $T$53, "Medio", "Alto"))</f>
        <v>Bajo</v>
      </c>
      <c r="V41" s="8">
        <v>1</v>
      </c>
      <c r="W41" t="str">
        <f>IF(Tabla13[[#This Row],[INN]]&lt; $V$51, "Bajo", IF(Tabla13[[#This Row],[INN]]&lt; $V$53, "Medio", "Alto"))</f>
        <v>Alto</v>
      </c>
      <c r="X41" s="8">
        <f>Tabla13[[#This Row],[Valor general]]-Tabla13[[#This Row],[Valor general2]]-Tabla13[[#This Row],[INN]]</f>
        <v>12.433783333333334</v>
      </c>
      <c r="Y41" t="str">
        <f>IF(Tabla13[[#This Row],[Valor general de PC]]&lt; $X$51, "Alto", IF(Tabla13[[#This Row],[Valor general de PC]]&lt; $X$53, "Medio", "Bajo"))</f>
        <v>Medio</v>
      </c>
    </row>
    <row r="42" spans="1:25" x14ac:dyDescent="0.25">
      <c r="A42" s="2">
        <v>2024256710</v>
      </c>
      <c r="B42" t="s">
        <v>42</v>
      </c>
      <c r="D42">
        <v>26</v>
      </c>
      <c r="E42">
        <v>0</v>
      </c>
      <c r="F42">
        <v>3</v>
      </c>
      <c r="G42" s="8">
        <v>0</v>
      </c>
      <c r="H42" s="8">
        <v>0</v>
      </c>
      <c r="I42" s="8">
        <f>Tabla13[[#This Row],[ERL]]+Tabla13[[#This Row],[IRL]]</f>
        <v>0</v>
      </c>
      <c r="J42" s="8">
        <v>8</v>
      </c>
      <c r="K42" s="8">
        <f>Tabla13[[#This Row],[LoCode]]/Tabla13[[#This Row],[NoFunctions]]</f>
        <v>8.6666666666666661</v>
      </c>
      <c r="L42" s="8">
        <v>0.3846</v>
      </c>
      <c r="M42" s="8" cm="1">
        <f t="array" ref="M42">SUM(Tabla13[[#This Row],[CC]:[IDC]] - Tabla13[[#This Row],[IRC]])</f>
        <v>17.051266666666663</v>
      </c>
      <c r="N42" t="str">
        <f>IF(Tabla13[[#This Row],[Valor general]]&lt; $D$51, "Alto", IF(Tabla13[[#This Row],[Valor general]]&lt; $D$53, "Medio", "Bajo"))</f>
        <v>Medio</v>
      </c>
      <c r="O42" s="8">
        <f>1-((Tabla13[[#This Row],[TPFM]]-$K$52) / ($K$51-$K$52))</f>
        <v>0.79166666666666674</v>
      </c>
      <c r="P42" s="8">
        <v>0.04</v>
      </c>
      <c r="Q42" s="8">
        <v>0</v>
      </c>
      <c r="R42" s="8">
        <f>SUM(Tabla13[[#This Row],[ITPFM]:[Comentarios2]])/3</f>
        <v>0.27722222222222226</v>
      </c>
      <c r="S42" s="8">
        <f>Tabla13[[#This Row],[CC]]/$S$49</f>
        <v>0.8</v>
      </c>
      <c r="T42" s="8">
        <f>(Tabla13[[#This Row],[ICLC]]+(1-Tabla13[[#This Row],[ICC]]))/2</f>
        <v>0.23861111111111111</v>
      </c>
      <c r="U42" t="str">
        <f>IF(Tabla13[[#This Row],[Valor general2]]&lt; $T$51, "Bajo", IF(Tabla13[[#This Row],[Valor general2]]&lt; $T$53, "Medio", "Alto"))</f>
        <v>Medio</v>
      </c>
      <c r="V42" s="8">
        <v>0.75</v>
      </c>
      <c r="W42" t="str">
        <f>IF(Tabla13[[#This Row],[INN]]&lt; $V$51, "Bajo", IF(Tabla13[[#This Row],[INN]]&lt; $V$53, "Medio", "Alto"))</f>
        <v>Bajo</v>
      </c>
      <c r="X42" s="8">
        <f>Tabla13[[#This Row],[Valor general]]-Tabla13[[#This Row],[Valor general2]]-Tabla13[[#This Row],[INN]]</f>
        <v>16.062655555555551</v>
      </c>
      <c r="Y42" t="str">
        <f>IF(Tabla13[[#This Row],[Valor general de PC]]&lt; $X$51, "Alto", IF(Tabla13[[#This Row],[Valor general de PC]]&lt; $X$53, "Medio", "Bajo"))</f>
        <v>Medio</v>
      </c>
    </row>
    <row r="43" spans="1:25" x14ac:dyDescent="0.25">
      <c r="A43" s="2">
        <v>2024305867</v>
      </c>
      <c r="B43" t="s">
        <v>44</v>
      </c>
      <c r="C43" t="s">
        <v>45</v>
      </c>
      <c r="D43">
        <v>2</v>
      </c>
      <c r="E43">
        <v>5</v>
      </c>
      <c r="F43">
        <v>1</v>
      </c>
      <c r="G43" s="8">
        <v>0</v>
      </c>
      <c r="H43" s="8">
        <v>0</v>
      </c>
      <c r="I43" s="8">
        <f>Tabla13[[#This Row],[ERL]]+Tabla13[[#This Row],[IRL]]</f>
        <v>0</v>
      </c>
      <c r="J43" s="8">
        <v>1</v>
      </c>
      <c r="K43" s="8">
        <f>Tabla13[[#This Row],[LoCode]]/Tabla13[[#This Row],[NoFunctions]]</f>
        <v>2</v>
      </c>
      <c r="L43" s="8">
        <v>0</v>
      </c>
      <c r="M43" s="8" cm="1">
        <f t="array" ref="M43">SUM(Tabla13[[#This Row],[CC]:[IDC]] - Tabla13[[#This Row],[IRC]])</f>
        <v>3</v>
      </c>
      <c r="N43" t="str">
        <f>IF(Tabla13[[#This Row],[Valor general]]&lt; $D$51, "Alto", IF(Tabla13[[#This Row],[Valor general]]&lt; $D$53, "Medio", "Bajo"))</f>
        <v>Alto</v>
      </c>
      <c r="O43" s="8">
        <f>1-((Tabla13[[#This Row],[TPFM]]-$K$52) / ($K$51-$K$52))</f>
        <v>1</v>
      </c>
      <c r="P43" s="8">
        <v>0.04</v>
      </c>
      <c r="Q43" s="8">
        <v>0.11</v>
      </c>
      <c r="R43" s="8">
        <f>SUM(Tabla13[[#This Row],[ITPFM]:[Comentarios2]])/3</f>
        <v>0.38333333333333336</v>
      </c>
      <c r="S43" s="8">
        <f>Tabla13[[#This Row],[CC]]/$S$49</f>
        <v>0.1</v>
      </c>
      <c r="T43" s="8">
        <f>(Tabla13[[#This Row],[ICLC]]+(1-Tabla13[[#This Row],[ICC]]))/2</f>
        <v>0.64166666666666672</v>
      </c>
      <c r="U43" t="str">
        <f>IF(Tabla13[[#This Row],[Valor general2]]&lt; $T$51, "Bajo", IF(Tabla13[[#This Row],[Valor general2]]&lt; $T$53, "Medio", "Alto"))</f>
        <v>Alto</v>
      </c>
      <c r="V43" s="8">
        <v>1</v>
      </c>
      <c r="W43" t="str">
        <f>IF(Tabla13[[#This Row],[INN]]&lt; $V$51, "Bajo", IF(Tabla13[[#This Row],[INN]]&lt; $V$53, "Medio", "Alto"))</f>
        <v>Alto</v>
      </c>
      <c r="X43" s="8">
        <f>Tabla13[[#This Row],[Valor general]]-Tabla13[[#This Row],[Valor general2]]-Tabla13[[#This Row],[INN]]</f>
        <v>1.3583333333333334</v>
      </c>
      <c r="Y43" t="str">
        <f>IF(Tabla13[[#This Row],[Valor general de PC]]&lt; $X$51, "Alto", IF(Tabla13[[#This Row],[Valor general de PC]]&lt; $X$53, "Medio", "Bajo"))</f>
        <v>Alto</v>
      </c>
    </row>
    <row r="44" spans="1:25" x14ac:dyDescent="0.25">
      <c r="A44" s="2">
        <v>2024800088</v>
      </c>
      <c r="B44" t="s">
        <v>42</v>
      </c>
      <c r="C44" s="3"/>
      <c r="D44">
        <v>7</v>
      </c>
      <c r="E44">
        <v>0</v>
      </c>
      <c r="F44">
        <v>1</v>
      </c>
      <c r="G44" s="8">
        <v>0</v>
      </c>
      <c r="H44" s="8">
        <v>0</v>
      </c>
      <c r="I44" s="8">
        <f>Tabla13[[#This Row],[ERL]]+Tabla13[[#This Row],[IRL]]</f>
        <v>0</v>
      </c>
      <c r="J44" s="8">
        <v>2</v>
      </c>
      <c r="K44" s="8">
        <f>Tabla13[[#This Row],[LoCode]]/Tabla13[[#This Row],[NoFunctions]]</f>
        <v>7</v>
      </c>
      <c r="L44" s="8">
        <v>0.1429</v>
      </c>
      <c r="M44" s="8" cm="1">
        <f t="array" ref="M44">SUM(Tabla13[[#This Row],[CC]:[IDC]] - Tabla13[[#This Row],[IRC]])</f>
        <v>9.1428999999999991</v>
      </c>
      <c r="N44" t="str">
        <f>IF(Tabla13[[#This Row],[Valor general]]&lt; $D$51, "Alto", IF(Tabla13[[#This Row],[Valor general]]&lt; $D$53, "Medio", "Bajo"))</f>
        <v>Medio</v>
      </c>
      <c r="O44" s="8">
        <f>1-((Tabla13[[#This Row],[TPFM]]-$K$52) / ($K$51-$K$52))</f>
        <v>0.84375</v>
      </c>
      <c r="P44" s="8">
        <v>0.02</v>
      </c>
      <c r="Q44" s="8">
        <v>0</v>
      </c>
      <c r="R44" s="8">
        <f>SUM(Tabla13[[#This Row],[ITPFM]:[Comentarios2]])/3</f>
        <v>0.28791666666666665</v>
      </c>
      <c r="S44" s="8">
        <f>Tabla13[[#This Row],[CC]]/$S$49</f>
        <v>0.2</v>
      </c>
      <c r="T44" s="8">
        <f>(Tabla13[[#This Row],[ICLC]]+(1-Tabla13[[#This Row],[ICC]]))/2</f>
        <v>0.54395833333333332</v>
      </c>
      <c r="U44" t="str">
        <f>IF(Tabla13[[#This Row],[Valor general2]]&lt; $T$51, "Bajo", IF(Tabla13[[#This Row],[Valor general2]]&lt; $T$53, "Medio", "Alto"))</f>
        <v>Alto</v>
      </c>
      <c r="V44" s="8">
        <v>1</v>
      </c>
      <c r="W44" t="str">
        <f>IF(Tabla13[[#This Row],[INN]]&lt; $V$51, "Bajo", IF(Tabla13[[#This Row],[INN]]&lt; $V$53, "Medio", "Alto"))</f>
        <v>Alto</v>
      </c>
      <c r="X44" s="8">
        <f>Tabla13[[#This Row],[Valor general]]-Tabla13[[#This Row],[Valor general2]]-Tabla13[[#This Row],[INN]]</f>
        <v>7.5989416666666649</v>
      </c>
      <c r="Y44" t="str">
        <f>IF(Tabla13[[#This Row],[Valor general de PC]]&lt; $X$51, "Alto", IF(Tabla13[[#This Row],[Valor general de PC]]&lt; $X$53, "Medio", "Bajo"))</f>
        <v>Medio</v>
      </c>
    </row>
    <row r="45" spans="1:25" x14ac:dyDescent="0.25">
      <c r="A45" s="2">
        <v>2024800128</v>
      </c>
      <c r="B45" t="s">
        <v>42</v>
      </c>
      <c r="C45" t="s">
        <v>43</v>
      </c>
      <c r="D45">
        <v>7</v>
      </c>
      <c r="E45">
        <v>8</v>
      </c>
      <c r="F45">
        <v>1</v>
      </c>
      <c r="G45" s="8">
        <v>0</v>
      </c>
      <c r="H45" s="8">
        <v>0</v>
      </c>
      <c r="I45" s="8">
        <f>Tabla13[[#This Row],[ERL]]+Tabla13[[#This Row],[IRL]]</f>
        <v>0</v>
      </c>
      <c r="J45" s="8">
        <v>3</v>
      </c>
      <c r="K45" s="8">
        <f>Tabla13[[#This Row],[LoCode]]/Tabla13[[#This Row],[NoFunctions]]</f>
        <v>7</v>
      </c>
      <c r="L45" s="8">
        <v>7.6899999999999996E-2</v>
      </c>
      <c r="M45" s="8" cm="1">
        <f t="array" ref="M45">SUM(Tabla13[[#This Row],[CC]:[IDC]] - Tabla13[[#This Row],[IRC]])</f>
        <v>10.0769</v>
      </c>
      <c r="N45" t="str">
        <f>IF(Tabla13[[#This Row],[Valor general]]&lt; $D$51, "Alto", IF(Tabla13[[#This Row],[Valor general]]&lt; $D$53, "Medio", "Bajo"))</f>
        <v>Medio</v>
      </c>
      <c r="O45" s="8">
        <f>1-((Tabla13[[#This Row],[TPFM]]-$K$52) / ($K$51-$K$52))</f>
        <v>0.84375</v>
      </c>
      <c r="P45" s="8">
        <v>0.02</v>
      </c>
      <c r="Q45" s="8">
        <v>0.14000000000000001</v>
      </c>
      <c r="R45" s="8">
        <f>SUM(Tabla13[[#This Row],[ITPFM]:[Comentarios2]])/3</f>
        <v>0.3345833333333334</v>
      </c>
      <c r="S45" s="8">
        <f>Tabla13[[#This Row],[CC]]/$S$49</f>
        <v>0.3</v>
      </c>
      <c r="T45" s="8">
        <f>(Tabla13[[#This Row],[ICLC]]+(1-Tabla13[[#This Row],[ICC]]))/2</f>
        <v>0.51729166666666671</v>
      </c>
      <c r="U45" t="str">
        <f>IF(Tabla13[[#This Row],[Valor general2]]&lt; $T$51, "Bajo", IF(Tabla13[[#This Row],[Valor general2]]&lt; $T$53, "Medio", "Alto"))</f>
        <v>Alto</v>
      </c>
      <c r="V45" s="8">
        <v>1</v>
      </c>
      <c r="W45" t="str">
        <f>IF(Tabla13[[#This Row],[INN]]&lt; $V$51, "Bajo", IF(Tabla13[[#This Row],[INN]]&lt; $V$53, "Medio", "Alto"))</f>
        <v>Alto</v>
      </c>
      <c r="X45" s="8">
        <f>Tabla13[[#This Row],[Valor general]]-Tabla13[[#This Row],[Valor general2]]-Tabla13[[#This Row],[INN]]</f>
        <v>8.5596083333333333</v>
      </c>
      <c r="Y45" t="str">
        <f>IF(Tabla13[[#This Row],[Valor general de PC]]&lt; $X$51, "Alto", IF(Tabla13[[#This Row],[Valor general de PC]]&lt; $X$53, "Medio", "Bajo"))</f>
        <v>Medio</v>
      </c>
    </row>
    <row r="46" spans="1:25" s="29" customFormat="1" x14ac:dyDescent="0.25">
      <c r="A46" s="28">
        <v>2024800158</v>
      </c>
      <c r="B46" s="29" t="s">
        <v>42</v>
      </c>
      <c r="C46" s="29" t="s">
        <v>43</v>
      </c>
      <c r="D46" s="29">
        <v>6</v>
      </c>
      <c r="E46" s="29">
        <v>5</v>
      </c>
      <c r="F46" s="29">
        <v>1</v>
      </c>
      <c r="G46" s="30">
        <v>0</v>
      </c>
      <c r="H46" s="30">
        <v>0</v>
      </c>
      <c r="I46" s="30">
        <f>Tabla13[[#This Row],[ERL]]+Tabla13[[#This Row],[IRL]]</f>
        <v>0</v>
      </c>
      <c r="J46" s="30">
        <v>2</v>
      </c>
      <c r="K46" s="30">
        <f>Tabla13[[#This Row],[LoCode]]/Tabla13[[#This Row],[NoFunctions]]</f>
        <v>6</v>
      </c>
      <c r="L46" s="30">
        <v>0.1111</v>
      </c>
      <c r="M46" s="30" cm="1">
        <f t="array" ref="M46">SUM(Tabla13[[#This Row],[CC]:[IDC]] - Tabla13[[#This Row],[IRC]])</f>
        <v>8.1111000000000004</v>
      </c>
      <c r="N46" t="str">
        <f>IF(Tabla13[[#This Row],[Valor general]]&lt; $D$51, "Alto", IF(Tabla13[[#This Row],[Valor general]]&lt; $D$53, "Medio", "Bajo"))</f>
        <v>Alto</v>
      </c>
      <c r="O46" s="30">
        <f>1-((Tabla13[[#This Row],[TPFM]]-$K$52) / ($K$51-$K$52))</f>
        <v>0.875</v>
      </c>
      <c r="P46" s="30">
        <v>0.02</v>
      </c>
      <c r="Q46" s="30">
        <v>0.12</v>
      </c>
      <c r="R46" s="30">
        <f>SUM(Tabla13[[#This Row],[ITPFM]:[Comentarios2]])/3</f>
        <v>0.33833333333333337</v>
      </c>
      <c r="S46" s="30">
        <f>Tabla13[[#This Row],[CC]]/$S$49</f>
        <v>0.2</v>
      </c>
      <c r="T46" s="30">
        <f>(Tabla13[[#This Row],[ICLC]]+(1-Tabla13[[#This Row],[ICC]]))/2</f>
        <v>0.56916666666666671</v>
      </c>
      <c r="U46" s="29" t="str">
        <f>IF(Tabla13[[#This Row],[Valor general2]]&lt; $T$51, "Bajo", IF(Tabla13[[#This Row],[Valor general2]]&lt; $T$53, "Medio", "Alto"))</f>
        <v>Alto</v>
      </c>
      <c r="V46" s="8">
        <v>0.66669999999999996</v>
      </c>
      <c r="W46" s="29" t="str">
        <f>IF(Tabla13[[#This Row],[INN]]&lt; $V$51, "Bajo", IF(Tabla13[[#This Row],[INN]]&lt; $V$53, "Medio", "Alto"))</f>
        <v>Bajo</v>
      </c>
      <c r="X46" s="30">
        <f>Tabla13[[#This Row],[Valor general]]-Tabla13[[#This Row],[Valor general2]]-Tabla13[[#This Row],[INN]]</f>
        <v>6.875233333333334</v>
      </c>
      <c r="Y46" s="29" t="str">
        <f>IF(Tabla13[[#This Row],[Valor general de PC]]&lt; $X$51, "Alto", IF(Tabla13[[#This Row],[Valor general de PC]]&lt; $X$53, "Medio", "Bajo"))</f>
        <v>Alto</v>
      </c>
    </row>
    <row r="47" spans="1:25" x14ac:dyDescent="0.25">
      <c r="A47" s="2">
        <v>2024800621</v>
      </c>
      <c r="B47" t="s">
        <v>44</v>
      </c>
      <c r="C47" t="s">
        <v>55</v>
      </c>
      <c r="D47">
        <v>20</v>
      </c>
      <c r="E47">
        <v>0</v>
      </c>
      <c r="F47">
        <v>4</v>
      </c>
      <c r="G47" s="8">
        <v>0</v>
      </c>
      <c r="H47" s="8">
        <v>0</v>
      </c>
      <c r="I47" s="8">
        <f>Tabla13[[#This Row],[ERL]]+Tabla13[[#This Row],[IRL]]</f>
        <v>0</v>
      </c>
      <c r="J47" s="8">
        <v>12</v>
      </c>
      <c r="K47" s="8">
        <f>Tabla13[[#This Row],[LoCode]]/Tabla13[[#This Row],[NoFunctions]]</f>
        <v>5</v>
      </c>
      <c r="L47" s="8">
        <v>0.4</v>
      </c>
      <c r="M47" s="8" cm="1">
        <f t="array" ref="M47">SUM(Tabla13[[#This Row],[CC]:[IDC]] - Tabla13[[#This Row],[IRC]])</f>
        <v>17.399999999999999</v>
      </c>
      <c r="N47" t="str">
        <f>IF(Tabla13[[#This Row],[Valor general]]&lt; $D$51, "Alto", IF(Tabla13[[#This Row],[Valor general]]&lt; $D$53, "Medio", "Bajo"))</f>
        <v>Bajo</v>
      </c>
      <c r="O47" s="8">
        <f>1-((Tabla13[[#This Row],[TPFM]]-$K$52) / ($K$51-$K$52))</f>
        <v>0.90625</v>
      </c>
      <c r="P47" s="8">
        <v>0.11</v>
      </c>
      <c r="Q47" s="8">
        <v>0.15</v>
      </c>
      <c r="R47" s="8">
        <f>SUM(Tabla13[[#This Row],[ITPFM]:[Comentarios2]])/3</f>
        <v>0.38874999999999998</v>
      </c>
      <c r="S47" s="8">
        <f>Tabla13[[#This Row],[CC]]/$S$49</f>
        <v>1.2</v>
      </c>
      <c r="T47" s="8">
        <f>(Tabla13[[#This Row],[ICLC]]+(1-Tabla13[[#This Row],[ICC]]))/2</f>
        <v>9.4375000000000014E-2</v>
      </c>
      <c r="U47" t="str">
        <f>IF(Tabla13[[#This Row],[Valor general2]]&lt; $T$51, "Bajo", IF(Tabla13[[#This Row],[Valor general2]]&lt; $T$53, "Medio", "Alto"))</f>
        <v>Bajo</v>
      </c>
      <c r="V47" s="8">
        <v>0.83330000000000004</v>
      </c>
      <c r="W47" t="str">
        <f>IF(Tabla13[[#This Row],[INN]]&lt; $V$51, "Bajo", IF(Tabla13[[#This Row],[INN]]&lt; $V$53, "Medio", "Alto"))</f>
        <v>Bajo</v>
      </c>
      <c r="X47" s="8">
        <f>Tabla13[[#This Row],[Valor general]]-Tabla13[[#This Row],[Valor general2]]-Tabla13[[#This Row],[INN]]</f>
        <v>16.472324999999998</v>
      </c>
      <c r="Y47" t="str">
        <f>IF(Tabla13[[#This Row],[Valor general de PC]]&lt; $X$51, "Alto", IF(Tabla13[[#This Row],[Valor general de PC]]&lt; $X$53, "Medio", "Bajo"))</f>
        <v>Bajo</v>
      </c>
    </row>
    <row r="48" spans="1:25" x14ac:dyDescent="0.25">
      <c r="A48" s="2">
        <v>2024800990</v>
      </c>
      <c r="B48" t="s">
        <v>42</v>
      </c>
      <c r="C48" s="3"/>
      <c r="D48">
        <v>4</v>
      </c>
      <c r="E48">
        <v>0</v>
      </c>
      <c r="F48">
        <v>1</v>
      </c>
      <c r="G48" s="8">
        <v>0</v>
      </c>
      <c r="H48" s="8">
        <v>0</v>
      </c>
      <c r="I48" s="8">
        <f>Tabla13[[#This Row],[ERL]]+Tabla13[[#This Row],[IRL]]</f>
        <v>0</v>
      </c>
      <c r="J48" s="8">
        <v>2</v>
      </c>
      <c r="K48" s="8">
        <f>Tabla13[[#This Row],[LoCode]]/Tabla13[[#This Row],[NoFunctions]]</f>
        <v>4</v>
      </c>
      <c r="L48" s="8">
        <v>0</v>
      </c>
      <c r="M48" s="8" cm="1">
        <f t="array" ref="M48">SUM(Tabla13[[#This Row],[CC]:[IDC]] - Tabla13[[#This Row],[IRC]])</f>
        <v>6</v>
      </c>
      <c r="N48" t="str">
        <f>IF(Tabla13[[#This Row],[Valor general]]&lt; $D$51, "Alto", IF(Tabla13[[#This Row],[Valor general]]&lt; $D$53, "Medio", "Bajo"))</f>
        <v>Alto</v>
      </c>
      <c r="O48" s="8">
        <f>1-((Tabla13[[#This Row],[TPFM]]-$K$52) / ($K$51-$K$52))</f>
        <v>0.9375</v>
      </c>
      <c r="P48" s="8">
        <v>0.02</v>
      </c>
      <c r="Q48" s="8">
        <v>0</v>
      </c>
      <c r="R48" s="8">
        <f>SUM(Tabla13[[#This Row],[ITPFM]:[Comentarios2]])/3</f>
        <v>0.31916666666666665</v>
      </c>
      <c r="S48" s="8">
        <f>Tabla13[[#This Row],[CC]]/$S$49</f>
        <v>0.2</v>
      </c>
      <c r="T48" s="8">
        <f>(Tabla13[[#This Row],[ICLC]]+(1-Tabla13[[#This Row],[ICC]]))/2</f>
        <v>0.55958333333333332</v>
      </c>
      <c r="U48" t="str">
        <f>IF(Tabla13[[#This Row],[Valor general2]]&lt; $T$51, "Bajo", IF(Tabla13[[#This Row],[Valor general2]]&lt; $T$53, "Medio", "Alto"))</f>
        <v>Alto</v>
      </c>
      <c r="V48" s="8">
        <v>1</v>
      </c>
      <c r="W48" t="str">
        <f>IF(Tabla13[[#This Row],[INN]]&lt; $V$51, "Bajo", IF(Tabla13[[#This Row],[INN]]&lt; $V$53, "Medio", "Alto"))</f>
        <v>Alto</v>
      </c>
      <c r="X48" s="8">
        <f>Tabla13[[#This Row],[Valor general]]-Tabla13[[#This Row],[Valor general2]]-Tabla13[[#This Row],[INN]]</f>
        <v>4.4404166666666667</v>
      </c>
      <c r="Y48" t="str">
        <f>IF(Tabla13[[#This Row],[Valor general de PC]]&lt; $X$51, "Alto", IF(Tabla13[[#This Row],[Valor general de PC]]&lt; $X$53, "Medio", "Bajo"))</f>
        <v>Alto</v>
      </c>
    </row>
    <row r="49" spans="3:24" x14ac:dyDescent="0.25">
      <c r="R49" s="8" t="s">
        <v>56</v>
      </c>
      <c r="S49" s="8">
        <v>10</v>
      </c>
    </row>
    <row r="50" spans="3:24" x14ac:dyDescent="0.25">
      <c r="J50" s="10" t="s">
        <v>13</v>
      </c>
      <c r="K50" s="10" t="s">
        <v>15</v>
      </c>
      <c r="L50" s="10" t="s">
        <v>17</v>
      </c>
      <c r="M50" s="10" t="s">
        <v>6</v>
      </c>
    </row>
    <row r="51" spans="3:24" x14ac:dyDescent="0.25">
      <c r="C51" s="10" t="s">
        <v>57</v>
      </c>
      <c r="D51" s="8">
        <f>QUARTILE((M4:M25,M27:M48), 1)</f>
        <v>8.9071749999999987</v>
      </c>
      <c r="I51" s="10" t="s">
        <v>58</v>
      </c>
      <c r="J51" s="8">
        <f>MAX(J4:J25,J27:J48)</f>
        <v>13</v>
      </c>
      <c r="K51" s="8">
        <f t="shared" ref="K51:L51" si="0">MAX(K4:K25,K27:K48)</f>
        <v>34</v>
      </c>
      <c r="L51" s="8">
        <f t="shared" si="0"/>
        <v>0.66669999999999996</v>
      </c>
      <c r="M51" s="8">
        <f>MAX(D4:D25,D27:D48)</f>
        <v>50</v>
      </c>
      <c r="N51" s="8"/>
      <c r="S51" s="27" t="s">
        <v>57</v>
      </c>
      <c r="T51" s="8">
        <f>QUARTILE((T4:T25,T27:T48), 1)</f>
        <v>0.2371875</v>
      </c>
      <c r="U51" s="12" t="s">
        <v>57</v>
      </c>
      <c r="V51" s="8">
        <f>QUARTILE((V4:V25,V27:V48), 1)</f>
        <v>0.96875</v>
      </c>
      <c r="W51" s="12" t="s">
        <v>57</v>
      </c>
      <c r="X51" s="8">
        <f>QUARTILE((X4:X25,X27:X48), 1)</f>
        <v>7.4347791666666652</v>
      </c>
    </row>
    <row r="52" spans="3:24" x14ac:dyDescent="0.25">
      <c r="C52" s="10" t="s">
        <v>59</v>
      </c>
      <c r="D52" s="8">
        <f>QUARTILE((M4:M25,M27:M48), 2)</f>
        <v>12.232150000000001</v>
      </c>
      <c r="I52" s="10" t="s">
        <v>60</v>
      </c>
      <c r="J52" s="8">
        <f>MIN(J4:J25,J27:J48)</f>
        <v>1</v>
      </c>
      <c r="K52" s="8">
        <f t="shared" ref="K52:L52" si="1">MIN(K4:K25,K27:K48)</f>
        <v>2</v>
      </c>
      <c r="L52" s="8">
        <f t="shared" si="1"/>
        <v>0</v>
      </c>
      <c r="M52" s="8">
        <f>MIN(D4:D25,D27:D48)</f>
        <v>2</v>
      </c>
      <c r="N52" s="8"/>
      <c r="S52" s="27" t="s">
        <v>59</v>
      </c>
      <c r="T52" s="8">
        <f>QUARTILE((T4:T25,T27:T48), 2)</f>
        <v>0.44468750000000001</v>
      </c>
      <c r="U52" s="12" t="s">
        <v>59</v>
      </c>
      <c r="V52" s="8">
        <f>QUARTILE((V4:V25,V27:V48), 2)</f>
        <v>1</v>
      </c>
      <c r="W52" s="12" t="s">
        <v>59</v>
      </c>
      <c r="X52" s="8">
        <f>QUARTILE((X4:X25,X27:X48), 2)</f>
        <v>10.809583333333332</v>
      </c>
    </row>
    <row r="53" spans="3:24" x14ac:dyDescent="0.25">
      <c r="C53" s="10" t="s">
        <v>61</v>
      </c>
      <c r="D53" s="8">
        <f>QUARTILE((M4:M25,M27:M48), 3)</f>
        <v>17.349975000000001</v>
      </c>
      <c r="I53" s="10" t="s">
        <v>62</v>
      </c>
      <c r="J53" s="8">
        <f>AVERAGE(J4:J25,J27:J48)</f>
        <v>5.5227272727272725</v>
      </c>
      <c r="K53" s="8">
        <f t="shared" ref="K53:L53" si="2">AVERAGE(K4:K25,K27:K48)</f>
        <v>8.4344696969696979</v>
      </c>
      <c r="L53" s="8">
        <f t="shared" si="2"/>
        <v>0.26191590909090912</v>
      </c>
      <c r="M53" s="8">
        <f>AVERAGE(D4:D25,D27:D48)</f>
        <v>13.75</v>
      </c>
      <c r="N53" s="8"/>
      <c r="S53" s="27" t="s">
        <v>61</v>
      </c>
      <c r="T53" s="8">
        <f>QUARTILE((T4:T25,T27:T48), 3)</f>
        <v>0.50770833333333332</v>
      </c>
      <c r="U53" s="12" t="s">
        <v>61</v>
      </c>
      <c r="V53" s="8">
        <f>QUARTILE((V4:V25,V27:V48), 3)</f>
        <v>1</v>
      </c>
      <c r="W53" s="12" t="s">
        <v>61</v>
      </c>
      <c r="X53" s="8">
        <f>QUARTILE((X4:X25,X27:X48), 3)</f>
        <v>16.307925000000001</v>
      </c>
    </row>
    <row r="54" spans="3:24" x14ac:dyDescent="0.25">
      <c r="C54" s="10" t="s">
        <v>63</v>
      </c>
      <c r="D54" s="8">
        <f>AVERAGE((M4:M25,M27:M48))</f>
        <v>14.177235050733579</v>
      </c>
      <c r="I54" s="10" t="s">
        <v>64</v>
      </c>
      <c r="J54" s="8">
        <f>STDEV(J4:J25,J27:J48)</f>
        <v>3.5073917716971872</v>
      </c>
      <c r="K54" s="8">
        <f t="shared" ref="K54:L54" si="3">STDEV(K4:K25,K27:K48)</f>
        <v>6.3645643650763661</v>
      </c>
      <c r="L54" s="8">
        <f t="shared" si="3"/>
        <v>0.22076270744133566</v>
      </c>
      <c r="M54" s="8">
        <f>STDEV(D4:D25,D27:D48)</f>
        <v>9.9839988260285537</v>
      </c>
      <c r="N54" s="8"/>
      <c r="S54" s="27" t="s">
        <v>63</v>
      </c>
      <c r="T54" s="8">
        <f>AVERAGE((T4:T25,T27:T48))</f>
        <v>0.37235225063131311</v>
      </c>
      <c r="U54" s="12" t="s">
        <v>63</v>
      </c>
      <c r="V54" s="8">
        <f>AVERAGE((V4:V25,V27:V48))</f>
        <v>0.94905000000000017</v>
      </c>
      <c r="W54" s="12" t="s">
        <v>63</v>
      </c>
      <c r="X54" s="8">
        <f>AVERAGE((X4:X25,X27:X48))</f>
        <v>12.855832800102265</v>
      </c>
    </row>
    <row r="55" spans="3:24" x14ac:dyDescent="0.25">
      <c r="C55" s="10" t="s">
        <v>65</v>
      </c>
      <c r="D55" s="8">
        <f>STDEV((M4:M25,M27:M48))</f>
        <v>7.6705336857189099</v>
      </c>
      <c r="N55" s="8"/>
      <c r="S55" s="27" t="s">
        <v>65</v>
      </c>
      <c r="T55" s="8">
        <f>STDEV((T4:T25,T27:T48))</f>
        <v>0.17649096239391041</v>
      </c>
      <c r="U55" s="12" t="s">
        <v>65</v>
      </c>
      <c r="V55" s="8">
        <f>STDEV((V4:V25,V27:V48))</f>
        <v>9.387505674602685E-2</v>
      </c>
      <c r="W55" s="12" t="s">
        <v>65</v>
      </c>
      <c r="X55" s="8">
        <f>STDEV((X4:X25,X27:X48))</f>
        <v>7.7925760770835275</v>
      </c>
    </row>
    <row r="56" spans="3:24" x14ac:dyDescent="0.25">
      <c r="C56" s="10" t="s">
        <v>66</v>
      </c>
      <c r="D56" s="8">
        <f>D55/D54</f>
        <v>0.54104581452375722</v>
      </c>
      <c r="N56" s="8"/>
      <c r="S56" s="27" t="s">
        <v>66</v>
      </c>
      <c r="T56" s="8">
        <f>T55/T54</f>
        <v>0.47398924565293959</v>
      </c>
      <c r="U56" s="12" t="s">
        <v>66</v>
      </c>
      <c r="V56" s="8">
        <f>V55/V54</f>
        <v>9.8914763970314346E-2</v>
      </c>
      <c r="W56" s="12" t="s">
        <v>66</v>
      </c>
      <c r="X56" s="8">
        <f>X55/X54</f>
        <v>0.60615101318224518</v>
      </c>
    </row>
    <row r="58" spans="3:24" x14ac:dyDescent="0.25">
      <c r="I58" s="60"/>
      <c r="J58" s="61" t="s">
        <v>67</v>
      </c>
      <c r="K58" s="61" t="s">
        <v>68</v>
      </c>
      <c r="L58" s="61" t="s">
        <v>69</v>
      </c>
      <c r="M58" s="63"/>
      <c r="N58" s="72">
        <f>IF( EXACT(N4, "Alto"),3,IF(EXACT(N4,"Medio"),2,1))</f>
        <v>3</v>
      </c>
    </row>
    <row r="59" spans="3:24" x14ac:dyDescent="0.25">
      <c r="I59" s="65" t="s">
        <v>71</v>
      </c>
      <c r="J59" s="8">
        <f>COUNTIF($N$4:$N$25, J58) + COUNTIF($N$27:$N$48,J58)</f>
        <v>11</v>
      </c>
      <c r="K59" s="8">
        <f>COUNTIF($N$4:$N$25, K58) + COUNTIF($N$27:$N$48,K58)</f>
        <v>22</v>
      </c>
      <c r="L59" s="8">
        <f>COUNTIF($N$4:$N$25, L58) + COUNTIF($N$27:$N$48,L58)</f>
        <v>11</v>
      </c>
      <c r="N59" s="73">
        <f t="shared" ref="N59:N102" si="4">IF( EXACT(N5, "Alto"),3,IF(EXACT(N5,"Medio"),2,1))</f>
        <v>3</v>
      </c>
    </row>
    <row r="60" spans="3:24" x14ac:dyDescent="0.25">
      <c r="I60" s="65" t="s">
        <v>73</v>
      </c>
      <c r="J60" s="8" t="e" cm="1">
        <f t="array" ref="J60">CORREL(M3:M48-M26, N58:N102-N80)</f>
        <v>#N/A</v>
      </c>
      <c r="N60" s="73">
        <f t="shared" si="4"/>
        <v>3</v>
      </c>
    </row>
    <row r="61" spans="3:24" x14ac:dyDescent="0.25">
      <c r="I61" s="65" t="s">
        <v>81</v>
      </c>
      <c r="J61" s="8" cm="1">
        <f t="array" ref="J61">SUMPRODUCT(($N$3:$N$48=J58)*($M$3:$M$48-$M$26)) / J59</f>
        <v>6.9555545454545458</v>
      </c>
      <c r="K61" s="8" cm="1">
        <f t="array" ref="K61">SUMPRODUCT(($N$3:$N$48=K58)*($M$3:$M$48-$M$26)) / K59</f>
        <v>13.063939393939394</v>
      </c>
      <c r="L61" s="8" cm="1">
        <f t="array" ref="L61">SUMPRODUCT(($N$3:$N$48=L58)*($M$3:$M$48-$M$26)) / L59</f>
        <v>24.443688687782807</v>
      </c>
      <c r="N61" s="73">
        <f t="shared" si="4"/>
        <v>2</v>
      </c>
    </row>
    <row r="62" spans="3:24" x14ac:dyDescent="0.25">
      <c r="I62" s="67"/>
      <c r="N62" s="73">
        <f t="shared" si="4"/>
        <v>2</v>
      </c>
    </row>
    <row r="63" spans="3:24" x14ac:dyDescent="0.25">
      <c r="I63" s="67"/>
      <c r="N63" s="73">
        <f t="shared" si="4"/>
        <v>3</v>
      </c>
    </row>
    <row r="64" spans="3:24" x14ac:dyDescent="0.25">
      <c r="I64" s="67"/>
      <c r="N64" s="73">
        <f t="shared" si="4"/>
        <v>1</v>
      </c>
    </row>
    <row r="65" spans="9:14" x14ac:dyDescent="0.25">
      <c r="I65" s="67"/>
      <c r="N65" s="73">
        <f t="shared" si="4"/>
        <v>1</v>
      </c>
    </row>
    <row r="66" spans="9:14" x14ac:dyDescent="0.25">
      <c r="I66" s="67"/>
      <c r="N66" s="73">
        <f t="shared" si="4"/>
        <v>1</v>
      </c>
    </row>
    <row r="67" spans="9:14" x14ac:dyDescent="0.25">
      <c r="I67" s="67"/>
      <c r="N67" s="73">
        <f t="shared" si="4"/>
        <v>2</v>
      </c>
    </row>
    <row r="68" spans="9:14" x14ac:dyDescent="0.25">
      <c r="I68" s="67"/>
      <c r="N68" s="73">
        <f t="shared" si="4"/>
        <v>2</v>
      </c>
    </row>
    <row r="69" spans="9:14" x14ac:dyDescent="0.25">
      <c r="I69" s="67"/>
      <c r="N69" s="73">
        <f t="shared" si="4"/>
        <v>3</v>
      </c>
    </row>
    <row r="70" spans="9:14" x14ac:dyDescent="0.25">
      <c r="I70" s="67"/>
      <c r="N70" s="73">
        <f t="shared" si="4"/>
        <v>2</v>
      </c>
    </row>
    <row r="71" spans="9:14" x14ac:dyDescent="0.25">
      <c r="I71" s="67"/>
      <c r="N71" s="73">
        <f t="shared" si="4"/>
        <v>2</v>
      </c>
    </row>
    <row r="72" spans="9:14" x14ac:dyDescent="0.25">
      <c r="I72" s="67"/>
      <c r="N72" s="73">
        <f t="shared" si="4"/>
        <v>2</v>
      </c>
    </row>
    <row r="73" spans="9:14" x14ac:dyDescent="0.25">
      <c r="I73" s="67"/>
      <c r="N73" s="73">
        <f t="shared" si="4"/>
        <v>1</v>
      </c>
    </row>
    <row r="74" spans="9:14" x14ac:dyDescent="0.25">
      <c r="I74" s="67"/>
      <c r="N74" s="73">
        <f t="shared" si="4"/>
        <v>3</v>
      </c>
    </row>
    <row r="75" spans="9:14" x14ac:dyDescent="0.25">
      <c r="I75" s="67"/>
      <c r="N75" s="73">
        <f t="shared" si="4"/>
        <v>2</v>
      </c>
    </row>
    <row r="76" spans="9:14" x14ac:dyDescent="0.25">
      <c r="I76" s="67"/>
      <c r="N76" s="73">
        <f t="shared" si="4"/>
        <v>2</v>
      </c>
    </row>
    <row r="77" spans="9:14" x14ac:dyDescent="0.25">
      <c r="I77" s="67"/>
      <c r="N77" s="73">
        <f t="shared" si="4"/>
        <v>2</v>
      </c>
    </row>
    <row r="78" spans="9:14" x14ac:dyDescent="0.25">
      <c r="I78" s="67"/>
      <c r="N78" s="73">
        <f t="shared" si="4"/>
        <v>1</v>
      </c>
    </row>
    <row r="79" spans="9:14" x14ac:dyDescent="0.25">
      <c r="I79" s="67"/>
      <c r="N79" s="73">
        <f t="shared" si="4"/>
        <v>2</v>
      </c>
    </row>
    <row r="80" spans="9:14" x14ac:dyDescent="0.25">
      <c r="I80" s="67"/>
      <c r="N80" s="73">
        <f t="shared" si="4"/>
        <v>1</v>
      </c>
    </row>
    <row r="81" spans="9:14" x14ac:dyDescent="0.25">
      <c r="I81" s="67"/>
      <c r="N81" s="73">
        <f t="shared" si="4"/>
        <v>2</v>
      </c>
    </row>
    <row r="82" spans="9:14" x14ac:dyDescent="0.25">
      <c r="I82" s="67"/>
      <c r="N82" s="73">
        <f t="shared" si="4"/>
        <v>3</v>
      </c>
    </row>
    <row r="83" spans="9:14" x14ac:dyDescent="0.25">
      <c r="I83" s="67"/>
      <c r="N83" s="73">
        <f t="shared" si="4"/>
        <v>1</v>
      </c>
    </row>
    <row r="84" spans="9:14" x14ac:dyDescent="0.25">
      <c r="I84" s="67"/>
      <c r="N84" s="73">
        <f t="shared" si="4"/>
        <v>1</v>
      </c>
    </row>
    <row r="85" spans="9:14" x14ac:dyDescent="0.25">
      <c r="I85" s="67"/>
      <c r="N85" s="73">
        <f t="shared" si="4"/>
        <v>3</v>
      </c>
    </row>
    <row r="86" spans="9:14" x14ac:dyDescent="0.25">
      <c r="I86" s="67"/>
      <c r="N86" s="73">
        <f t="shared" si="4"/>
        <v>2</v>
      </c>
    </row>
    <row r="87" spans="9:14" x14ac:dyDescent="0.25">
      <c r="I87" s="67"/>
      <c r="N87" s="73">
        <f t="shared" si="4"/>
        <v>2</v>
      </c>
    </row>
    <row r="88" spans="9:14" x14ac:dyDescent="0.25">
      <c r="I88" s="67"/>
      <c r="N88" s="73">
        <f t="shared" si="4"/>
        <v>2</v>
      </c>
    </row>
    <row r="89" spans="9:14" x14ac:dyDescent="0.25">
      <c r="I89" s="67"/>
      <c r="N89" s="73">
        <f t="shared" si="4"/>
        <v>2</v>
      </c>
    </row>
    <row r="90" spans="9:14" x14ac:dyDescent="0.25">
      <c r="I90" s="67"/>
      <c r="N90" s="73">
        <f t="shared" si="4"/>
        <v>1</v>
      </c>
    </row>
    <row r="91" spans="9:14" x14ac:dyDescent="0.25">
      <c r="I91" s="67"/>
      <c r="N91" s="73">
        <f t="shared" si="4"/>
        <v>2</v>
      </c>
    </row>
    <row r="92" spans="9:14" x14ac:dyDescent="0.25">
      <c r="I92" s="67"/>
      <c r="N92" s="73">
        <f t="shared" si="4"/>
        <v>1</v>
      </c>
    </row>
    <row r="93" spans="9:14" x14ac:dyDescent="0.25">
      <c r="I93" s="67"/>
      <c r="N93" s="73">
        <f t="shared" si="4"/>
        <v>2</v>
      </c>
    </row>
    <row r="94" spans="9:14" x14ac:dyDescent="0.25">
      <c r="I94" s="67"/>
      <c r="N94" s="73">
        <f t="shared" si="4"/>
        <v>1</v>
      </c>
    </row>
    <row r="95" spans="9:14" x14ac:dyDescent="0.25">
      <c r="I95" s="67"/>
      <c r="N95" s="73">
        <f t="shared" si="4"/>
        <v>2</v>
      </c>
    </row>
    <row r="96" spans="9:14" x14ac:dyDescent="0.25">
      <c r="I96" s="67"/>
      <c r="N96" s="73">
        <f t="shared" si="4"/>
        <v>2</v>
      </c>
    </row>
    <row r="97" spans="9:14" x14ac:dyDescent="0.25">
      <c r="I97" s="67"/>
      <c r="N97" s="73">
        <f t="shared" si="4"/>
        <v>3</v>
      </c>
    </row>
    <row r="98" spans="9:14" x14ac:dyDescent="0.25">
      <c r="I98" s="67"/>
      <c r="N98" s="73">
        <f t="shared" si="4"/>
        <v>2</v>
      </c>
    </row>
    <row r="99" spans="9:14" x14ac:dyDescent="0.25">
      <c r="I99" s="67"/>
      <c r="N99" s="73">
        <f t="shared" si="4"/>
        <v>2</v>
      </c>
    </row>
    <row r="100" spans="9:14" x14ac:dyDescent="0.25">
      <c r="I100" s="67"/>
      <c r="N100" s="73">
        <f t="shared" si="4"/>
        <v>3</v>
      </c>
    </row>
    <row r="101" spans="9:14" x14ac:dyDescent="0.25">
      <c r="I101" s="67"/>
      <c r="N101" s="73">
        <f t="shared" si="4"/>
        <v>1</v>
      </c>
    </row>
    <row r="102" spans="9:14" x14ac:dyDescent="0.25">
      <c r="I102" s="68"/>
      <c r="J102" s="69"/>
      <c r="K102" s="69"/>
      <c r="L102" s="69"/>
      <c r="M102" s="69"/>
      <c r="N102" s="74">
        <f t="shared" si="4"/>
        <v>3</v>
      </c>
    </row>
  </sheetData>
  <mergeCells count="4">
    <mergeCell ref="G1:N1"/>
    <mergeCell ref="O1:U1"/>
    <mergeCell ref="V1:W1"/>
    <mergeCell ref="X1:Y1"/>
  </mergeCells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2"/>
  <sheetViews>
    <sheetView tabSelected="1" workbookViewId="0">
      <selection activeCell="B4" sqref="B4:B20"/>
    </sheetView>
  </sheetViews>
  <sheetFormatPr baseColWidth="10" defaultColWidth="8.85546875" defaultRowHeight="15" x14ac:dyDescent="0.25"/>
  <cols>
    <col min="1" max="4" width="18.42578125" customWidth="1"/>
    <col min="5" max="5" width="18" customWidth="1"/>
    <col min="6" max="6" width="42.28515625" customWidth="1"/>
    <col min="7" max="7" width="11" style="8" bestFit="1" customWidth="1"/>
    <col min="8" max="8" width="9.42578125" style="8" customWidth="1"/>
    <col min="9" max="9" width="9.28515625" style="8" customWidth="1"/>
    <col min="10" max="10" width="10.42578125" style="8" customWidth="1"/>
    <col min="11" max="14" width="8.85546875" style="8"/>
    <col min="15" max="15" width="10.28515625" style="8" customWidth="1"/>
    <col min="16" max="16" width="13.42578125" style="8" customWidth="1"/>
    <col min="17" max="17" width="23.140625" bestFit="1" customWidth="1"/>
    <col min="18" max="18" width="9.42578125" style="8" bestFit="1" customWidth="1"/>
    <col min="19" max="19" width="31.42578125" style="8" bestFit="1" customWidth="1"/>
    <col min="20" max="20" width="17.28515625" style="8" bestFit="1" customWidth="1"/>
    <col min="21" max="21" width="8.85546875" style="8"/>
    <col min="22" max="22" width="16.85546875" style="8" customWidth="1"/>
    <col min="23" max="23" width="11.42578125" style="8" customWidth="1"/>
    <col min="24" max="24" width="17" customWidth="1"/>
    <col min="25" max="25" width="8.85546875" style="8"/>
    <col min="26" max="26" width="17.42578125" customWidth="1"/>
    <col min="27" max="27" width="15.140625" style="8" customWidth="1"/>
  </cols>
  <sheetData>
    <row r="1" spans="1:28" x14ac:dyDescent="0.25">
      <c r="J1" s="90" t="s">
        <v>0</v>
      </c>
      <c r="K1" s="90"/>
      <c r="L1" s="90"/>
      <c r="M1" s="90"/>
      <c r="N1" s="90"/>
      <c r="O1" s="90"/>
      <c r="P1" s="90"/>
      <c r="Q1" s="90"/>
      <c r="R1" s="91" t="s">
        <v>1</v>
      </c>
      <c r="S1" s="91"/>
      <c r="T1" s="91"/>
      <c r="U1" s="91"/>
      <c r="V1" s="91"/>
      <c r="W1" s="91"/>
      <c r="X1" s="91"/>
      <c r="Y1" s="92" t="s">
        <v>2</v>
      </c>
      <c r="Z1" s="92"/>
      <c r="AA1" s="93"/>
      <c r="AB1" s="93"/>
    </row>
    <row r="2" spans="1:28" ht="31.5" x14ac:dyDescent="0.25">
      <c r="A2" s="1" t="s">
        <v>3</v>
      </c>
      <c r="B2" s="88" t="s">
        <v>137</v>
      </c>
      <c r="C2" s="88" t="s">
        <v>139</v>
      </c>
      <c r="D2" s="88" t="s">
        <v>138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5" t="s">
        <v>9</v>
      </c>
      <c r="K2" s="1" t="s">
        <v>10</v>
      </c>
      <c r="L2" s="25" t="s">
        <v>11</v>
      </c>
      <c r="M2" s="25" t="s">
        <v>13</v>
      </c>
      <c r="N2" s="25" t="s">
        <v>15</v>
      </c>
      <c r="O2" s="25" t="s">
        <v>17</v>
      </c>
      <c r="P2" s="25" t="s">
        <v>28</v>
      </c>
      <c r="Q2" s="1" t="s">
        <v>29</v>
      </c>
      <c r="R2" s="25" t="s">
        <v>82</v>
      </c>
      <c r="S2" s="25" t="s">
        <v>31</v>
      </c>
      <c r="T2" s="25" t="s">
        <v>32</v>
      </c>
      <c r="U2" s="25" t="s">
        <v>33</v>
      </c>
      <c r="V2" s="25" t="s">
        <v>34</v>
      </c>
      <c r="W2" s="25" t="s">
        <v>35</v>
      </c>
      <c r="X2" s="1" t="s">
        <v>36</v>
      </c>
      <c r="Y2" s="25" t="s">
        <v>37</v>
      </c>
      <c r="Z2" s="1" t="s">
        <v>38</v>
      </c>
      <c r="AA2" s="1" t="s">
        <v>39</v>
      </c>
      <c r="AB2" s="1" t="s">
        <v>40</v>
      </c>
    </row>
    <row r="3" spans="1:28" ht="15.75" x14ac:dyDescent="0.25">
      <c r="A3" s="81" t="s">
        <v>80</v>
      </c>
      <c r="B3" s="82"/>
      <c r="C3" s="82"/>
      <c r="D3" s="82"/>
      <c r="E3" s="82"/>
      <c r="F3" s="82"/>
      <c r="G3" s="84">
        <v>10</v>
      </c>
      <c r="H3" s="84">
        <v>0</v>
      </c>
      <c r="I3" s="83">
        <v>1</v>
      </c>
      <c r="J3" s="83">
        <v>0</v>
      </c>
      <c r="K3" s="83">
        <v>0.3</v>
      </c>
      <c r="L3" s="83">
        <f>Tabla1[[#This Row],[ERL]]+Tabla1[[#This Row],[IRL]]</f>
        <v>0.3</v>
      </c>
      <c r="M3" s="83">
        <v>1</v>
      </c>
      <c r="N3" s="83">
        <f>Tabla1[[#This Row],[LoCode]]/Tabla1[[#This Row],[NoFunctions]]</f>
        <v>10</v>
      </c>
      <c r="O3" s="83">
        <v>0.3</v>
      </c>
      <c r="P3" s="83">
        <f>SUM(Tabla1[[#This Row],[CC]:[IDC]]) - Tabla1[[#This Row],[IRC]]</f>
        <v>11</v>
      </c>
      <c r="Q3" s="82" t="str">
        <f>IF(P3 &lt; $G$51, "Alto", IF(P3 &lt; $G$53, "Medio", "Bajo"))</f>
        <v>Alto</v>
      </c>
      <c r="R3" s="83">
        <f>1 - ((Tabla1[[#This Row],[TPFM]]- $N$52) / ($N$51 - $N$52))</f>
        <v>0.8</v>
      </c>
      <c r="S3" s="83">
        <v>0.1</v>
      </c>
      <c r="T3" s="83">
        <v>0</v>
      </c>
      <c r="U3" s="83">
        <f>SUM(Tabla1[[#This Row],[IPTFM]:[Comentarios2]]) / 3</f>
        <v>0.3</v>
      </c>
      <c r="V3" s="83">
        <f>Tabla1[[#This Row],[CC]]/10</f>
        <v>0.1</v>
      </c>
      <c r="W3" s="83">
        <f xml:space="preserve"> (Tabla1[[#This Row],[ICLC]] + (1 - Tabla1[[#This Row],[ICC]])) / 2</f>
        <v>0.6</v>
      </c>
      <c r="X3" s="82" t="str">
        <f>IF(W3 &lt; $S$51, "Bajo", IF(W3 &lt; $S$53, "Medio", "Alto"))</f>
        <v>Alto</v>
      </c>
      <c r="Y3" s="83">
        <v>1</v>
      </c>
      <c r="Z3" s="82" t="str">
        <f>IF(Y3 &lt; $Y$51, "Bajo", IF(Y3 &gt;= $Y$53, "Alto", "Medio"))</f>
        <v>Alto</v>
      </c>
      <c r="AA3" s="83">
        <f>Tabla1[[#This Row],[Valor general]]-Tabla1[[#This Row],[Valor general2]]-Tabla1[[#This Row],[INN]]</f>
        <v>9.4</v>
      </c>
      <c r="AB3" s="82" t="str">
        <f>IF(Tabla1[[#This Row],[Valor general de PC]]&lt; $AA$51, "Alto", IF(Tabla1[[#This Row],[Valor general de PC]]&lt; $AA$53, "Medio", "Bajo"))</f>
        <v>Alto</v>
      </c>
    </row>
    <row r="4" spans="1:28" x14ac:dyDescent="0.25">
      <c r="A4" s="31">
        <v>2024800158</v>
      </c>
      <c r="B4" s="31"/>
      <c r="C4" s="31"/>
      <c r="D4" s="31"/>
      <c r="E4" s="32" t="s">
        <v>42</v>
      </c>
      <c r="F4" s="32" t="s">
        <v>83</v>
      </c>
      <c r="G4" s="79">
        <v>11</v>
      </c>
      <c r="H4" s="79">
        <v>5</v>
      </c>
      <c r="I4" s="33">
        <v>2</v>
      </c>
      <c r="J4" s="33">
        <v>0</v>
      </c>
      <c r="K4" s="33">
        <f>4/Tabla1[[#This Row],[LoCode]]</f>
        <v>0.36363636363636365</v>
      </c>
      <c r="L4" s="33">
        <f>Tabla1[[#This Row],[ERL]]+Tabla1[[#This Row],[IRL]]</f>
        <v>0.36363636363636365</v>
      </c>
      <c r="M4" s="33">
        <v>5</v>
      </c>
      <c r="N4" s="33">
        <f>Tabla1[[#This Row],[LoCode]]/Tabla1[[#This Row],[NoFunctions]]</f>
        <v>5.5</v>
      </c>
      <c r="O4" s="33">
        <v>0.18179999999999999</v>
      </c>
      <c r="P4" s="33">
        <f>SUM(Tabla1[[#This Row],[CC]:[IDC]]) - Tabla1[[#This Row],[IRC]]</f>
        <v>10.318163636363638</v>
      </c>
      <c r="Q4" s="32" t="str">
        <f t="shared" ref="Q4:Q25" si="0">IF(P4 &lt; $G$51, "Alto", IF(P4 &lt; $G$53, "Medio", "Bajo"))</f>
        <v>Alto</v>
      </c>
      <c r="R4" s="33">
        <f>1 - ((Tabla1[[#This Row],[TPFM]]- $N$52) / ($N$51 - $N$52))</f>
        <v>1</v>
      </c>
      <c r="S4" s="33">
        <v>0.06</v>
      </c>
      <c r="T4" s="33">
        <v>7.0000000000000007E-2</v>
      </c>
      <c r="U4" s="33">
        <f>SUM(Tabla1[[#This Row],[IPTFM]:[Comentarios2]]) / 3</f>
        <v>0.37666666666666671</v>
      </c>
      <c r="V4" s="33">
        <f>Tabla1[[#This Row],[CC]]/10</f>
        <v>0.5</v>
      </c>
      <c r="W4" s="33">
        <f xml:space="preserve"> (Tabla1[[#This Row],[ICLC]] + (1 - Tabla1[[#This Row],[ICC]])) / 2</f>
        <v>0.43833333333333335</v>
      </c>
      <c r="X4" s="32" t="str">
        <f>IF(W4 &lt; $W$51, "Bajo", IF(W4 &lt; $W$53, "Medio", "Alto"))</f>
        <v>Alto</v>
      </c>
      <c r="Y4" s="33">
        <v>1</v>
      </c>
      <c r="Z4" s="32" t="str">
        <f>IF(Y4 &lt; $Y$51, "Bajo", IF(Y4 &gt;= $Y$53, "Alto", "Medio"))</f>
        <v>Alto</v>
      </c>
      <c r="AA4" s="33">
        <f>Tabla1[[#This Row],[Valor general]]-Tabla1[[#This Row],[Valor general2]]-Tabla1[[#This Row],[INN]]</f>
        <v>8.879830303030305</v>
      </c>
      <c r="AB4" s="32" t="str">
        <f>IF(Tabla1[[#This Row],[Valor general de PC]]&lt; $AA$51, "Alto", IF(Tabla1[[#This Row],[Valor general de PC]]&lt; $AA$53, "Medio", "Bajo"))</f>
        <v>Alto</v>
      </c>
    </row>
    <row r="5" spans="1:28" hidden="1" x14ac:dyDescent="0.25">
      <c r="A5" s="2">
        <v>2016220461</v>
      </c>
      <c r="B5" s="2"/>
      <c r="C5" s="2"/>
      <c r="D5" s="2"/>
      <c r="E5" t="s">
        <v>44</v>
      </c>
      <c r="F5" t="s">
        <v>84</v>
      </c>
      <c r="G5" s="78"/>
      <c r="H5" s="78"/>
      <c r="L5" s="8">
        <f>Tabla1[[#This Row],[ERL]]+Tabla1[[#This Row],[IRL]]</f>
        <v>0</v>
      </c>
      <c r="N5" s="8" t="e">
        <f>Tabla1[[#This Row],[LoCode]]/Tabla1[[#This Row],[NoFunctions]]</f>
        <v>#DIV/0!</v>
      </c>
      <c r="P5" s="8" t="e">
        <f>SUM(Tabla1[[#This Row],[CC]:[IDC]]) - Tabla1[[#This Row],[IRC]]</f>
        <v>#DIV/0!</v>
      </c>
      <c r="Q5" t="e">
        <f t="shared" si="0"/>
        <v>#DIV/0!</v>
      </c>
      <c r="R5" s="8" t="e">
        <f>1 - ((Tabla1[[#This Row],[TPFM]]- $N$52) / ($N$51 - $N$52))</f>
        <v>#DIV/0!</v>
      </c>
      <c r="U5" s="8" t="e">
        <f>SUM(Tabla1[[#This Row],[IPTFM]:[Comentarios2]]) / 3</f>
        <v>#DIV/0!</v>
      </c>
      <c r="V5" s="8">
        <f>Tabla1[[#This Row],[CC]]/10</f>
        <v>0</v>
      </c>
      <c r="W5" s="8" t="e">
        <f xml:space="preserve"> (Tabla1[[#This Row],[ICLC]] + (1 - Tabla1[[#This Row],[ICC]])) / 2</f>
        <v>#DIV/0!</v>
      </c>
      <c r="X5" t="e">
        <f t="shared" ref="X5:X24" si="1">IF(W5 &lt; $S$49, "Bajo", IF(W5 &lt; $S$51, "Medio", "Alto"))</f>
        <v>#DIV/0!</v>
      </c>
      <c r="Z5" s="16" t="str">
        <f t="shared" ref="Z5:Z48" si="2">IF(Y5 &lt; $Y$51, "Bajo", IF(Y5 &gt;= $Y$53, "Alto", "Medio"))</f>
        <v>Bajo</v>
      </c>
      <c r="AA5" s="8" t="e">
        <f>Tabla1[[#This Row],[Valor general]]-Tabla1[[#This Row],[Valor general2]]-Tabla1[[#This Row],[INN]]</f>
        <v>#DIV/0!</v>
      </c>
      <c r="AB5" t="e">
        <f>IF(Tabla1[[#This Row],[Valor general de PC]]&lt; $AA$51, "Alto", IF(Tabla1[[#This Row],[Valor general de PC]]&lt; $AA$53, "Medio", "Bajo"))</f>
        <v>#DIV/0!</v>
      </c>
    </row>
    <row r="6" spans="1:28" hidden="1" x14ac:dyDescent="0.25">
      <c r="A6" s="2">
        <v>2020184824</v>
      </c>
      <c r="B6" s="2"/>
      <c r="C6" s="2"/>
      <c r="D6" s="2"/>
      <c r="E6" t="s">
        <v>44</v>
      </c>
      <c r="F6" t="s">
        <v>84</v>
      </c>
      <c r="G6" s="78"/>
      <c r="H6" s="78"/>
      <c r="L6" s="8">
        <f>Tabla1[[#This Row],[ERL]]+Tabla1[[#This Row],[IRL]]</f>
        <v>0</v>
      </c>
      <c r="N6" s="8" t="e">
        <f>Tabla1[[#This Row],[LoCode]]/Tabla1[[#This Row],[NoFunctions]]</f>
        <v>#DIV/0!</v>
      </c>
      <c r="P6" s="8" t="e">
        <f>SUM(Tabla1[[#This Row],[CC]:[IDC]]) - Tabla1[[#This Row],[IRC]]</f>
        <v>#DIV/0!</v>
      </c>
      <c r="Q6" t="e">
        <f t="shared" si="0"/>
        <v>#DIV/0!</v>
      </c>
      <c r="R6" s="8" t="e">
        <f>1 - ((Tabla1[[#This Row],[TPFM]]- $N$52) / ($N$51 - $N$52))</f>
        <v>#DIV/0!</v>
      </c>
      <c r="U6" s="8" t="e">
        <f>SUM(Tabla1[[#This Row],[IPTFM]:[Comentarios2]]) / 3</f>
        <v>#DIV/0!</v>
      </c>
      <c r="V6" s="8">
        <f>Tabla1[[#This Row],[CC]]/10</f>
        <v>0</v>
      </c>
      <c r="W6" s="8" t="e">
        <f xml:space="preserve"> (Tabla1[[#This Row],[ICLC]] + (1 - Tabla1[[#This Row],[ICC]])) / 2</f>
        <v>#DIV/0!</v>
      </c>
      <c r="X6" t="e">
        <f t="shared" si="1"/>
        <v>#DIV/0!</v>
      </c>
      <c r="Z6" s="16" t="str">
        <f t="shared" si="2"/>
        <v>Bajo</v>
      </c>
      <c r="AA6" s="8" t="e">
        <f>Tabla1[[#This Row],[Valor general]]-Tabla1[[#This Row],[Valor general2]]-Tabla1[[#This Row],[INN]]</f>
        <v>#DIV/0!</v>
      </c>
      <c r="AB6" t="e">
        <f>IF(Tabla1[[#This Row],[Valor general de PC]]&lt; $AA$51, "Alto", IF(Tabla1[[#This Row],[Valor general de PC]]&lt; $AA$53, "Medio", "Bajo"))</f>
        <v>#DIV/0!</v>
      </c>
    </row>
    <row r="7" spans="1:28" x14ac:dyDescent="0.25">
      <c r="A7" s="2">
        <v>2022000033</v>
      </c>
      <c r="B7" s="2"/>
      <c r="C7" s="2"/>
      <c r="D7" s="2"/>
      <c r="E7" t="s">
        <v>44</v>
      </c>
      <c r="F7" t="s">
        <v>85</v>
      </c>
      <c r="G7" s="78">
        <v>17</v>
      </c>
      <c r="H7" s="78">
        <v>1</v>
      </c>
      <c r="I7" s="8">
        <v>1</v>
      </c>
      <c r="J7" s="8">
        <v>0</v>
      </c>
      <c r="K7" s="8">
        <v>0</v>
      </c>
      <c r="L7" s="8">
        <f>Tabla1[[#This Row],[ERL]]+Tabla1[[#This Row],[IRL]]</f>
        <v>0</v>
      </c>
      <c r="M7" s="8">
        <v>6</v>
      </c>
      <c r="N7" s="8">
        <f>Tabla1[[#This Row],[LoCode]]/Tabla1[[#This Row],[NoFunctions]]</f>
        <v>17</v>
      </c>
      <c r="O7" s="8">
        <f>0.4118</f>
        <v>0.4118</v>
      </c>
      <c r="P7" s="8">
        <f>SUM(Tabla1[[#This Row],[CC]:[IDC]]) - Tabla1[[#This Row],[IRC]]</f>
        <v>23.411799999999999</v>
      </c>
      <c r="Q7" t="str">
        <f t="shared" si="0"/>
        <v>Bajo</v>
      </c>
      <c r="R7" s="8">
        <f>1 - ((Tabla1[[#This Row],[TPFM]]- $N$52) / ($N$51 - $N$52))</f>
        <v>0.48888888888888893</v>
      </c>
      <c r="S7" s="8">
        <v>0.06</v>
      </c>
      <c r="T7" s="8">
        <v>0</v>
      </c>
      <c r="U7" s="8">
        <f>SUM(Tabla1[[#This Row],[IPTFM]:[Comentarios2]]) / 3</f>
        <v>0.18296296296296299</v>
      </c>
      <c r="V7" s="8">
        <f>Tabla1[[#This Row],[CC]]/10</f>
        <v>0.6</v>
      </c>
      <c r="W7" s="8">
        <f xml:space="preserve"> (Tabla1[[#This Row],[ICLC]] + (1 - Tabla1[[#This Row],[ICC]])) / 2</f>
        <v>0.29148148148148151</v>
      </c>
      <c r="X7" t="str">
        <f>IF(W7 &lt; $W$51, "Bajo", IF(W7 &lt; $W$53, "Medio", "Alto"))</f>
        <v>Medio</v>
      </c>
      <c r="Y7" s="8">
        <v>1</v>
      </c>
      <c r="Z7" s="8" t="str">
        <f t="shared" si="2"/>
        <v>Alto</v>
      </c>
      <c r="AA7" s="8">
        <f>Tabla1[[#This Row],[Valor general]]-Tabla1[[#This Row],[Valor general2]]-Tabla1[[#This Row],[INN]]</f>
        <v>22.120318518518516</v>
      </c>
      <c r="AB7" t="str">
        <f>IF(Tabla1[[#This Row],[Valor general de PC]]&lt; $AA$51, "Alto", IF(Tabla1[[#This Row],[Valor general de PC]]&lt; $AA$53, "Medio", "Bajo"))</f>
        <v>Bajo</v>
      </c>
    </row>
    <row r="8" spans="1:28" hidden="1" x14ac:dyDescent="0.25">
      <c r="A8" s="2">
        <v>2022146515</v>
      </c>
      <c r="B8" s="2"/>
      <c r="C8" s="2"/>
      <c r="D8" s="2"/>
      <c r="G8" s="78"/>
      <c r="H8" s="78"/>
      <c r="L8" s="8">
        <f>Tabla1[[#This Row],[ERL]]+Tabla1[[#This Row],[IRL]]</f>
        <v>0</v>
      </c>
      <c r="N8" s="8" t="e">
        <f>Tabla1[[#This Row],[LoCode]]/Tabla1[[#This Row],[NoFunctions]]</f>
        <v>#DIV/0!</v>
      </c>
      <c r="P8" s="8" t="e">
        <f>SUM(Tabla1[[#This Row],[CC]:[IDC]]) - Tabla1[[#This Row],[IRC]]</f>
        <v>#DIV/0!</v>
      </c>
      <c r="Q8" t="e">
        <f t="shared" si="0"/>
        <v>#DIV/0!</v>
      </c>
      <c r="R8" s="8" t="e">
        <f>1 - ((Tabla1[[#This Row],[TPFM]]- $N$52) / ($N$51 - $N$52))</f>
        <v>#DIV/0!</v>
      </c>
      <c r="U8" s="8" t="e">
        <f>SUM(Tabla1[[#This Row],[IPTFM]:[Comentarios2]]) / 3</f>
        <v>#DIV/0!</v>
      </c>
      <c r="V8" s="8">
        <f>Tabla1[[#This Row],[CC]]/10</f>
        <v>0</v>
      </c>
      <c r="W8" s="8" t="e">
        <f xml:space="preserve"> (Tabla1[[#This Row],[ICLC]] + (1 - Tabla1[[#This Row],[ICC]])) / 2</f>
        <v>#DIV/0!</v>
      </c>
      <c r="X8" t="e">
        <f t="shared" si="1"/>
        <v>#DIV/0!</v>
      </c>
      <c r="Z8" s="16" t="str">
        <f t="shared" si="2"/>
        <v>Bajo</v>
      </c>
      <c r="AA8" s="8" t="e">
        <f>Tabla1[[#This Row],[Valor general]]-Tabla1[[#This Row],[Valor general2]]-Tabla1[[#This Row],[INN]]</f>
        <v>#DIV/0!</v>
      </c>
      <c r="AB8" t="e">
        <f>IF(Tabla1[[#This Row],[Valor general de PC]]&lt; $AA$51, "Alto", IF(Tabla1[[#This Row],[Valor general de PC]]&lt; $AA$53, "Medio", "Bajo"))</f>
        <v>#DIV/0!</v>
      </c>
    </row>
    <row r="9" spans="1:28" x14ac:dyDescent="0.25">
      <c r="A9" s="2">
        <v>2022163260</v>
      </c>
      <c r="B9" s="2"/>
      <c r="C9" s="2"/>
      <c r="D9" s="2"/>
      <c r="E9" t="s">
        <v>44</v>
      </c>
      <c r="F9" t="s">
        <v>85</v>
      </c>
      <c r="G9" s="78">
        <v>13</v>
      </c>
      <c r="H9" s="78">
        <v>0</v>
      </c>
      <c r="I9" s="8">
        <v>1</v>
      </c>
      <c r="J9" s="8">
        <v>0</v>
      </c>
      <c r="K9" s="8">
        <v>0</v>
      </c>
      <c r="L9" s="8">
        <f>Tabla1[[#This Row],[ERL]]+Tabla1[[#This Row],[IRL]]</f>
        <v>0</v>
      </c>
      <c r="M9" s="8">
        <v>3</v>
      </c>
      <c r="N9" s="8">
        <f>Tabla1[[#This Row],[LoCode]]/Tabla1[[#This Row],[NoFunctions]]</f>
        <v>13</v>
      </c>
      <c r="O9" s="8">
        <v>0.30769999999999997</v>
      </c>
      <c r="P9" s="8">
        <f>SUM(Tabla1[[#This Row],[CC]:[IDC]]) - Tabla1[[#This Row],[IRC]]</f>
        <v>16.307700000000001</v>
      </c>
      <c r="Q9" t="str">
        <f t="shared" si="0"/>
        <v>Alto</v>
      </c>
      <c r="R9" s="8">
        <f>1 - ((Tabla1[[#This Row],[TPFM]]- $N$52) / ($N$51 - $N$52))</f>
        <v>0.66666666666666674</v>
      </c>
      <c r="S9" s="8">
        <v>0.09</v>
      </c>
      <c r="T9" s="8">
        <v>0</v>
      </c>
      <c r="U9" s="8">
        <f>SUM(Tabla1[[#This Row],[IPTFM]:[Comentarios2]]) / 3</f>
        <v>0.25222222222222224</v>
      </c>
      <c r="V9" s="8">
        <f>Tabla1[[#This Row],[CC]]/10</f>
        <v>0.3</v>
      </c>
      <c r="W9" s="8">
        <f xml:space="preserve"> (Tabla1[[#This Row],[ICLC]] + (1 - Tabla1[[#This Row],[ICC]])) / 2</f>
        <v>0.4761111111111111</v>
      </c>
      <c r="X9" t="str">
        <f>IF(W9 &lt; $W$51, "Bajo", IF(W9 &lt; $W$53, "Medio", "Alto"))</f>
        <v>Alto</v>
      </c>
      <c r="Y9" s="8">
        <v>1</v>
      </c>
      <c r="Z9" s="8" t="str">
        <f t="shared" si="2"/>
        <v>Alto</v>
      </c>
      <c r="AA9" s="8">
        <f>Tabla1[[#This Row],[Valor general]]-Tabla1[[#This Row],[Valor general2]]-Tabla1[[#This Row],[INN]]</f>
        <v>14.83158888888889</v>
      </c>
      <c r="AB9" t="str">
        <f>IF(Tabla1[[#This Row],[Valor general de PC]]&lt; $AA$51, "Alto", IF(Tabla1[[#This Row],[Valor general de PC]]&lt; $AA$53, "Medio", "Bajo"))</f>
        <v>Alto</v>
      </c>
    </row>
    <row r="10" spans="1:28" hidden="1" x14ac:dyDescent="0.25">
      <c r="A10" s="2">
        <v>2023066681</v>
      </c>
      <c r="B10" s="2"/>
      <c r="C10" s="2"/>
      <c r="D10" s="2"/>
      <c r="E10" t="s">
        <v>44</v>
      </c>
      <c r="F10" t="s">
        <v>84</v>
      </c>
      <c r="G10" s="78"/>
      <c r="H10" s="78"/>
      <c r="L10" s="8">
        <f>Tabla1[[#This Row],[ERL]]+Tabla1[[#This Row],[IRL]]</f>
        <v>0</v>
      </c>
      <c r="N10" s="8" t="e">
        <f>Tabla1[[#This Row],[LoCode]]/Tabla1[[#This Row],[NoFunctions]]</f>
        <v>#DIV/0!</v>
      </c>
      <c r="P10" s="8" t="e">
        <f>SUM(Tabla1[[#This Row],[CC]:[IDC]]) - Tabla1[[#This Row],[IRC]]</f>
        <v>#DIV/0!</v>
      </c>
      <c r="Q10" t="e">
        <f t="shared" si="0"/>
        <v>#DIV/0!</v>
      </c>
      <c r="R10" s="8" t="e">
        <f>1 - ((Tabla1[[#This Row],[TPFM]]- $N$52) / ($N$51 - $N$52))</f>
        <v>#DIV/0!</v>
      </c>
      <c r="U10" s="8" t="e">
        <f>SUM(Tabla1[[#This Row],[IPTFM]:[Comentarios2]]) / 3</f>
        <v>#DIV/0!</v>
      </c>
      <c r="V10" s="8">
        <f>Tabla1[[#This Row],[CC]]/10</f>
        <v>0</v>
      </c>
      <c r="W10" s="8" t="e">
        <f xml:space="preserve"> (Tabla1[[#This Row],[ICLC]] + (1 - Tabla1[[#This Row],[ICC]])) / 2</f>
        <v>#DIV/0!</v>
      </c>
      <c r="X10" t="e">
        <f t="shared" si="1"/>
        <v>#DIV/0!</v>
      </c>
      <c r="Z10" s="16" t="str">
        <f t="shared" si="2"/>
        <v>Bajo</v>
      </c>
      <c r="AA10" s="8" t="e">
        <f>Tabla1[[#This Row],[Valor general]]-Tabla1[[#This Row],[Valor general2]]-Tabla1[[#This Row],[INN]]</f>
        <v>#DIV/0!</v>
      </c>
      <c r="AB10" t="e">
        <f>IF(Tabla1[[#This Row],[Valor general de PC]]&lt; $AA$51, "Alto", IF(Tabla1[[#This Row],[Valor general de PC]]&lt; $AA$53, "Medio", "Bajo"))</f>
        <v>#DIV/0!</v>
      </c>
    </row>
    <row r="11" spans="1:28" hidden="1" x14ac:dyDescent="0.25">
      <c r="A11" s="2">
        <v>2023112646</v>
      </c>
      <c r="B11" s="2"/>
      <c r="C11" s="2"/>
      <c r="D11" s="2"/>
      <c r="G11" s="78"/>
      <c r="H11" s="78"/>
      <c r="L11" s="8">
        <f>Tabla1[[#This Row],[ERL]]+Tabla1[[#This Row],[IRL]]</f>
        <v>0</v>
      </c>
      <c r="N11" s="8" t="e">
        <f>Tabla1[[#This Row],[LoCode]]/Tabla1[[#This Row],[NoFunctions]]</f>
        <v>#DIV/0!</v>
      </c>
      <c r="P11" s="8" t="e">
        <f>SUM(Tabla1[[#This Row],[CC]:[IDC]]) - Tabla1[[#This Row],[IRC]]</f>
        <v>#DIV/0!</v>
      </c>
      <c r="Q11" t="e">
        <f t="shared" si="0"/>
        <v>#DIV/0!</v>
      </c>
      <c r="R11" s="8" t="e">
        <f>1 - ((Tabla1[[#This Row],[TPFM]]- $N$52) / ($N$51 - $N$52))</f>
        <v>#DIV/0!</v>
      </c>
      <c r="U11" s="8" t="e">
        <f>SUM(Tabla1[[#This Row],[IPTFM]:[Comentarios2]]) / 3</f>
        <v>#DIV/0!</v>
      </c>
      <c r="V11" s="8">
        <f>Tabla1[[#This Row],[CC]]/10</f>
        <v>0</v>
      </c>
      <c r="W11" s="8" t="e">
        <f xml:space="preserve"> (Tabla1[[#This Row],[ICLC]] + (1 - Tabla1[[#This Row],[ICC]])) / 2</f>
        <v>#DIV/0!</v>
      </c>
      <c r="X11" t="e">
        <f t="shared" si="1"/>
        <v>#DIV/0!</v>
      </c>
      <c r="Z11" s="16" t="str">
        <f t="shared" si="2"/>
        <v>Bajo</v>
      </c>
      <c r="AA11" s="8" t="e">
        <f>Tabla1[[#This Row],[Valor general]]-Tabla1[[#This Row],[Valor general2]]-Tabla1[[#This Row],[INN]]</f>
        <v>#DIV/0!</v>
      </c>
      <c r="AB11" t="e">
        <f>IF(Tabla1[[#This Row],[Valor general de PC]]&lt; $AA$51, "Alto", IF(Tabla1[[#This Row],[Valor general de PC]]&lt; $AA$53, "Medio", "Bajo"))</f>
        <v>#DIV/0!</v>
      </c>
    </row>
    <row r="12" spans="1:28" x14ac:dyDescent="0.25">
      <c r="A12" s="2">
        <v>2023147244</v>
      </c>
      <c r="B12" s="2"/>
      <c r="C12" s="2"/>
      <c r="D12" s="2"/>
      <c r="E12" t="s">
        <v>44</v>
      </c>
      <c r="F12" s="3" t="s">
        <v>45</v>
      </c>
      <c r="G12" s="78">
        <v>21</v>
      </c>
      <c r="H12" s="78">
        <v>1</v>
      </c>
      <c r="I12" s="8">
        <v>1</v>
      </c>
      <c r="J12" s="8">
        <v>0</v>
      </c>
      <c r="K12" s="8">
        <v>0</v>
      </c>
      <c r="L12" s="8">
        <f>Tabla1[[#This Row],[ERL]]+Tabla1[[#This Row],[IRL]]</f>
        <v>0</v>
      </c>
      <c r="M12" s="8">
        <v>7</v>
      </c>
      <c r="N12" s="8">
        <f>Tabla1[[#This Row],[LoCode]]/Tabla1[[#This Row],[NoFunctions]]</f>
        <v>21</v>
      </c>
      <c r="O12" s="8">
        <v>0.42859999999999998</v>
      </c>
      <c r="P12" s="8">
        <f>SUM(Tabla1[[#This Row],[CC]:[IDC]]) - Tabla1[[#This Row],[IRC]]</f>
        <v>28.428599999999999</v>
      </c>
      <c r="Q12" t="str">
        <f t="shared" si="0"/>
        <v>Bajo</v>
      </c>
      <c r="R12" s="8">
        <f>1 - ((Tabla1[[#This Row],[TPFM]]- $N$52) / ($N$51 - $N$52))</f>
        <v>0.31111111111111112</v>
      </c>
      <c r="S12" s="8">
        <v>0.06</v>
      </c>
      <c r="T12" s="8">
        <v>0</v>
      </c>
      <c r="U12" s="8">
        <f>SUM(Tabla1[[#This Row],[IPTFM]:[Comentarios2]]) / 3</f>
        <v>0.1237037037037037</v>
      </c>
      <c r="V12" s="8">
        <f>Tabla1[[#This Row],[CC]]/10</f>
        <v>0.7</v>
      </c>
      <c r="W12" s="8">
        <f xml:space="preserve"> (Tabla1[[#This Row],[ICLC]] + (1 - Tabla1[[#This Row],[ICC]])) / 2</f>
        <v>0.21185185185185187</v>
      </c>
      <c r="X12" t="str">
        <f>IF(W12 &lt; $W$51, "Bajo", IF(W12 &lt; $W$53, "Medio", "Alto"))</f>
        <v>Bajo</v>
      </c>
      <c r="Y12" s="8">
        <v>1</v>
      </c>
      <c r="Z12" s="8" t="str">
        <f t="shared" si="2"/>
        <v>Alto</v>
      </c>
      <c r="AA12" s="8">
        <f>Tabla1[[#This Row],[Valor general]]-Tabla1[[#This Row],[Valor general2]]-Tabla1[[#This Row],[INN]]</f>
        <v>27.216748148148149</v>
      </c>
      <c r="AB12" t="str">
        <f>IF(Tabla1[[#This Row],[Valor general de PC]]&lt; $AA$51, "Alto", IF(Tabla1[[#This Row],[Valor general de PC]]&lt; $AA$53, "Medio", "Bajo"))</f>
        <v>Bajo</v>
      </c>
    </row>
    <row r="13" spans="1:28" hidden="1" x14ac:dyDescent="0.25">
      <c r="A13" s="2">
        <v>2023152721</v>
      </c>
      <c r="B13" s="2"/>
      <c r="C13" s="2"/>
      <c r="D13" s="2"/>
      <c r="G13" s="78"/>
      <c r="H13" s="78"/>
      <c r="L13" s="8">
        <f>Tabla1[[#This Row],[ERL]]+Tabla1[[#This Row],[IRL]]</f>
        <v>0</v>
      </c>
      <c r="N13" s="8" t="e">
        <f>Tabla1[[#This Row],[LoCode]]/Tabla1[[#This Row],[NoFunctions]]</f>
        <v>#DIV/0!</v>
      </c>
      <c r="P13" s="8" t="e">
        <f>SUM(Tabla1[[#This Row],[CC]:[IDC]]) - Tabla1[[#This Row],[IRC]]</f>
        <v>#DIV/0!</v>
      </c>
      <c r="Q13" t="e">
        <f t="shared" si="0"/>
        <v>#DIV/0!</v>
      </c>
      <c r="R13" s="8" t="e">
        <f>1 - ((Tabla1[[#This Row],[TPFM]]- $N$52) / ($N$51 - $N$52))</f>
        <v>#DIV/0!</v>
      </c>
      <c r="U13" s="8" t="e">
        <f>SUM(Tabla1[[#This Row],[IPTFM]:[Comentarios2]]) / 3</f>
        <v>#DIV/0!</v>
      </c>
      <c r="V13" s="8">
        <f>Tabla1[[#This Row],[CC]]/10</f>
        <v>0</v>
      </c>
      <c r="W13" s="8" t="e">
        <f xml:space="preserve"> (Tabla1[[#This Row],[ICLC]] + (1 - Tabla1[[#This Row],[ICC]])) / 2</f>
        <v>#DIV/0!</v>
      </c>
      <c r="X13" t="e">
        <f t="shared" si="1"/>
        <v>#DIV/0!</v>
      </c>
      <c r="Z13" s="16" t="str">
        <f t="shared" si="2"/>
        <v>Bajo</v>
      </c>
      <c r="AA13" s="8" t="e">
        <f>Tabla1[[#This Row],[Valor general]]-Tabla1[[#This Row],[Valor general2]]-Tabla1[[#This Row],[INN]]</f>
        <v>#DIV/0!</v>
      </c>
      <c r="AB13" t="e">
        <f>IF(Tabla1[[#This Row],[Valor general de PC]]&lt; $AA$51, "Alto", IF(Tabla1[[#This Row],[Valor general de PC]]&lt; $AA$53, "Medio", "Bajo"))</f>
        <v>#DIV/0!</v>
      </c>
    </row>
    <row r="14" spans="1:28" hidden="1" x14ac:dyDescent="0.25">
      <c r="A14" s="2">
        <v>2024063271</v>
      </c>
      <c r="B14" s="2"/>
      <c r="C14" s="2"/>
      <c r="D14" s="2"/>
      <c r="G14" s="78"/>
      <c r="H14" s="78"/>
      <c r="L14" s="8">
        <f>Tabla1[[#This Row],[ERL]]+Tabla1[[#This Row],[IRL]]</f>
        <v>0</v>
      </c>
      <c r="N14" s="8" t="e">
        <f>Tabla1[[#This Row],[LoCode]]/Tabla1[[#This Row],[NoFunctions]]</f>
        <v>#DIV/0!</v>
      </c>
      <c r="P14" s="8" t="e">
        <f>SUM(Tabla1[[#This Row],[CC]:[IDC]]) - Tabla1[[#This Row],[IRC]]</f>
        <v>#DIV/0!</v>
      </c>
      <c r="Q14" t="e">
        <f t="shared" si="0"/>
        <v>#DIV/0!</v>
      </c>
      <c r="R14" s="8" t="e">
        <f>1 - ((Tabla1[[#This Row],[TPFM]]- $N$52) / ($N$51 - $N$52))</f>
        <v>#DIV/0!</v>
      </c>
      <c r="U14" s="8" t="e">
        <f>SUM(Tabla1[[#This Row],[IPTFM]:[Comentarios2]]) / 3</f>
        <v>#DIV/0!</v>
      </c>
      <c r="V14" s="8">
        <f>Tabla1[[#This Row],[CC]]/10</f>
        <v>0</v>
      </c>
      <c r="W14" s="8" t="e">
        <f xml:space="preserve"> (Tabla1[[#This Row],[ICLC]] + (1 - Tabla1[[#This Row],[ICC]])) / 2</f>
        <v>#DIV/0!</v>
      </c>
      <c r="X14" t="e">
        <f t="shared" si="1"/>
        <v>#DIV/0!</v>
      </c>
      <c r="Z14" s="16" t="str">
        <f t="shared" si="2"/>
        <v>Bajo</v>
      </c>
      <c r="AA14" s="8" t="e">
        <f>Tabla1[[#This Row],[Valor general]]-Tabla1[[#This Row],[Valor general2]]-Tabla1[[#This Row],[INN]]</f>
        <v>#DIV/0!</v>
      </c>
      <c r="AB14" t="e">
        <f>IF(Tabla1[[#This Row],[Valor general de PC]]&lt; $AA$51, "Alto", IF(Tabla1[[#This Row],[Valor general de PC]]&lt; $AA$53, "Medio", "Bajo"))</f>
        <v>#DIV/0!</v>
      </c>
    </row>
    <row r="15" spans="1:28" x14ac:dyDescent="0.25">
      <c r="A15" s="2">
        <v>2024066829</v>
      </c>
      <c r="B15" s="2"/>
      <c r="C15" s="2"/>
      <c r="D15" s="2"/>
      <c r="E15" t="s">
        <v>44</v>
      </c>
      <c r="F15" t="s">
        <v>45</v>
      </c>
      <c r="G15" s="78">
        <v>13</v>
      </c>
      <c r="H15" s="78">
        <v>1</v>
      </c>
      <c r="I15" s="8">
        <v>1</v>
      </c>
      <c r="J15" s="8">
        <v>0</v>
      </c>
      <c r="K15" s="8">
        <f>2/Tabla1[[#This Row],[LoCode]]</f>
        <v>0.15384615384615385</v>
      </c>
      <c r="L15" s="8">
        <f>Tabla1[[#This Row],[ERL]]+Tabla1[[#This Row],[IRL]]</f>
        <v>0.15384615384615385</v>
      </c>
      <c r="M15" s="8">
        <v>5</v>
      </c>
      <c r="N15" s="8">
        <f>Tabla1[[#This Row],[LoCode]]/Tabla1[[#This Row],[NoFunctions]]</f>
        <v>13</v>
      </c>
      <c r="O15" s="8">
        <v>0.23080000000000001</v>
      </c>
      <c r="P15" s="8">
        <f>SUM(Tabla1[[#This Row],[CC]:[IDC]]) - Tabla1[[#This Row],[IRC]]</f>
        <v>18.076953846153845</v>
      </c>
      <c r="Q15" t="str">
        <f t="shared" si="0"/>
        <v>Medio</v>
      </c>
      <c r="R15" s="8">
        <f>1 - ((Tabla1[[#This Row],[TPFM]]- $N$52) / ($N$51 - $N$52))</f>
        <v>0.66666666666666674</v>
      </c>
      <c r="S15" s="8">
        <v>0.06</v>
      </c>
      <c r="T15" s="8">
        <v>0</v>
      </c>
      <c r="U15" s="8">
        <f>SUM(Tabla1[[#This Row],[IPTFM]:[Comentarios2]]) / 3</f>
        <v>0.24222222222222226</v>
      </c>
      <c r="V15" s="8">
        <f>Tabla1[[#This Row],[CC]]/10</f>
        <v>0.5</v>
      </c>
      <c r="W15" s="8">
        <f xml:space="preserve"> (Tabla1[[#This Row],[ICLC]] + (1 - Tabla1[[#This Row],[ICC]])) / 2</f>
        <v>0.37111111111111111</v>
      </c>
      <c r="X15" t="str">
        <f>IF(W15 &lt; $W$51, "Bajo", IF(W15 &lt; $W$53, "Medio", "Alto"))</f>
        <v>Alto</v>
      </c>
      <c r="Y15" s="8">
        <v>1</v>
      </c>
      <c r="Z15" s="8" t="str">
        <f t="shared" si="2"/>
        <v>Alto</v>
      </c>
      <c r="AA15" s="8">
        <f>Tabla1[[#This Row],[Valor general]]-Tabla1[[#This Row],[Valor general2]]-Tabla1[[#This Row],[INN]]</f>
        <v>16.705842735042733</v>
      </c>
      <c r="AB15" t="str">
        <f>IF(Tabla1[[#This Row],[Valor general de PC]]&lt; $AA$51, "Alto", IF(Tabla1[[#This Row],[Valor general de PC]]&lt; $AA$53, "Medio", "Bajo"))</f>
        <v>Alto</v>
      </c>
    </row>
    <row r="16" spans="1:28" hidden="1" x14ac:dyDescent="0.25">
      <c r="A16" s="2">
        <v>2024070969</v>
      </c>
      <c r="B16" s="2"/>
      <c r="C16" s="2"/>
      <c r="D16" s="2"/>
      <c r="G16" s="78"/>
      <c r="H16" s="78"/>
      <c r="L16" s="8">
        <f>Tabla1[[#This Row],[ERL]]+Tabla1[[#This Row],[IRL]]</f>
        <v>0</v>
      </c>
      <c r="N16" s="8" t="e">
        <f>Tabla1[[#This Row],[LoCode]]/Tabla1[[#This Row],[NoFunctions]]</f>
        <v>#DIV/0!</v>
      </c>
      <c r="P16" s="8" t="e">
        <f>SUM(Tabla1[[#This Row],[CC]:[IDC]]) - Tabla1[[#This Row],[IRC]]</f>
        <v>#DIV/0!</v>
      </c>
      <c r="Q16" t="e">
        <f t="shared" si="0"/>
        <v>#DIV/0!</v>
      </c>
      <c r="R16" s="8" t="e">
        <f>1 - ((Tabla1[[#This Row],[TPFM]]- $N$52) / ($N$51 - $N$52))</f>
        <v>#DIV/0!</v>
      </c>
      <c r="U16" s="8" t="e">
        <f>SUM(Tabla1[[#This Row],[IPTFM]:[Comentarios2]]) / 3</f>
        <v>#DIV/0!</v>
      </c>
      <c r="V16" s="8">
        <f>Tabla1[[#This Row],[CC]]/10</f>
        <v>0</v>
      </c>
      <c r="W16" s="8" t="e">
        <f xml:space="preserve"> (Tabla1[[#This Row],[ICLC]] + (1 - Tabla1[[#This Row],[ICC]])) / 2</f>
        <v>#DIV/0!</v>
      </c>
      <c r="X16" t="e">
        <f t="shared" si="1"/>
        <v>#DIV/0!</v>
      </c>
      <c r="Z16" s="16" t="str">
        <f t="shared" si="2"/>
        <v>Bajo</v>
      </c>
      <c r="AA16" s="8" t="e">
        <f>Tabla1[[#This Row],[Valor general]]-Tabla1[[#This Row],[Valor general2]]-Tabla1[[#This Row],[INN]]</f>
        <v>#DIV/0!</v>
      </c>
      <c r="AB16" t="e">
        <f>IF(Tabla1[[#This Row],[Valor general de PC]]&lt; $AA$51, "Alto", IF(Tabla1[[#This Row],[Valor general de PC]]&lt; $AA$53, "Medio", "Bajo"))</f>
        <v>#DIV/0!</v>
      </c>
    </row>
    <row r="17" spans="1:28" hidden="1" x14ac:dyDescent="0.25">
      <c r="A17" s="2">
        <v>2024071983</v>
      </c>
      <c r="B17" s="2"/>
      <c r="C17" s="2"/>
      <c r="D17" s="2"/>
      <c r="G17" s="78"/>
      <c r="H17" s="78"/>
      <c r="L17" s="8">
        <f>Tabla1[[#This Row],[ERL]]+Tabla1[[#This Row],[IRL]]</f>
        <v>0</v>
      </c>
      <c r="N17" s="8" t="e">
        <f>Tabla1[[#This Row],[LoCode]]/Tabla1[[#This Row],[NoFunctions]]</f>
        <v>#DIV/0!</v>
      </c>
      <c r="P17" s="8" t="e">
        <f>SUM(Tabla1[[#This Row],[CC]:[IDC]]) - Tabla1[[#This Row],[IRC]]</f>
        <v>#DIV/0!</v>
      </c>
      <c r="Q17" t="e">
        <f t="shared" si="0"/>
        <v>#DIV/0!</v>
      </c>
      <c r="R17" s="8" t="e">
        <f>1 - ((Tabla1[[#This Row],[TPFM]]- $N$52) / ($N$51 - $N$52))</f>
        <v>#DIV/0!</v>
      </c>
      <c r="U17" s="8" t="e">
        <f>SUM(Tabla1[[#This Row],[IPTFM]:[Comentarios2]]) / 3</f>
        <v>#DIV/0!</v>
      </c>
      <c r="V17" s="8">
        <f>Tabla1[[#This Row],[CC]]/10</f>
        <v>0</v>
      </c>
      <c r="W17" s="8" t="e">
        <f xml:space="preserve"> (Tabla1[[#This Row],[ICLC]] + (1 - Tabla1[[#This Row],[ICC]])) / 2</f>
        <v>#DIV/0!</v>
      </c>
      <c r="X17" t="e">
        <f t="shared" si="1"/>
        <v>#DIV/0!</v>
      </c>
      <c r="Z17" s="16" t="str">
        <f t="shared" si="2"/>
        <v>Bajo</v>
      </c>
      <c r="AA17" s="8" t="e">
        <f>Tabla1[[#This Row],[Valor general]]-Tabla1[[#This Row],[Valor general2]]-Tabla1[[#This Row],[INN]]</f>
        <v>#DIV/0!</v>
      </c>
      <c r="AB17" t="e">
        <f>IF(Tabla1[[#This Row],[Valor general de PC]]&lt; $AA$51, "Alto", IF(Tabla1[[#This Row],[Valor general de PC]]&lt; $AA$53, "Medio", "Bajo"))</f>
        <v>#DIV/0!</v>
      </c>
    </row>
    <row r="18" spans="1:28" ht="30" x14ac:dyDescent="0.25">
      <c r="A18" s="2">
        <v>2024082949</v>
      </c>
      <c r="B18" s="2"/>
      <c r="C18" s="2"/>
      <c r="D18" s="2"/>
      <c r="E18" t="s">
        <v>42</v>
      </c>
      <c r="F18" s="3" t="s">
        <v>86</v>
      </c>
      <c r="G18" s="78">
        <v>20</v>
      </c>
      <c r="H18" s="78">
        <v>6</v>
      </c>
      <c r="I18" s="8">
        <v>2</v>
      </c>
      <c r="J18" s="8">
        <v>0</v>
      </c>
      <c r="K18" s="8">
        <f>4/Tabla1[[#This Row],[LoCode]]</f>
        <v>0.2</v>
      </c>
      <c r="L18" s="8">
        <f>Tabla1[[#This Row],[ERL]]+Tabla1[[#This Row],[IRL]]</f>
        <v>0.2</v>
      </c>
      <c r="M18" s="8">
        <v>9</v>
      </c>
      <c r="N18" s="8">
        <f>Tabla1[[#This Row],[LoCode]]/Tabla1[[#This Row],[NoFunctions]]</f>
        <v>10</v>
      </c>
      <c r="O18" s="8">
        <v>0.15</v>
      </c>
      <c r="P18" s="8">
        <f>SUM(Tabla1[[#This Row],[CC]:[IDC]]) - Tabla1[[#This Row],[IRC]]</f>
        <v>18.95</v>
      </c>
      <c r="Q18" t="str">
        <f t="shared" si="0"/>
        <v>Medio</v>
      </c>
      <c r="R18" s="8">
        <f>1 - ((Tabla1[[#This Row],[TPFM]]- $N$52) / ($N$51 - $N$52))</f>
        <v>0.8</v>
      </c>
      <c r="S18" s="8">
        <v>0.05</v>
      </c>
      <c r="T18" s="8">
        <v>0</v>
      </c>
      <c r="U18" s="8">
        <f>SUM(Tabla1[[#This Row],[IPTFM]:[Comentarios2]]) / 3</f>
        <v>0.28333333333333338</v>
      </c>
      <c r="V18" s="8">
        <f>Tabla1[[#This Row],[CC]]/10</f>
        <v>0.9</v>
      </c>
      <c r="W18" s="8">
        <f xml:space="preserve"> (Tabla1[[#This Row],[ICLC]] + (1 - Tabla1[[#This Row],[ICC]])) / 2</f>
        <v>0.19166666666666668</v>
      </c>
      <c r="X18" t="str">
        <f>IF(W18 &lt; $W$51, "Bajo", IF(W18 &lt; $W$53, "Medio", "Alto"))</f>
        <v>Bajo</v>
      </c>
      <c r="Y18" s="8">
        <v>1</v>
      </c>
      <c r="Z18" s="8" t="str">
        <f t="shared" si="2"/>
        <v>Alto</v>
      </c>
      <c r="AA18" s="8">
        <f>Tabla1[[#This Row],[Valor general]]-Tabla1[[#This Row],[Valor general2]]-Tabla1[[#This Row],[INN]]</f>
        <v>17.758333333333333</v>
      </c>
      <c r="AB18" t="str">
        <f>IF(Tabla1[[#This Row],[Valor general de PC]]&lt; $AA$51, "Alto", IF(Tabla1[[#This Row],[Valor general de PC]]&lt; $AA$53, "Medio", "Bajo"))</f>
        <v>Medio</v>
      </c>
    </row>
    <row r="19" spans="1:28" x14ac:dyDescent="0.25">
      <c r="A19" s="2">
        <v>2024090884</v>
      </c>
      <c r="B19" s="2"/>
      <c r="C19" s="2"/>
      <c r="D19" s="2"/>
      <c r="E19" t="s">
        <v>44</v>
      </c>
      <c r="F19" t="s">
        <v>45</v>
      </c>
      <c r="G19" s="78">
        <v>28</v>
      </c>
      <c r="H19" s="78">
        <v>0</v>
      </c>
      <c r="I19" s="8">
        <v>2</v>
      </c>
      <c r="J19" s="8">
        <v>0</v>
      </c>
      <c r="K19" s="8">
        <f>4/Tabla1[[#This Row],[LoCode]]</f>
        <v>0.14285714285714285</v>
      </c>
      <c r="L19" s="8">
        <f>Tabla1[[#This Row],[ERL]]+Tabla1[[#This Row],[IRL]]</f>
        <v>0.14285714285714285</v>
      </c>
      <c r="M19" s="8">
        <v>8</v>
      </c>
      <c r="N19" s="8">
        <f>Tabla1[[#This Row],[LoCode]]/Tabla1[[#This Row],[NoFunctions]]</f>
        <v>14</v>
      </c>
      <c r="O19" s="8">
        <v>0.39290000000000003</v>
      </c>
      <c r="P19" s="8">
        <f>SUM(Tabla1[[#This Row],[CC]:[IDC]]) - Tabla1[[#This Row],[IRC]]</f>
        <v>22.250042857142859</v>
      </c>
      <c r="Q19" t="str">
        <f t="shared" si="0"/>
        <v>Medio</v>
      </c>
      <c r="R19" s="8">
        <f>1 - ((Tabla1[[#This Row],[TPFM]]- $N$52) / ($N$51 - $N$52))</f>
        <v>0.62222222222222223</v>
      </c>
      <c r="S19" s="8">
        <v>0.06</v>
      </c>
      <c r="T19" s="8">
        <v>0</v>
      </c>
      <c r="U19" s="8">
        <f>SUM(Tabla1[[#This Row],[IPTFM]:[Comentarios2]]) / 3</f>
        <v>0.22740740740740742</v>
      </c>
      <c r="V19" s="8">
        <f>Tabla1[[#This Row],[CC]]/10</f>
        <v>0.8</v>
      </c>
      <c r="W19" s="8">
        <f xml:space="preserve"> (Tabla1[[#This Row],[ICLC]] + (1 - Tabla1[[#This Row],[ICC]])) / 2</f>
        <v>0.21370370370370367</v>
      </c>
      <c r="X19" t="str">
        <f>IF(W19 &lt; $W$51, "Bajo", IF(W19 &lt; $W$53, "Medio", "Alto"))</f>
        <v>Medio</v>
      </c>
      <c r="Y19" s="8">
        <v>1</v>
      </c>
      <c r="Z19" s="8" t="str">
        <f t="shared" si="2"/>
        <v>Alto</v>
      </c>
      <c r="AA19" s="8">
        <f>Tabla1[[#This Row],[Valor general]]-Tabla1[[#This Row],[Valor general2]]-Tabla1[[#This Row],[INN]]</f>
        <v>21.036339153439155</v>
      </c>
      <c r="AB19" t="str">
        <f>IF(Tabla1[[#This Row],[Valor general de PC]]&lt; $AA$51, "Alto", IF(Tabla1[[#This Row],[Valor general de PC]]&lt; $AA$53, "Medio", "Bajo"))</f>
        <v>Medio</v>
      </c>
    </row>
    <row r="20" spans="1:28" hidden="1" x14ac:dyDescent="0.25">
      <c r="A20" s="2">
        <v>2024093410</v>
      </c>
      <c r="B20" s="2"/>
      <c r="C20" s="2"/>
      <c r="D20" s="2"/>
      <c r="G20" s="78"/>
      <c r="H20" s="78"/>
      <c r="L20" s="8">
        <f>Tabla1[[#This Row],[ERL]]+Tabla1[[#This Row],[IRL]]</f>
        <v>0</v>
      </c>
      <c r="N20" s="8" t="e">
        <f>Tabla1[[#This Row],[LoCode]]/Tabla1[[#This Row],[NoFunctions]]</f>
        <v>#DIV/0!</v>
      </c>
      <c r="P20" s="8" t="e">
        <f>SUM(Tabla1[[#This Row],[CC]:[IDC]]) - Tabla1[[#This Row],[IRC]]</f>
        <v>#DIV/0!</v>
      </c>
      <c r="Q20" t="e">
        <f t="shared" si="0"/>
        <v>#DIV/0!</v>
      </c>
      <c r="R20" s="8" t="e">
        <f>1 - ((Tabla1[[#This Row],[TPFM]]- $N$52) / ($N$51 - $N$52))</f>
        <v>#DIV/0!</v>
      </c>
      <c r="U20" s="8" t="e">
        <f>SUM(Tabla1[[#This Row],[IPTFM]:[Comentarios2]]) / 3</f>
        <v>#DIV/0!</v>
      </c>
      <c r="V20" s="8">
        <f>Tabla1[[#This Row],[CC]]/10</f>
        <v>0</v>
      </c>
      <c r="W20" s="8" t="e">
        <f xml:space="preserve"> (Tabla1[[#This Row],[ICLC]] + (1 - Tabla1[[#This Row],[ICC]])) / 2</f>
        <v>#DIV/0!</v>
      </c>
      <c r="X20" t="e">
        <f t="shared" si="1"/>
        <v>#DIV/0!</v>
      </c>
      <c r="Z20" s="16" t="str">
        <f t="shared" si="2"/>
        <v>Bajo</v>
      </c>
      <c r="AA20" s="8" t="e">
        <f>Tabla1[[#This Row],[Valor general]]-Tabla1[[#This Row],[Valor general2]]-Tabla1[[#This Row],[INN]]</f>
        <v>#DIV/0!</v>
      </c>
      <c r="AB20" t="e">
        <f>IF(Tabla1[[#This Row],[Valor general de PC]]&lt; $AA$51, "Alto", IF(Tabla1[[#This Row],[Valor general de PC]]&lt; $AA$53, "Medio", "Bajo"))</f>
        <v>#DIV/0!</v>
      </c>
    </row>
    <row r="21" spans="1:28" hidden="1" x14ac:dyDescent="0.25">
      <c r="A21" s="2">
        <v>2024096731</v>
      </c>
      <c r="B21" s="2"/>
      <c r="C21" s="2"/>
      <c r="D21" s="2"/>
      <c r="E21" t="s">
        <v>44</v>
      </c>
      <c r="F21" t="s">
        <v>84</v>
      </c>
      <c r="G21" s="78"/>
      <c r="H21" s="78"/>
      <c r="L21" s="8">
        <f>Tabla1[[#This Row],[ERL]]+Tabla1[[#This Row],[IRL]]</f>
        <v>0</v>
      </c>
      <c r="N21" s="8" t="e">
        <f>Tabla1[[#This Row],[LoCode]]/Tabla1[[#This Row],[NoFunctions]]</f>
        <v>#DIV/0!</v>
      </c>
      <c r="P21" s="8" t="e">
        <f>SUM(Tabla1[[#This Row],[CC]:[IDC]]) - Tabla1[[#This Row],[IRC]]</f>
        <v>#DIV/0!</v>
      </c>
      <c r="Q21" t="e">
        <f t="shared" si="0"/>
        <v>#DIV/0!</v>
      </c>
      <c r="R21" s="8" t="e">
        <f>1 - ((Tabla1[[#This Row],[TPFM]]- $N$52) / ($N$51 - $N$52))</f>
        <v>#DIV/0!</v>
      </c>
      <c r="U21" s="8" t="e">
        <f>SUM(Tabla1[[#This Row],[IPTFM]:[Comentarios2]]) / 3</f>
        <v>#DIV/0!</v>
      </c>
      <c r="V21" s="8">
        <f>Tabla1[[#This Row],[CC]]/10</f>
        <v>0</v>
      </c>
      <c r="W21" s="8" t="e">
        <f xml:space="preserve"> (Tabla1[[#This Row],[ICLC]] + (1 - Tabla1[[#This Row],[ICC]])) / 2</f>
        <v>#DIV/0!</v>
      </c>
      <c r="X21" t="e">
        <f t="shared" si="1"/>
        <v>#DIV/0!</v>
      </c>
      <c r="Z21" s="16" t="str">
        <f t="shared" si="2"/>
        <v>Bajo</v>
      </c>
      <c r="AA21" s="8" t="e">
        <f>Tabla1[[#This Row],[Valor general]]-Tabla1[[#This Row],[Valor general2]]-Tabla1[[#This Row],[INN]]</f>
        <v>#DIV/0!</v>
      </c>
      <c r="AB21" t="e">
        <f>IF(Tabla1[[#This Row],[Valor general de PC]]&lt; $AA$51, "Alto", IF(Tabla1[[#This Row],[Valor general de PC]]&lt; $AA$53, "Medio", "Bajo"))</f>
        <v>#DIV/0!</v>
      </c>
    </row>
    <row r="22" spans="1:28" hidden="1" x14ac:dyDescent="0.25">
      <c r="A22" s="2">
        <v>2024099007</v>
      </c>
      <c r="B22" s="2"/>
      <c r="C22" s="2"/>
      <c r="D22" s="2"/>
      <c r="G22" s="78"/>
      <c r="H22" s="78"/>
      <c r="L22" s="8">
        <f>Tabla1[[#This Row],[ERL]]+Tabla1[[#This Row],[IRL]]</f>
        <v>0</v>
      </c>
      <c r="N22" s="8" t="e">
        <f>Tabla1[[#This Row],[LoCode]]/Tabla1[[#This Row],[NoFunctions]]</f>
        <v>#DIV/0!</v>
      </c>
      <c r="P22" s="8" t="e">
        <f>SUM(Tabla1[[#This Row],[CC]:[IDC]]) - Tabla1[[#This Row],[IRC]]</f>
        <v>#DIV/0!</v>
      </c>
      <c r="Q22" t="e">
        <f t="shared" si="0"/>
        <v>#DIV/0!</v>
      </c>
      <c r="R22" s="8" t="e">
        <f>1 - ((Tabla1[[#This Row],[TPFM]]- $N$52) / ($N$51 - $N$52))</f>
        <v>#DIV/0!</v>
      </c>
      <c r="U22" s="8" t="e">
        <f>SUM(Tabla1[[#This Row],[IPTFM]:[Comentarios2]]) / 3</f>
        <v>#DIV/0!</v>
      </c>
      <c r="V22" s="8">
        <f>Tabla1[[#This Row],[CC]]/10</f>
        <v>0</v>
      </c>
      <c r="W22" s="8" t="e">
        <f xml:space="preserve"> (Tabla1[[#This Row],[ICLC]] + (1 - Tabla1[[#This Row],[ICC]])) / 2</f>
        <v>#DIV/0!</v>
      </c>
      <c r="X22" t="e">
        <f t="shared" si="1"/>
        <v>#DIV/0!</v>
      </c>
      <c r="Z22" s="16" t="str">
        <f t="shared" si="2"/>
        <v>Bajo</v>
      </c>
      <c r="AA22" s="8" t="e">
        <f>Tabla1[[#This Row],[Valor general]]-Tabla1[[#This Row],[Valor general2]]-Tabla1[[#This Row],[INN]]</f>
        <v>#DIV/0!</v>
      </c>
      <c r="AB22" t="e">
        <f>IF(Tabla1[[#This Row],[Valor general de PC]]&lt; $AA$51, "Alto", IF(Tabla1[[#This Row],[Valor general de PC]]&lt; $AA$53, "Medio", "Bajo"))</f>
        <v>#DIV/0!</v>
      </c>
    </row>
    <row r="23" spans="1:28" hidden="1" x14ac:dyDescent="0.25">
      <c r="A23" s="2">
        <v>2024109692</v>
      </c>
      <c r="B23" s="2"/>
      <c r="C23" s="2"/>
      <c r="D23" s="2"/>
      <c r="G23" s="78"/>
      <c r="H23" s="78"/>
      <c r="L23" s="8">
        <f>Tabla1[[#This Row],[ERL]]+Tabla1[[#This Row],[IRL]]</f>
        <v>0</v>
      </c>
      <c r="N23" s="8" t="e">
        <f>Tabla1[[#This Row],[LoCode]]/Tabla1[[#This Row],[NoFunctions]]</f>
        <v>#DIV/0!</v>
      </c>
      <c r="P23" s="8" t="e">
        <f>SUM(Tabla1[[#This Row],[CC]:[IDC]]) - Tabla1[[#This Row],[IRC]]</f>
        <v>#DIV/0!</v>
      </c>
      <c r="Q23" t="e">
        <f t="shared" si="0"/>
        <v>#DIV/0!</v>
      </c>
      <c r="R23" s="8" t="e">
        <f>1 - ((Tabla1[[#This Row],[TPFM]]- $N$52) / ($N$51 - $N$52))</f>
        <v>#DIV/0!</v>
      </c>
      <c r="U23" s="8" t="e">
        <f>SUM(Tabla1[[#This Row],[IPTFM]:[Comentarios2]]) / 3</f>
        <v>#DIV/0!</v>
      </c>
      <c r="V23" s="8">
        <f>Tabla1[[#This Row],[CC]]/10</f>
        <v>0</v>
      </c>
      <c r="W23" s="8" t="e">
        <f xml:space="preserve"> (Tabla1[[#This Row],[ICLC]] + (1 - Tabla1[[#This Row],[ICC]])) / 2</f>
        <v>#DIV/0!</v>
      </c>
      <c r="X23" t="e">
        <f t="shared" si="1"/>
        <v>#DIV/0!</v>
      </c>
      <c r="Z23" s="16" t="str">
        <f t="shared" si="2"/>
        <v>Bajo</v>
      </c>
      <c r="AA23" s="8" t="e">
        <f>Tabla1[[#This Row],[Valor general]]-Tabla1[[#This Row],[Valor general2]]-Tabla1[[#This Row],[INN]]</f>
        <v>#DIV/0!</v>
      </c>
      <c r="AB23" t="e">
        <f>IF(Tabla1[[#This Row],[Valor general de PC]]&lt; $AA$51, "Alto", IF(Tabla1[[#This Row],[Valor general de PC]]&lt; $AA$53, "Medio", "Bajo"))</f>
        <v>#DIV/0!</v>
      </c>
    </row>
    <row r="24" spans="1:28" hidden="1" x14ac:dyDescent="0.25">
      <c r="A24" s="2">
        <v>2024112230</v>
      </c>
      <c r="B24" s="2"/>
      <c r="C24" s="2"/>
      <c r="D24" s="2"/>
      <c r="E24" t="s">
        <v>44</v>
      </c>
      <c r="F24" t="s">
        <v>84</v>
      </c>
      <c r="G24" s="78"/>
      <c r="H24" s="78"/>
      <c r="L24" s="8">
        <f>Tabla1[[#This Row],[ERL]]+Tabla1[[#This Row],[IRL]]</f>
        <v>0</v>
      </c>
      <c r="N24" s="8" t="e">
        <f>Tabla1[[#This Row],[LoCode]]/Tabla1[[#This Row],[NoFunctions]]</f>
        <v>#DIV/0!</v>
      </c>
      <c r="P24" s="8" t="e">
        <f>SUM(Tabla1[[#This Row],[CC]:[IDC]]) - Tabla1[[#This Row],[IRC]]</f>
        <v>#DIV/0!</v>
      </c>
      <c r="Q24" t="e">
        <f t="shared" si="0"/>
        <v>#DIV/0!</v>
      </c>
      <c r="R24" s="8" t="e">
        <f>1 - ((Tabla1[[#This Row],[TPFM]]- $N$52) / ($N$51 - $N$52))</f>
        <v>#DIV/0!</v>
      </c>
      <c r="U24" s="8" t="e">
        <f>SUM(Tabla1[[#This Row],[IPTFM]:[Comentarios2]]) / 3</f>
        <v>#DIV/0!</v>
      </c>
      <c r="V24" s="8">
        <f>Tabla1[[#This Row],[CC]]/10</f>
        <v>0</v>
      </c>
      <c r="W24" s="8" t="e">
        <f xml:space="preserve"> (Tabla1[[#This Row],[ICLC]] + (1 - Tabla1[[#This Row],[ICC]])) / 2</f>
        <v>#DIV/0!</v>
      </c>
      <c r="X24" t="e">
        <f t="shared" si="1"/>
        <v>#DIV/0!</v>
      </c>
      <c r="Z24" s="16" t="str">
        <f t="shared" si="2"/>
        <v>Bajo</v>
      </c>
      <c r="AA24" s="8" t="e">
        <f>Tabla1[[#This Row],[Valor general]]-Tabla1[[#This Row],[Valor general2]]-Tabla1[[#This Row],[INN]]</f>
        <v>#DIV/0!</v>
      </c>
      <c r="AB24" t="e">
        <f>IF(Tabla1[[#This Row],[Valor general de PC]]&lt; $AA$51, "Alto", IF(Tabla1[[#This Row],[Valor general de PC]]&lt; $AA$53, "Medio", "Bajo"))</f>
        <v>#DIV/0!</v>
      </c>
    </row>
    <row r="25" spans="1:28" ht="30" x14ac:dyDescent="0.25">
      <c r="A25" s="2">
        <v>2024114502</v>
      </c>
      <c r="B25" s="2"/>
      <c r="C25" s="2"/>
      <c r="D25" s="2"/>
      <c r="E25" t="s">
        <v>42</v>
      </c>
      <c r="F25" s="3" t="s">
        <v>86</v>
      </c>
      <c r="G25" s="78">
        <v>23</v>
      </c>
      <c r="H25" s="78">
        <v>9</v>
      </c>
      <c r="I25" s="8">
        <v>4</v>
      </c>
      <c r="J25" s="8">
        <v>0</v>
      </c>
      <c r="K25" s="8">
        <f>6/Tabla1[[#This Row],[LoCode]]</f>
        <v>0.2608695652173913</v>
      </c>
      <c r="L25" s="8">
        <f>Tabla1[[#This Row],[ERL]]+Tabla1[[#This Row],[IRL]]</f>
        <v>0.2608695652173913</v>
      </c>
      <c r="M25" s="8">
        <v>12</v>
      </c>
      <c r="N25" s="8">
        <f>Tabla1[[#This Row],[LoCode]]/Tabla1[[#This Row],[NoFunctions]]</f>
        <v>5.75</v>
      </c>
      <c r="O25" s="8">
        <v>0.28120000000000001</v>
      </c>
      <c r="P25" s="8">
        <f>SUM(Tabla1[[#This Row],[CC]:[IDC]]) - Tabla1[[#This Row],[IRC]]</f>
        <v>17.770330434782608</v>
      </c>
      <c r="Q25" t="str">
        <f t="shared" si="0"/>
        <v>Alto</v>
      </c>
      <c r="R25" s="8">
        <f>1 - ((Tabla1[[#This Row],[TPFM]]- $N$52) / ($N$51 - $N$52))</f>
        <v>0.98888888888888893</v>
      </c>
      <c r="S25" s="8">
        <v>0.03</v>
      </c>
      <c r="T25" s="8">
        <v>0</v>
      </c>
      <c r="U25" s="8">
        <f>SUM(Tabla1[[#This Row],[IPTFM]:[Comentarios2]]) / 3</f>
        <v>0.33962962962962967</v>
      </c>
      <c r="V25" s="8">
        <f>Tabla1[[#This Row],[CC]]/10</f>
        <v>1.2</v>
      </c>
      <c r="W25" s="8">
        <f xml:space="preserve"> (Tabla1[[#This Row],[ICLC]] + (1 - Tabla1[[#This Row],[ICC]])) / 2</f>
        <v>6.9814814814814857E-2</v>
      </c>
      <c r="X25" t="str">
        <f>IF(W25 &lt; $W$51, "Bajo", IF(W25 &lt; $W$53, "Medio", "Alto"))</f>
        <v>Bajo</v>
      </c>
      <c r="Y25" s="8">
        <v>0.88890000000000002</v>
      </c>
      <c r="Z25" s="8" t="str">
        <f t="shared" si="2"/>
        <v>Bajo</v>
      </c>
      <c r="AA25" s="8">
        <f>Tabla1[[#This Row],[Valor general]]-Tabla1[[#This Row],[Valor general2]]-Tabla1[[#This Row],[INN]]</f>
        <v>16.811615619967792</v>
      </c>
      <c r="AB25" t="str">
        <f>IF(Tabla1[[#This Row],[Valor general de PC]]&lt; $AA$51, "Alto", IF(Tabla1[[#This Row],[Valor general de PC]]&lt; $AA$53, "Medio", "Bajo"))</f>
        <v>Medio</v>
      </c>
    </row>
    <row r="26" spans="1:28" s="16" customFormat="1" hidden="1" x14ac:dyDescent="0.25">
      <c r="A26" s="50"/>
      <c r="B26"/>
      <c r="C26"/>
      <c r="D26"/>
      <c r="G26" s="77"/>
      <c r="H26" s="77"/>
      <c r="I26" s="17"/>
      <c r="J26" s="17"/>
      <c r="K26" s="17"/>
      <c r="L26" s="17"/>
      <c r="M26" s="17"/>
      <c r="N26" s="17"/>
      <c r="O26" s="17"/>
      <c r="P26" s="17"/>
      <c r="R26" s="17"/>
      <c r="S26" s="17"/>
      <c r="T26" s="17"/>
      <c r="U26" s="17"/>
      <c r="V26" s="17"/>
      <c r="W26" s="17"/>
      <c r="Y26" s="17"/>
      <c r="Z26" s="16" t="str">
        <f t="shared" si="2"/>
        <v>Bajo</v>
      </c>
      <c r="AA26" s="17"/>
    </row>
    <row r="27" spans="1:28" hidden="1" x14ac:dyDescent="0.25">
      <c r="A27" s="2">
        <v>2024136072</v>
      </c>
      <c r="B27" s="2"/>
      <c r="C27" s="2"/>
      <c r="D27" s="2"/>
      <c r="G27" s="78"/>
      <c r="H27" s="78"/>
      <c r="L27" s="8">
        <f>Tabla1[[#This Row],[ERL]]+Tabla1[[#This Row],[IRL]]</f>
        <v>0</v>
      </c>
      <c r="N27" s="8" t="e">
        <f>Tabla1[[#This Row],[LoCode]]/Tabla1[[#This Row],[NoFunctions]]</f>
        <v>#DIV/0!</v>
      </c>
      <c r="P27" s="8" t="e">
        <f>SUM(Tabla1[[#This Row],[CC]:[IDC]]) - Tabla1[[#This Row],[IRC]]</f>
        <v>#DIV/0!</v>
      </c>
      <c r="Q27" t="e">
        <f t="shared" ref="Q27:Q48" si="3">IF(P27 &lt; $G$51, "Alto", IF(P27 &lt; $G$53, "Medio", "Bajo"))</f>
        <v>#DIV/0!</v>
      </c>
      <c r="R27" s="8" t="e">
        <f>1 - ((Tabla1[[#This Row],[TPFM]]- $N$52) / ($N$51 - $N$52))</f>
        <v>#DIV/0!</v>
      </c>
      <c r="U27" s="8" t="e">
        <f>SUM(Tabla1[[#This Row],[IPTFM]:[Comentarios2]]) / 3</f>
        <v>#DIV/0!</v>
      </c>
      <c r="V27" s="8">
        <f>Tabla1[[#This Row],[CC]]/10</f>
        <v>0</v>
      </c>
      <c r="W27" s="8" t="e">
        <f xml:space="preserve"> (Tabla1[[#This Row],[ICLC]] + (1 - Tabla1[[#This Row],[ICC]])) / 2</f>
        <v>#DIV/0!</v>
      </c>
      <c r="X27" t="e">
        <f>IF(W27 &lt; $S$49, "Bajo", IF(W27 &lt; $S$51, "Medio", "Alto"))</f>
        <v>#DIV/0!</v>
      </c>
      <c r="Z27" s="16" t="str">
        <f t="shared" si="2"/>
        <v>Bajo</v>
      </c>
      <c r="AA27" s="8" t="e">
        <f>Tabla1[[#This Row],[Valor general]]-Tabla1[[#This Row],[Valor general2]]-Tabla1[[#This Row],[INN]]</f>
        <v>#DIV/0!</v>
      </c>
      <c r="AB27" t="e">
        <f>IF(Tabla1[[#This Row],[Valor general de PC]]&lt; $AA$51, "Alto", IF(Tabla1[[#This Row],[Valor general de PC]]&lt; $AA$53, "Medio", "Bajo"))</f>
        <v>#DIV/0!</v>
      </c>
    </row>
    <row r="28" spans="1:28" hidden="1" x14ac:dyDescent="0.25">
      <c r="A28" s="2">
        <v>2024138712</v>
      </c>
      <c r="B28" s="2"/>
      <c r="C28" s="2"/>
      <c r="D28" s="2"/>
      <c r="G28" s="78"/>
      <c r="H28" s="78"/>
      <c r="L28" s="8">
        <f>Tabla1[[#This Row],[ERL]]+Tabla1[[#This Row],[IRL]]</f>
        <v>0</v>
      </c>
      <c r="N28" s="8" t="e">
        <f>Tabla1[[#This Row],[LoCode]]/Tabla1[[#This Row],[NoFunctions]]</f>
        <v>#DIV/0!</v>
      </c>
      <c r="P28" s="8" t="e">
        <f>SUM(Tabla1[[#This Row],[CC]:[IDC]]) - Tabla1[[#This Row],[IRC]]</f>
        <v>#DIV/0!</v>
      </c>
      <c r="Q28" t="e">
        <f t="shared" si="3"/>
        <v>#DIV/0!</v>
      </c>
      <c r="R28" s="8" t="e">
        <f>1 - ((Tabla1[[#This Row],[TPFM]]- $N$52) / ($N$51 - $N$52))</f>
        <v>#DIV/0!</v>
      </c>
      <c r="U28" s="8" t="e">
        <f>SUM(Tabla1[[#This Row],[IPTFM]:[Comentarios2]]) / 3</f>
        <v>#DIV/0!</v>
      </c>
      <c r="V28" s="8">
        <f>Tabla1[[#This Row],[CC]]/10</f>
        <v>0</v>
      </c>
      <c r="W28" s="8" t="e">
        <f xml:space="preserve"> (Tabla1[[#This Row],[ICLC]] + (1 - Tabla1[[#This Row],[ICC]])) / 2</f>
        <v>#DIV/0!</v>
      </c>
      <c r="X28" t="e">
        <f>IF(W28 &lt; $S$49, "Bajo", IF(W28 &lt; $S$51, "Medio", "Alto"))</f>
        <v>#DIV/0!</v>
      </c>
      <c r="Z28" s="16" t="str">
        <f t="shared" si="2"/>
        <v>Bajo</v>
      </c>
      <c r="AA28" s="8" t="e">
        <f>Tabla1[[#This Row],[Valor general]]-Tabla1[[#This Row],[Valor general2]]-Tabla1[[#This Row],[INN]]</f>
        <v>#DIV/0!</v>
      </c>
      <c r="AB28" t="e">
        <f>IF(Tabla1[[#This Row],[Valor general de PC]]&lt; $AA$51, "Alto", IF(Tabla1[[#This Row],[Valor general de PC]]&lt; $AA$53, "Medio", "Bajo"))</f>
        <v>#DIV/0!</v>
      </c>
    </row>
    <row r="29" spans="1:28" x14ac:dyDescent="0.25">
      <c r="A29" s="2">
        <v>2024140841</v>
      </c>
      <c r="B29" s="2"/>
      <c r="C29" s="2"/>
      <c r="D29" s="2"/>
      <c r="E29" t="s">
        <v>42</v>
      </c>
      <c r="F29" s="3" t="s">
        <v>87</v>
      </c>
      <c r="G29" s="78">
        <v>25</v>
      </c>
      <c r="H29" s="78">
        <v>13</v>
      </c>
      <c r="I29" s="8">
        <v>2</v>
      </c>
      <c r="J29" s="8">
        <v>0</v>
      </c>
      <c r="K29" s="8">
        <f>9/Tabla1[[#This Row],[LoCode]]</f>
        <v>0.36</v>
      </c>
      <c r="L29" s="8">
        <f>Tabla1[[#This Row],[ERL]]+Tabla1[[#This Row],[IRL]]</f>
        <v>0.36</v>
      </c>
      <c r="M29" s="8">
        <v>8</v>
      </c>
      <c r="N29" s="8">
        <f>Tabla1[[#This Row],[LoCode]]/Tabla1[[#This Row],[NoFunctions]]</f>
        <v>12.5</v>
      </c>
      <c r="O29" s="8">
        <v>0.72</v>
      </c>
      <c r="P29" s="8">
        <f>SUM(Tabla1[[#This Row],[CC]:[IDC]]) - Tabla1[[#This Row],[IRC]]</f>
        <v>20.86</v>
      </c>
      <c r="Q29" t="str">
        <f t="shared" si="3"/>
        <v>Medio</v>
      </c>
      <c r="R29" s="8">
        <f>1 - ((Tabla1[[#This Row],[TPFM]]- $N$52) / ($N$51 - $N$52))</f>
        <v>0.68888888888888888</v>
      </c>
      <c r="S29" s="8">
        <v>0.06</v>
      </c>
      <c r="T29" s="8">
        <v>0.112903225806451</v>
      </c>
      <c r="U29" s="8">
        <f>SUM(Tabla1[[#This Row],[IPTFM]:[Comentarios2]]) / 3</f>
        <v>0.28726403823177998</v>
      </c>
      <c r="V29" s="8">
        <f>Tabla1[[#This Row],[CC]]/10</f>
        <v>0.8</v>
      </c>
      <c r="W29" s="8">
        <f xml:space="preserve"> (Tabla1[[#This Row],[ICLC]] + (1 - Tabla1[[#This Row],[ICC]])) / 2</f>
        <v>0.24363201911588997</v>
      </c>
      <c r="X29" t="str">
        <f>IF(W29 &lt; $W$51, "Bajo", IF(W29 &lt; $W$53, "Medio", "Alto"))</f>
        <v>Medio</v>
      </c>
      <c r="Y29" s="8">
        <v>0.85709999999999997</v>
      </c>
      <c r="Z29" s="8" t="str">
        <f>IF(Y29 &lt; $Y$51, "Bajo", IF(Y29 &gt;= $Y$53, "Alto", "Medio"))</f>
        <v>Bajo</v>
      </c>
      <c r="AA29" s="8">
        <f>Tabla1[[#This Row],[Valor general]]-Tabla1[[#This Row],[Valor general2]]-Tabla1[[#This Row],[INN]]</f>
        <v>19.759267980884111</v>
      </c>
      <c r="AB29" t="str">
        <f>IF(Tabla1[[#This Row],[Valor general de PC]]&lt; $AA$51, "Alto", IF(Tabla1[[#This Row],[Valor general de PC]]&lt; $AA$53, "Medio", "Bajo"))</f>
        <v>Medio</v>
      </c>
    </row>
    <row r="30" spans="1:28" ht="30" x14ac:dyDescent="0.25">
      <c r="A30" s="2">
        <v>2024145117</v>
      </c>
      <c r="B30" s="2"/>
      <c r="C30" s="2"/>
      <c r="D30" s="2"/>
      <c r="E30" t="s">
        <v>46</v>
      </c>
      <c r="F30" s="3" t="s">
        <v>88</v>
      </c>
      <c r="G30" s="78">
        <v>25</v>
      </c>
      <c r="H30" s="78">
        <v>0</v>
      </c>
      <c r="I30" s="8">
        <v>1</v>
      </c>
      <c r="J30" s="8">
        <v>0</v>
      </c>
      <c r="K30" s="8">
        <v>0</v>
      </c>
      <c r="L30" s="8">
        <f>Tabla1[[#This Row],[ERL]]+Tabla1[[#This Row],[IRL]]</f>
        <v>0</v>
      </c>
      <c r="M30" s="8">
        <v>5</v>
      </c>
      <c r="N30" s="8">
        <f>Tabla1[[#This Row],[LoCode]]/Tabla1[[#This Row],[NoFunctions]]</f>
        <v>25</v>
      </c>
      <c r="O30" s="8">
        <v>0.4</v>
      </c>
      <c r="P30" s="8">
        <f>SUM(Tabla1[[#This Row],[CC]:[IDC]]) - Tabla1[[#This Row],[IRC]]</f>
        <v>30.4</v>
      </c>
      <c r="Q30" t="str">
        <f t="shared" si="3"/>
        <v>Bajo</v>
      </c>
      <c r="R30" s="8">
        <f>1 - ((Tabla1[[#This Row],[TPFM]]- $N$52) / ($N$51 - $N$52))</f>
        <v>0.1333333333333333</v>
      </c>
      <c r="S30" s="8">
        <v>0.03</v>
      </c>
      <c r="T30" s="8">
        <v>0</v>
      </c>
      <c r="U30" s="8">
        <f>SUM(Tabla1[[#This Row],[IPTFM]:[Comentarios2]]) / 3</f>
        <v>5.4444444444444434E-2</v>
      </c>
      <c r="V30" s="8">
        <f>Tabla1[[#This Row],[CC]]/10</f>
        <v>0.5</v>
      </c>
      <c r="W30" s="8">
        <f xml:space="preserve"> (Tabla1[[#This Row],[ICLC]] + (1 - Tabla1[[#This Row],[ICC]])) / 2</f>
        <v>0.2772222222222222</v>
      </c>
      <c r="X30" t="str">
        <f>IF(W30 &lt; $W$51, "Bajo", IF(W30 &lt; $W$53, "Medio", "Alto"))</f>
        <v>Medio</v>
      </c>
      <c r="Y30" s="8">
        <v>1</v>
      </c>
      <c r="Z30" s="8" t="str">
        <f t="shared" si="2"/>
        <v>Alto</v>
      </c>
      <c r="AA30" s="8">
        <f>Tabla1[[#This Row],[Valor general]]-Tabla1[[#This Row],[Valor general2]]-Tabla1[[#This Row],[INN]]</f>
        <v>29.122777777777777</v>
      </c>
      <c r="AB30" t="str">
        <f>IF(Tabla1[[#This Row],[Valor general de PC]]&lt; $AA$51, "Alto", IF(Tabla1[[#This Row],[Valor general de PC]]&lt; $AA$53, "Medio", "Bajo"))</f>
        <v>Bajo</v>
      </c>
    </row>
    <row r="31" spans="1:28" hidden="1" x14ac:dyDescent="0.25">
      <c r="A31" s="2">
        <v>2024145153</v>
      </c>
      <c r="B31" s="2"/>
      <c r="C31" s="2"/>
      <c r="D31" s="2"/>
      <c r="G31" s="78"/>
      <c r="H31" s="78"/>
      <c r="L31" s="8">
        <f>Tabla1[[#This Row],[ERL]]+Tabla1[[#This Row],[IRL]]</f>
        <v>0</v>
      </c>
      <c r="N31" s="8" t="e">
        <f>Tabla1[[#This Row],[LoCode]]/Tabla1[[#This Row],[NoFunctions]]</f>
        <v>#DIV/0!</v>
      </c>
      <c r="P31" s="8" t="e">
        <f>SUM(Tabla1[[#This Row],[CC]:[IDC]]) - Tabla1[[#This Row],[IRC]]</f>
        <v>#DIV/0!</v>
      </c>
      <c r="Q31" t="e">
        <f t="shared" si="3"/>
        <v>#DIV/0!</v>
      </c>
      <c r="R31" s="8" t="e">
        <f>1 - ((Tabla1[[#This Row],[TPFM]]- $N$52) / ($N$51 - $N$52))</f>
        <v>#DIV/0!</v>
      </c>
      <c r="U31" s="8" t="e">
        <f>SUM(Tabla1[[#This Row],[IPTFM]:[Comentarios2]]) / 3</f>
        <v>#DIV/0!</v>
      </c>
      <c r="V31" s="8">
        <f>Tabla1[[#This Row],[CC]]/10</f>
        <v>0</v>
      </c>
      <c r="W31" s="8" t="e">
        <f xml:space="preserve"> (Tabla1[[#This Row],[ICLC]] + (1 - Tabla1[[#This Row],[ICC]])) / 2</f>
        <v>#DIV/0!</v>
      </c>
      <c r="X31" t="e">
        <f>IF(W31 &lt; $S$49, "Bajo", IF(W31 &lt; $S$51, "Medio", "Alto"))</f>
        <v>#DIV/0!</v>
      </c>
      <c r="Z31" s="16" t="str">
        <f t="shared" si="2"/>
        <v>Bajo</v>
      </c>
      <c r="AA31" s="8" t="e">
        <f>Tabla1[[#This Row],[Valor general]]-Tabla1[[#This Row],[Valor general2]]-Tabla1[[#This Row],[INN]]</f>
        <v>#DIV/0!</v>
      </c>
      <c r="AB31" t="e">
        <f>IF(Tabla1[[#This Row],[Valor general de PC]]&lt; $AA$51, "Alto", IF(Tabla1[[#This Row],[Valor general de PC]]&lt; $AA$53, "Medio", "Bajo"))</f>
        <v>#DIV/0!</v>
      </c>
    </row>
    <row r="32" spans="1:28" x14ac:dyDescent="0.25">
      <c r="A32" s="2">
        <v>2024163735</v>
      </c>
      <c r="B32" s="2"/>
      <c r="C32" s="2"/>
      <c r="D32" s="2"/>
      <c r="E32" t="s">
        <v>44</v>
      </c>
      <c r="F32" t="s">
        <v>45</v>
      </c>
      <c r="G32" s="78">
        <v>30</v>
      </c>
      <c r="H32" s="78">
        <v>6</v>
      </c>
      <c r="I32" s="8">
        <v>2</v>
      </c>
      <c r="J32" s="8">
        <v>0</v>
      </c>
      <c r="K32" s="8">
        <v>0</v>
      </c>
      <c r="L32" s="8">
        <f>Tabla1[[#This Row],[ERL]]+Tabla1[[#This Row],[IRL]]</f>
        <v>0</v>
      </c>
      <c r="M32" s="8">
        <v>8</v>
      </c>
      <c r="N32" s="8">
        <f>Tabla1[[#This Row],[LoCode]]/Tabla1[[#This Row],[NoFunctions]]</f>
        <v>15</v>
      </c>
      <c r="O32" s="8">
        <v>0.23530000000000001</v>
      </c>
      <c r="P32" s="8">
        <f>SUM(Tabla1[[#This Row],[CC]:[IDC]]) - Tabla1[[#This Row],[IRC]]</f>
        <v>23.235299999999999</v>
      </c>
      <c r="Q32" t="str">
        <f t="shared" si="3"/>
        <v>Medio</v>
      </c>
      <c r="R32" s="8">
        <f>1 - ((Tabla1[[#This Row],[TPFM]]- $N$52) / ($N$51 - $N$52))</f>
        <v>0.57777777777777772</v>
      </c>
      <c r="S32" s="8">
        <v>0.06</v>
      </c>
      <c r="T32" s="8">
        <v>0.194444444444444</v>
      </c>
      <c r="U32" s="8">
        <f>SUM(Tabla1[[#This Row],[IPTFM]:[Comentarios2]]) / 3</f>
        <v>0.27740740740740727</v>
      </c>
      <c r="V32" s="8">
        <f>Tabla1[[#This Row],[CC]]/10</f>
        <v>0.8</v>
      </c>
      <c r="W32" s="8">
        <f xml:space="preserve"> (Tabla1[[#This Row],[ICLC]] + (1 - Tabla1[[#This Row],[ICC]])) / 2</f>
        <v>0.23870370370370361</v>
      </c>
      <c r="X32" t="str">
        <f>IF(W32 &lt; $W$51, "Bajo", IF(W32 &lt; $W$53, "Medio", "Alto"))</f>
        <v>Medio</v>
      </c>
      <c r="Y32" s="8">
        <v>1</v>
      </c>
      <c r="Z32" s="8" t="str">
        <f t="shared" si="2"/>
        <v>Alto</v>
      </c>
      <c r="AA32" s="8">
        <f>Tabla1[[#This Row],[Valor general]]-Tabla1[[#This Row],[Valor general2]]-Tabla1[[#This Row],[INN]]</f>
        <v>21.996596296296296</v>
      </c>
      <c r="AB32" t="str">
        <f>IF(Tabla1[[#This Row],[Valor general de PC]]&lt; $AA$51, "Alto", IF(Tabla1[[#This Row],[Valor general de PC]]&lt; $AA$53, "Medio", "Bajo"))</f>
        <v>Medio</v>
      </c>
    </row>
    <row r="33" spans="1:28" hidden="1" x14ac:dyDescent="0.25">
      <c r="A33" s="2">
        <v>2024178193</v>
      </c>
      <c r="B33" s="2"/>
      <c r="C33" s="2"/>
      <c r="D33" s="2"/>
      <c r="G33" s="78"/>
      <c r="H33" s="78"/>
      <c r="L33" s="8">
        <f>Tabla1[[#This Row],[ERL]]+Tabla1[[#This Row],[IRL]]</f>
        <v>0</v>
      </c>
      <c r="N33" s="8" t="e">
        <f>Tabla1[[#This Row],[LoCode]]/Tabla1[[#This Row],[NoFunctions]]</f>
        <v>#DIV/0!</v>
      </c>
      <c r="P33" s="8" t="e">
        <f>SUM(Tabla1[[#This Row],[CC]:[IDC]]) - Tabla1[[#This Row],[IRC]]</f>
        <v>#DIV/0!</v>
      </c>
      <c r="Q33" t="e">
        <f t="shared" si="3"/>
        <v>#DIV/0!</v>
      </c>
      <c r="R33" s="8" t="e">
        <f>1 - ((Tabla1[[#This Row],[TPFM]]- $N$52) / ($N$51 - $N$52))</f>
        <v>#DIV/0!</v>
      </c>
      <c r="U33" s="8" t="e">
        <f>SUM(Tabla1[[#This Row],[IPTFM]:[Comentarios2]]) / 3</f>
        <v>#DIV/0!</v>
      </c>
      <c r="V33" s="8">
        <f>Tabla1[[#This Row],[CC]]/10</f>
        <v>0</v>
      </c>
      <c r="W33" s="8" t="e">
        <f xml:space="preserve"> (Tabla1[[#This Row],[ICLC]] + (1 - Tabla1[[#This Row],[ICC]])) / 2</f>
        <v>#DIV/0!</v>
      </c>
      <c r="X33" t="e">
        <f>IF(W33 &lt; $S$49, "Bajo", IF(W33 &lt; $S$51, "Medio", "Alto"))</f>
        <v>#DIV/0!</v>
      </c>
      <c r="Z33" s="16" t="str">
        <f t="shared" si="2"/>
        <v>Bajo</v>
      </c>
      <c r="AA33" s="8" t="e">
        <f>Tabla1[[#This Row],[Valor general]]-Tabla1[[#This Row],[Valor general2]]-Tabla1[[#This Row],[INN]]</f>
        <v>#DIV/0!</v>
      </c>
      <c r="AB33" t="e">
        <f>IF(Tabla1[[#This Row],[Valor general de PC]]&lt; $AA$51, "Alto", IF(Tabla1[[#This Row],[Valor general de PC]]&lt; $AA$53, "Medio", "Bajo"))</f>
        <v>#DIV/0!</v>
      </c>
    </row>
    <row r="34" spans="1:28" hidden="1" x14ac:dyDescent="0.25">
      <c r="A34" s="2">
        <v>2024178653</v>
      </c>
      <c r="B34" s="2"/>
      <c r="C34" s="2"/>
      <c r="D34" s="2"/>
      <c r="E34" t="s">
        <v>44</v>
      </c>
      <c r="F34" t="s">
        <v>84</v>
      </c>
      <c r="G34" s="78"/>
      <c r="H34" s="78"/>
      <c r="L34" s="8">
        <f>Tabla1[[#This Row],[ERL]]+Tabla1[[#This Row],[IRL]]</f>
        <v>0</v>
      </c>
      <c r="N34" s="8" t="e">
        <f>Tabla1[[#This Row],[LoCode]]/Tabla1[[#This Row],[NoFunctions]]</f>
        <v>#DIV/0!</v>
      </c>
      <c r="P34" s="8" t="e">
        <f>SUM(Tabla1[[#This Row],[CC]:[IDC]]) - Tabla1[[#This Row],[IRC]]</f>
        <v>#DIV/0!</v>
      </c>
      <c r="Q34" t="e">
        <f t="shared" si="3"/>
        <v>#DIV/0!</v>
      </c>
      <c r="R34" s="8" t="e">
        <f>1 - ((Tabla1[[#This Row],[TPFM]]- $N$52) / ($N$51 - $N$52))</f>
        <v>#DIV/0!</v>
      </c>
      <c r="U34" s="8" t="e">
        <f>SUM(Tabla1[[#This Row],[IPTFM]:[Comentarios2]]) / 3</f>
        <v>#DIV/0!</v>
      </c>
      <c r="V34" s="8">
        <f>Tabla1[[#This Row],[CC]]/10</f>
        <v>0</v>
      </c>
      <c r="W34" s="8" t="e">
        <f xml:space="preserve"> (Tabla1[[#This Row],[ICLC]] + (1 - Tabla1[[#This Row],[ICC]])) / 2</f>
        <v>#DIV/0!</v>
      </c>
      <c r="X34" t="e">
        <f>IF(W34 &lt; $S$49, "Bajo", IF(W34 &lt; $S$51, "Medio", "Alto"))</f>
        <v>#DIV/0!</v>
      </c>
      <c r="Z34" s="16" t="str">
        <f t="shared" si="2"/>
        <v>Bajo</v>
      </c>
      <c r="AA34" s="8" t="e">
        <f>Tabla1[[#This Row],[Valor general]]-Tabla1[[#This Row],[Valor general2]]-Tabla1[[#This Row],[INN]]</f>
        <v>#DIV/0!</v>
      </c>
      <c r="AB34" t="e">
        <f>IF(Tabla1[[#This Row],[Valor general de PC]]&lt; $AA$51, "Alto", IF(Tabla1[[#This Row],[Valor general de PC]]&lt; $AA$53, "Medio", "Bajo"))</f>
        <v>#DIV/0!</v>
      </c>
    </row>
    <row r="35" spans="1:28" hidden="1" x14ac:dyDescent="0.25">
      <c r="A35" s="2">
        <v>2024192981</v>
      </c>
      <c r="B35" s="2"/>
      <c r="C35" s="2"/>
      <c r="D35" s="2"/>
      <c r="G35" s="78"/>
      <c r="H35" s="78"/>
      <c r="L35" s="8">
        <f>Tabla1[[#This Row],[ERL]]+Tabla1[[#This Row],[IRL]]</f>
        <v>0</v>
      </c>
      <c r="N35" s="8" t="e">
        <f>Tabla1[[#This Row],[LoCode]]/Tabla1[[#This Row],[NoFunctions]]</f>
        <v>#DIV/0!</v>
      </c>
      <c r="P35" s="8" t="e">
        <f>SUM(Tabla1[[#This Row],[CC]:[IDC]]) - Tabla1[[#This Row],[IRC]]</f>
        <v>#DIV/0!</v>
      </c>
      <c r="Q35" t="e">
        <f t="shared" si="3"/>
        <v>#DIV/0!</v>
      </c>
      <c r="R35" s="8" t="e">
        <f>1 - ((Tabla1[[#This Row],[TPFM]]- $N$52) / ($N$51 - $N$52))</f>
        <v>#DIV/0!</v>
      </c>
      <c r="U35" s="8" t="e">
        <f>SUM(Tabla1[[#This Row],[IPTFM]:[Comentarios2]]) / 3</f>
        <v>#DIV/0!</v>
      </c>
      <c r="V35" s="8">
        <f>Tabla1[[#This Row],[CC]]/10</f>
        <v>0</v>
      </c>
      <c r="W35" s="8" t="e">
        <f xml:space="preserve"> (Tabla1[[#This Row],[ICLC]] + (1 - Tabla1[[#This Row],[ICC]])) / 2</f>
        <v>#DIV/0!</v>
      </c>
      <c r="X35" t="e">
        <f>IF(W35 &lt; $S$49, "Bajo", IF(W35 &lt; $S$51, "Medio", "Alto"))</f>
        <v>#DIV/0!</v>
      </c>
      <c r="Z35" s="16" t="str">
        <f t="shared" si="2"/>
        <v>Bajo</v>
      </c>
      <c r="AA35" s="8" t="e">
        <f>Tabla1[[#This Row],[Valor general]]-Tabla1[[#This Row],[Valor general2]]-Tabla1[[#This Row],[INN]]</f>
        <v>#DIV/0!</v>
      </c>
      <c r="AB35" t="e">
        <f>IF(Tabla1[[#This Row],[Valor general de PC]]&lt; $AA$51, "Alto", IF(Tabla1[[#This Row],[Valor general de PC]]&lt; $AA$53, "Medio", "Bajo"))</f>
        <v>#DIV/0!</v>
      </c>
    </row>
    <row r="36" spans="1:28" hidden="1" x14ac:dyDescent="0.25">
      <c r="A36" s="2">
        <v>2024201088</v>
      </c>
      <c r="B36" s="2"/>
      <c r="C36" s="2"/>
      <c r="D36" s="2"/>
      <c r="E36" t="s">
        <v>44</v>
      </c>
      <c r="F36" t="s">
        <v>84</v>
      </c>
      <c r="G36" s="78"/>
      <c r="H36" s="78"/>
      <c r="L36" s="8">
        <f>Tabla1[[#This Row],[ERL]]+Tabla1[[#This Row],[IRL]]</f>
        <v>0</v>
      </c>
      <c r="N36" s="8" t="e">
        <f>Tabla1[[#This Row],[LoCode]]/Tabla1[[#This Row],[NoFunctions]]</f>
        <v>#DIV/0!</v>
      </c>
      <c r="P36" s="8" t="e">
        <f>SUM(Tabla1[[#This Row],[CC]:[IDC]]) - Tabla1[[#This Row],[IRC]]</f>
        <v>#DIV/0!</v>
      </c>
      <c r="Q36" t="e">
        <f t="shared" si="3"/>
        <v>#DIV/0!</v>
      </c>
      <c r="R36" s="8" t="e">
        <f>1 - ((Tabla1[[#This Row],[TPFM]]- $N$52) / ($N$51 - $N$52))</f>
        <v>#DIV/0!</v>
      </c>
      <c r="U36" s="8" t="e">
        <f>SUM(Tabla1[[#This Row],[IPTFM]:[Comentarios2]]) / 3</f>
        <v>#DIV/0!</v>
      </c>
      <c r="V36" s="8">
        <f>Tabla1[[#This Row],[CC]]/10</f>
        <v>0</v>
      </c>
      <c r="W36" s="8" t="e">
        <f xml:space="preserve"> (Tabla1[[#This Row],[ICLC]] + (1 - Tabla1[[#This Row],[ICC]])) / 2</f>
        <v>#DIV/0!</v>
      </c>
      <c r="X36" t="e">
        <f>IF(W36 &lt; $S$49, "Bajo", IF(W36 &lt; $S$51, "Medio", "Alto"))</f>
        <v>#DIV/0!</v>
      </c>
      <c r="Z36" s="16" t="str">
        <f t="shared" si="2"/>
        <v>Bajo</v>
      </c>
      <c r="AA36" s="8" t="e">
        <f>Tabla1[[#This Row],[Valor general]]-Tabla1[[#This Row],[Valor general2]]-Tabla1[[#This Row],[INN]]</f>
        <v>#DIV/0!</v>
      </c>
      <c r="AB36" t="e">
        <f>IF(Tabla1[[#This Row],[Valor general de PC]]&lt; $AA$51, "Alto", IF(Tabla1[[#This Row],[Valor general de PC]]&lt; $AA$53, "Medio", "Bajo"))</f>
        <v>#DIV/0!</v>
      </c>
    </row>
    <row r="37" spans="1:28" hidden="1" x14ac:dyDescent="0.25">
      <c r="A37" s="2">
        <v>2024202804</v>
      </c>
      <c r="B37" s="2"/>
      <c r="C37" s="2"/>
      <c r="D37" s="2"/>
      <c r="G37" s="78"/>
      <c r="H37" s="78"/>
      <c r="L37" s="8">
        <f>Tabla1[[#This Row],[ERL]]+Tabla1[[#This Row],[IRL]]</f>
        <v>0</v>
      </c>
      <c r="N37" s="8" t="e">
        <f>Tabla1[[#This Row],[LoCode]]/Tabla1[[#This Row],[NoFunctions]]</f>
        <v>#DIV/0!</v>
      </c>
      <c r="P37" s="8" t="e">
        <f>SUM(Tabla1[[#This Row],[CC]:[IDC]]) - Tabla1[[#This Row],[IRC]]</f>
        <v>#DIV/0!</v>
      </c>
      <c r="Q37" t="e">
        <f t="shared" si="3"/>
        <v>#DIV/0!</v>
      </c>
      <c r="R37" s="8" t="e">
        <f>1 - ((Tabla1[[#This Row],[TPFM]]- $N$52) / ($N$51 - $N$52))</f>
        <v>#DIV/0!</v>
      </c>
      <c r="U37" s="8" t="e">
        <f>SUM(Tabla1[[#This Row],[IPTFM]:[Comentarios2]]) / 3</f>
        <v>#DIV/0!</v>
      </c>
      <c r="V37" s="8">
        <f>Tabla1[[#This Row],[CC]]/10</f>
        <v>0</v>
      </c>
      <c r="W37" s="8" t="e">
        <f xml:space="preserve"> (Tabla1[[#This Row],[ICLC]] + (1 - Tabla1[[#This Row],[ICC]])) / 2</f>
        <v>#DIV/0!</v>
      </c>
      <c r="X37" t="e">
        <f>IF(W37 &lt; $S$49, "Bajo", IF(W37 &lt; $S$51, "Medio", "Alto"))</f>
        <v>#DIV/0!</v>
      </c>
      <c r="Z37" s="16" t="str">
        <f t="shared" si="2"/>
        <v>Bajo</v>
      </c>
      <c r="AA37" s="8" t="e">
        <f>Tabla1[[#This Row],[Valor general]]-Tabla1[[#This Row],[Valor general2]]-Tabla1[[#This Row],[INN]]</f>
        <v>#DIV/0!</v>
      </c>
      <c r="AB37" t="e">
        <f>IF(Tabla1[[#This Row],[Valor general de PC]]&lt; $AA$51, "Alto", IF(Tabla1[[#This Row],[Valor general de PC]]&lt; $AA$53, "Medio", "Bajo"))</f>
        <v>#DIV/0!</v>
      </c>
    </row>
    <row r="38" spans="1:28" ht="30" x14ac:dyDescent="0.25">
      <c r="A38" s="2">
        <v>2024252331</v>
      </c>
      <c r="B38" s="2"/>
      <c r="C38" s="2"/>
      <c r="D38" s="2"/>
      <c r="E38" t="s">
        <v>44</v>
      </c>
      <c r="F38" s="3" t="s">
        <v>89</v>
      </c>
      <c r="G38" s="78">
        <v>28</v>
      </c>
      <c r="H38" s="78">
        <v>2</v>
      </c>
      <c r="I38" s="8">
        <v>1</v>
      </c>
      <c r="J38" s="8">
        <v>0</v>
      </c>
      <c r="K38" s="8">
        <f>4/Tabla1[[#This Row],[LoCode]]</f>
        <v>0.14285714285714285</v>
      </c>
      <c r="L38" s="8">
        <f>Tabla1[[#This Row],[ERL]]+Tabla1[[#This Row],[IRL]]</f>
        <v>0.14285714285714285</v>
      </c>
      <c r="M38" s="8">
        <v>9</v>
      </c>
      <c r="N38" s="8">
        <f>Tabla1[[#This Row],[LoCode]]/Tabla1[[#This Row],[NoFunctions]]</f>
        <v>28</v>
      </c>
      <c r="O38" s="8">
        <v>0.39290000000000003</v>
      </c>
      <c r="P38" s="8">
        <f>SUM(Tabla1[[#This Row],[CC]:[IDC]]) - Tabla1[[#This Row],[IRC]]</f>
        <v>37.250042857142851</v>
      </c>
      <c r="Q38" t="str">
        <f t="shared" si="3"/>
        <v>Bajo</v>
      </c>
      <c r="R38" s="8">
        <f>1 - ((Tabla1[[#This Row],[TPFM]]- $N$52) / ($N$51 - $N$52))</f>
        <v>0</v>
      </c>
      <c r="S38" s="8">
        <v>0.05</v>
      </c>
      <c r="T38" s="8">
        <v>0.03</v>
      </c>
      <c r="U38" s="8">
        <f>SUM(Tabla1[[#This Row],[IPTFM]:[Comentarios2]]) / 3</f>
        <v>2.6666666666666668E-2</v>
      </c>
      <c r="V38" s="8">
        <f>Tabla1[[#This Row],[CC]]/10</f>
        <v>0.9</v>
      </c>
      <c r="W38" s="8">
        <f xml:space="preserve"> (Tabla1[[#This Row],[ICLC]] + (1 - Tabla1[[#This Row],[ICC]])) / 2</f>
        <v>6.3333333333333325E-2</v>
      </c>
      <c r="X38" t="str">
        <f>IF(W38 &lt; $W$51, "Bajo", IF(W38 &lt; $W$53, "Medio", "Alto"))</f>
        <v>Bajo</v>
      </c>
      <c r="Y38" s="8">
        <v>0.88890000000000002</v>
      </c>
      <c r="Z38" s="8" t="str">
        <f>IF(Y38 &lt; $Y$51, "Bajo", IF(Y38 &gt;= $Y$53, "Alto", "Medio"))</f>
        <v>Bajo</v>
      </c>
      <c r="AA38" s="8">
        <f>Tabla1[[#This Row],[Valor general]]-Tabla1[[#This Row],[Valor general2]]-Tabla1[[#This Row],[INN]]</f>
        <v>36.297809523809519</v>
      </c>
      <c r="AB38" t="str">
        <f>IF(Tabla1[[#This Row],[Valor general de PC]]&lt; $AA$51, "Alto", IF(Tabla1[[#This Row],[Valor general de PC]]&lt; $AA$53, "Medio", "Bajo"))</f>
        <v>Bajo</v>
      </c>
    </row>
    <row r="39" spans="1:28" x14ac:dyDescent="0.25">
      <c r="A39" s="2">
        <v>2024253395</v>
      </c>
      <c r="B39" s="2"/>
      <c r="C39" s="2"/>
      <c r="D39" s="2"/>
      <c r="E39" t="s">
        <v>44</v>
      </c>
      <c r="F39" t="s">
        <v>45</v>
      </c>
      <c r="G39" s="78">
        <v>18</v>
      </c>
      <c r="H39" s="78">
        <v>2</v>
      </c>
      <c r="I39" s="8">
        <v>1</v>
      </c>
      <c r="J39" s="8">
        <v>0</v>
      </c>
      <c r="K39" s="8">
        <f>2/Tabla1[[#This Row],[LoCode]]</f>
        <v>0.1111111111111111</v>
      </c>
      <c r="L39" s="8">
        <f>Tabla1[[#This Row],[ERL]]+Tabla1[[#This Row],[IRL]]</f>
        <v>0.1111111111111111</v>
      </c>
      <c r="M39" s="8">
        <v>1</v>
      </c>
      <c r="N39" s="8">
        <f>Tabla1[[#This Row],[LoCode]]/Tabla1[[#This Row],[NoFunctions]]</f>
        <v>18</v>
      </c>
      <c r="O39" s="8">
        <v>0.61109999999999998</v>
      </c>
      <c r="P39" s="8">
        <f>SUM(Tabla1[[#This Row],[CC]:[IDC]]) - Tabla1[[#This Row],[IRC]]</f>
        <v>19.49998888888889</v>
      </c>
      <c r="Q39" t="str">
        <f t="shared" si="3"/>
        <v>Medio</v>
      </c>
      <c r="R39" s="8">
        <f>1 - ((Tabla1[[#This Row],[TPFM]]- $N$52) / ($N$51 - $N$52))</f>
        <v>0.44444444444444442</v>
      </c>
      <c r="S39" s="8">
        <v>0.05</v>
      </c>
      <c r="T39" s="8">
        <v>0.04</v>
      </c>
      <c r="U39" s="8">
        <f>SUM(Tabla1[[#This Row],[IPTFM]:[Comentarios2]]) / 3</f>
        <v>0.17814814814814814</v>
      </c>
      <c r="V39" s="8">
        <f>Tabla1[[#This Row],[CC]]/10</f>
        <v>0.1</v>
      </c>
      <c r="W39" s="8">
        <f xml:space="preserve"> (Tabla1[[#This Row],[ICLC]] + (1 - Tabla1[[#This Row],[ICC]])) / 2</f>
        <v>0.53907407407407404</v>
      </c>
      <c r="X39" t="str">
        <f>IF(W39 &lt; $S$49, "Bajo", IF(W39 &lt; $S$51, "Medio", "Alto"))</f>
        <v>Alto</v>
      </c>
      <c r="Y39" s="8">
        <v>1</v>
      </c>
      <c r="Z39" s="8" t="str">
        <f t="shared" si="2"/>
        <v>Alto</v>
      </c>
      <c r="AA39" s="8">
        <f>Tabla1[[#This Row],[Valor general]]-Tabla1[[#This Row],[Valor general2]]-Tabla1[[#This Row],[INN]]</f>
        <v>17.960914814814817</v>
      </c>
      <c r="AB39" t="str">
        <f>IF(Tabla1[[#This Row],[Valor general de PC]]&lt; $AA$51, "Alto", IF(Tabla1[[#This Row],[Valor general de PC]]&lt; $AA$53, "Medio", "Bajo"))</f>
        <v>Medio</v>
      </c>
    </row>
    <row r="40" spans="1:28" hidden="1" x14ac:dyDescent="0.25">
      <c r="A40" s="2">
        <v>2024253434</v>
      </c>
      <c r="B40" s="2"/>
      <c r="C40" s="2"/>
      <c r="D40" s="2"/>
      <c r="G40" s="78"/>
      <c r="H40" s="78"/>
      <c r="L40" s="8">
        <f>Tabla1[[#This Row],[ERL]]+Tabla1[[#This Row],[IRL]]</f>
        <v>0</v>
      </c>
      <c r="N40" s="8" t="e">
        <f>Tabla1[[#This Row],[LoCode]]/Tabla1[[#This Row],[NoFunctions]]</f>
        <v>#DIV/0!</v>
      </c>
      <c r="P40" s="8" t="e">
        <f>SUM(Tabla1[[#This Row],[CC]:[IDC]]) - Tabla1[[#This Row],[IRC]]</f>
        <v>#DIV/0!</v>
      </c>
      <c r="Q40" t="e">
        <f t="shared" si="3"/>
        <v>#DIV/0!</v>
      </c>
      <c r="R40" s="8" t="e">
        <f>1 - ((Tabla1[[#This Row],[TPFM]]- $N$52) / ($N$51 - $N$52))</f>
        <v>#DIV/0!</v>
      </c>
      <c r="U40" s="8" t="e">
        <f>SUM(Tabla1[[#This Row],[IPTFM]:[Comentarios2]]) / 3</f>
        <v>#DIV/0!</v>
      </c>
      <c r="V40" s="8">
        <f>Tabla1[[#This Row],[CC]]/10</f>
        <v>0</v>
      </c>
      <c r="W40" s="8" t="e">
        <f xml:space="preserve"> (Tabla1[[#This Row],[ICLC]] + (1 - Tabla1[[#This Row],[ICC]])) / 2</f>
        <v>#DIV/0!</v>
      </c>
      <c r="X40" t="e">
        <f>IF(W40 &lt; $S$49, "Bajo", IF(W40 &lt; $S$51, "Medio", "Alto"))</f>
        <v>#DIV/0!</v>
      </c>
      <c r="Z40" s="16" t="str">
        <f t="shared" si="2"/>
        <v>Bajo</v>
      </c>
      <c r="AA40" s="8" t="e">
        <f>Tabla1[[#This Row],[Valor general]]-Tabla1[[#This Row],[Valor general2]]-Tabla1[[#This Row],[INN]]</f>
        <v>#DIV/0!</v>
      </c>
      <c r="AB40" t="e">
        <f>IF(Tabla1[[#This Row],[Valor general de PC]]&lt; $AA$51, "Alto", IF(Tabla1[[#This Row],[Valor general de PC]]&lt; $AA$53, "Medio", "Bajo"))</f>
        <v>#DIV/0!</v>
      </c>
    </row>
    <row r="41" spans="1:28" x14ac:dyDescent="0.25">
      <c r="A41" s="2">
        <v>2024256175</v>
      </c>
      <c r="B41" s="2"/>
      <c r="C41" s="2"/>
      <c r="D41" s="2"/>
      <c r="E41" t="s">
        <v>44</v>
      </c>
      <c r="F41" t="s">
        <v>45</v>
      </c>
      <c r="G41" s="78">
        <v>23</v>
      </c>
      <c r="H41" s="78">
        <v>1</v>
      </c>
      <c r="I41" s="8">
        <v>1</v>
      </c>
      <c r="J41" s="8">
        <v>0</v>
      </c>
      <c r="K41" s="8">
        <v>0</v>
      </c>
      <c r="L41" s="8">
        <f>Tabla1[[#This Row],[ERL]]+Tabla1[[#This Row],[IRL]]</f>
        <v>0</v>
      </c>
      <c r="M41" s="8">
        <v>6</v>
      </c>
      <c r="N41" s="8">
        <f>Tabla1[[#This Row],[LoCode]]/Tabla1[[#This Row],[NoFunctions]]</f>
        <v>23</v>
      </c>
      <c r="O41" s="8">
        <v>0.78259999999999996</v>
      </c>
      <c r="P41" s="8">
        <f>SUM(Tabla1[[#This Row],[CC]:[IDC]]) - Tabla1[[#This Row],[IRC]]</f>
        <v>29.782599999999999</v>
      </c>
      <c r="Q41" t="str">
        <f t="shared" si="3"/>
        <v>Bajo</v>
      </c>
      <c r="R41" s="8">
        <f>1 - ((Tabla1[[#This Row],[TPFM]]- $N$52) / ($N$51 - $N$52))</f>
        <v>0.22222222222222221</v>
      </c>
      <c r="S41" s="8">
        <v>0.06</v>
      </c>
      <c r="T41" s="8">
        <v>0.17</v>
      </c>
      <c r="U41" s="8">
        <f>SUM(Tabla1[[#This Row],[IPTFM]:[Comentarios2]]) / 3</f>
        <v>0.15074074074074073</v>
      </c>
      <c r="V41" s="8">
        <f>Tabla1[[#This Row],[CC]]/10</f>
        <v>0.6</v>
      </c>
      <c r="W41" s="8">
        <f xml:space="preserve"> (Tabla1[[#This Row],[ICLC]] + (1 - Tabla1[[#This Row],[ICC]])) / 2</f>
        <v>0.27537037037037038</v>
      </c>
      <c r="X41" t="str">
        <f>IF(W41 &lt; $W$51, "Bajo", IF(W41 &lt; $W$53, "Medio", "Alto"))</f>
        <v>Medio</v>
      </c>
      <c r="Y41" s="8">
        <v>1</v>
      </c>
      <c r="Z41" s="8" t="str">
        <f>IF(Y41 &lt; $Y$51, "Bajo", IF(Y41 &gt;= $Y$53, "Alto", "Medio"))</f>
        <v>Alto</v>
      </c>
      <c r="AA41" s="8">
        <f>Tabla1[[#This Row],[Valor general]]-Tabla1[[#This Row],[Valor general2]]-Tabla1[[#This Row],[INN]]</f>
        <v>28.507229629629627</v>
      </c>
      <c r="AB41" t="str">
        <f>IF(Tabla1[[#This Row],[Valor general de PC]]&lt; $AA$51, "Alto", IF(Tabla1[[#This Row],[Valor general de PC]]&lt; $AA$53, "Medio", "Bajo"))</f>
        <v>Bajo</v>
      </c>
    </row>
    <row r="42" spans="1:28" hidden="1" x14ac:dyDescent="0.25">
      <c r="A42" s="2">
        <v>2024256560</v>
      </c>
      <c r="B42" s="2"/>
      <c r="C42" s="2"/>
      <c r="D42" s="2"/>
      <c r="E42" t="s">
        <v>44</v>
      </c>
      <c r="F42" t="s">
        <v>84</v>
      </c>
      <c r="G42" s="78"/>
      <c r="H42" s="78"/>
      <c r="L42" s="8">
        <f>Tabla1[[#This Row],[ERL]]+Tabla1[[#This Row],[IRL]]</f>
        <v>0</v>
      </c>
      <c r="N42" s="8" t="e">
        <f>Tabla1[[#This Row],[LoCode]]/Tabla1[[#This Row],[NoFunctions]]</f>
        <v>#DIV/0!</v>
      </c>
      <c r="P42" s="8" t="e">
        <f>SUM(Tabla1[[#This Row],[CC]:[IDC]]) - Tabla1[[#This Row],[IRC]]</f>
        <v>#DIV/0!</v>
      </c>
      <c r="Q42" t="e">
        <f t="shared" si="3"/>
        <v>#DIV/0!</v>
      </c>
      <c r="R42" s="8" t="e">
        <f>1 - ((Tabla1[[#This Row],[TPFM]]- $N$52) / ($N$51 - $N$52))</f>
        <v>#DIV/0!</v>
      </c>
      <c r="U42" s="8" t="e">
        <f>SUM(Tabla1[[#This Row],[IPTFM]:[Comentarios2]]) / 3</f>
        <v>#DIV/0!</v>
      </c>
      <c r="V42" s="8">
        <f>Tabla1[[#This Row],[CC]]/10</f>
        <v>0</v>
      </c>
      <c r="W42" s="8" t="e">
        <f xml:space="preserve"> (Tabla1[[#This Row],[ICLC]] + (1 - Tabla1[[#This Row],[ICC]])) / 2</f>
        <v>#DIV/0!</v>
      </c>
      <c r="X42" t="e">
        <f>IF(W42 &lt; $S$49, "Bajo", IF(W42 &lt; $S$51, "Medio", "Alto"))</f>
        <v>#DIV/0!</v>
      </c>
      <c r="Z42" s="16" t="str">
        <f t="shared" si="2"/>
        <v>Bajo</v>
      </c>
      <c r="AA42" s="8" t="e">
        <f>Tabla1[[#This Row],[Valor general]]-Tabla1[[#This Row],[Valor general2]]-Tabla1[[#This Row],[INN]]</f>
        <v>#DIV/0!</v>
      </c>
      <c r="AB42" t="e">
        <f>IF(Tabla1[[#This Row],[Valor general de PC]]&lt; $AA$51, "Alto", IF(Tabla1[[#This Row],[Valor general de PC]]&lt; $AA$53, "Medio", "Bajo"))</f>
        <v>#DIV/0!</v>
      </c>
    </row>
    <row r="43" spans="1:28" hidden="1" x14ac:dyDescent="0.25">
      <c r="A43" s="2">
        <v>2024256710</v>
      </c>
      <c r="B43" s="2"/>
      <c r="C43" s="2"/>
      <c r="D43" s="2"/>
      <c r="E43" t="s">
        <v>44</v>
      </c>
      <c r="F43" t="s">
        <v>84</v>
      </c>
      <c r="G43" s="78"/>
      <c r="H43" s="78"/>
      <c r="L43" s="8">
        <f>Tabla1[[#This Row],[ERL]]+Tabla1[[#This Row],[IRL]]</f>
        <v>0</v>
      </c>
      <c r="N43" s="8" t="e">
        <f>Tabla1[[#This Row],[LoCode]]/Tabla1[[#This Row],[NoFunctions]]</f>
        <v>#DIV/0!</v>
      </c>
      <c r="P43" s="8" t="e">
        <f>SUM(Tabla1[[#This Row],[CC]:[IDC]]) - Tabla1[[#This Row],[IRC]]</f>
        <v>#DIV/0!</v>
      </c>
      <c r="Q43" t="e">
        <f t="shared" si="3"/>
        <v>#DIV/0!</v>
      </c>
      <c r="R43" s="8" t="e">
        <f>1 - ((Tabla1[[#This Row],[TPFM]]- $N$52) / ($N$51 - $N$52))</f>
        <v>#DIV/0!</v>
      </c>
      <c r="U43" s="8" t="e">
        <f>SUM(Tabla1[[#This Row],[IPTFM]:[Comentarios2]]) / 3</f>
        <v>#DIV/0!</v>
      </c>
      <c r="V43" s="8">
        <f>Tabla1[[#This Row],[CC]]/10</f>
        <v>0</v>
      </c>
      <c r="W43" s="8" t="e">
        <f xml:space="preserve"> (Tabla1[[#This Row],[ICLC]] + (1 - Tabla1[[#This Row],[ICC]])) / 2</f>
        <v>#DIV/0!</v>
      </c>
      <c r="X43" t="e">
        <f>IF(W43 &lt; $S$49, "Bajo", IF(W43 &lt; $S$51, "Medio", "Alto"))</f>
        <v>#DIV/0!</v>
      </c>
      <c r="Z43" s="16" t="str">
        <f t="shared" si="2"/>
        <v>Bajo</v>
      </c>
      <c r="AA43" s="8" t="e">
        <f>Tabla1[[#This Row],[Valor general]]-Tabla1[[#This Row],[Valor general2]]-Tabla1[[#This Row],[INN]]</f>
        <v>#DIV/0!</v>
      </c>
      <c r="AB43" t="e">
        <f>IF(Tabla1[[#This Row],[Valor general de PC]]&lt; $AA$51, "Alto", IF(Tabla1[[#This Row],[Valor general de PC]]&lt; $AA$53, "Medio", "Bajo"))</f>
        <v>#DIV/0!</v>
      </c>
    </row>
    <row r="44" spans="1:28" hidden="1" x14ac:dyDescent="0.25">
      <c r="A44" s="2">
        <v>2024305867</v>
      </c>
      <c r="B44" s="2"/>
      <c r="C44" s="2"/>
      <c r="D44" s="2"/>
      <c r="E44" t="s">
        <v>44</v>
      </c>
      <c r="F44" t="s">
        <v>84</v>
      </c>
      <c r="G44" s="78"/>
      <c r="H44" s="78"/>
      <c r="L44" s="8">
        <f>Tabla1[[#This Row],[ERL]]+Tabla1[[#This Row],[IRL]]</f>
        <v>0</v>
      </c>
      <c r="N44" s="8" t="e">
        <f>Tabla1[[#This Row],[LoCode]]/Tabla1[[#This Row],[NoFunctions]]</f>
        <v>#DIV/0!</v>
      </c>
      <c r="P44" s="8" t="e">
        <f>SUM(Tabla1[[#This Row],[CC]:[IDC]]) - Tabla1[[#This Row],[IRC]]</f>
        <v>#DIV/0!</v>
      </c>
      <c r="Q44" t="e">
        <f t="shared" si="3"/>
        <v>#DIV/0!</v>
      </c>
      <c r="R44" s="8" t="e">
        <f>1 - ((Tabla1[[#This Row],[TPFM]]- $N$52) / ($N$51 - $N$52))</f>
        <v>#DIV/0!</v>
      </c>
      <c r="U44" s="8" t="e">
        <f>SUM(Tabla1[[#This Row],[IPTFM]:[Comentarios2]]) / 3</f>
        <v>#DIV/0!</v>
      </c>
      <c r="V44" s="8">
        <f>Tabla1[[#This Row],[CC]]/10</f>
        <v>0</v>
      </c>
      <c r="W44" s="8" t="e">
        <f xml:space="preserve"> (Tabla1[[#This Row],[ICLC]] + (1 - Tabla1[[#This Row],[ICC]])) / 2</f>
        <v>#DIV/0!</v>
      </c>
      <c r="X44" t="e">
        <f>IF(W44 &lt; $S$49, "Bajo", IF(W44 &lt; $S$51, "Medio", "Alto"))</f>
        <v>#DIV/0!</v>
      </c>
      <c r="Z44" s="16" t="str">
        <f t="shared" si="2"/>
        <v>Bajo</v>
      </c>
      <c r="AA44" s="8" t="e">
        <f>Tabla1[[#This Row],[Valor general]]-Tabla1[[#This Row],[Valor general2]]-Tabla1[[#This Row],[INN]]</f>
        <v>#DIV/0!</v>
      </c>
      <c r="AB44" t="e">
        <f>IF(Tabla1[[#This Row],[Valor general de PC]]&lt; $AA$51, "Alto", IF(Tabla1[[#This Row],[Valor general de PC]]&lt; $AA$53, "Medio", "Bajo"))</f>
        <v>#DIV/0!</v>
      </c>
    </row>
    <row r="45" spans="1:28" ht="30" x14ac:dyDescent="0.25">
      <c r="A45" s="2">
        <v>2024800088</v>
      </c>
      <c r="B45" s="2"/>
      <c r="C45" s="2"/>
      <c r="D45" s="2"/>
      <c r="E45" t="s">
        <v>44</v>
      </c>
      <c r="F45" s="3" t="s">
        <v>89</v>
      </c>
      <c r="G45" s="78">
        <v>23</v>
      </c>
      <c r="H45" s="78">
        <v>0</v>
      </c>
      <c r="I45" s="8">
        <v>2</v>
      </c>
      <c r="J45" s="8">
        <v>0</v>
      </c>
      <c r="K45" s="8">
        <f>7/Tabla1[[#This Row],[LoCode]]</f>
        <v>0.30434782608695654</v>
      </c>
      <c r="L45" s="8">
        <f>Tabla1[[#This Row],[ERL]]+Tabla1[[#This Row],[IRL]]</f>
        <v>0.30434782608695654</v>
      </c>
      <c r="M45" s="8">
        <v>8</v>
      </c>
      <c r="N45" s="8">
        <f>Tabla1[[#This Row],[LoCode]]/Tabla1[[#This Row],[NoFunctions]]</f>
        <v>11.5</v>
      </c>
      <c r="O45" s="8">
        <v>0.30430000000000001</v>
      </c>
      <c r="P45" s="8">
        <f>SUM(Tabla1[[#This Row],[CC]:[IDC]]) - Tabla1[[#This Row],[IRC]]</f>
        <v>19.499952173913044</v>
      </c>
      <c r="Q45" t="str">
        <f t="shared" si="3"/>
        <v>Medio</v>
      </c>
      <c r="R45" s="8">
        <f>1 - ((Tabla1[[#This Row],[TPFM]]- $N$52) / ($N$51 - $N$52))</f>
        <v>0.73333333333333339</v>
      </c>
      <c r="S45" s="8">
        <v>0.06</v>
      </c>
      <c r="T45" s="8">
        <v>0</v>
      </c>
      <c r="U45" s="8">
        <f>SUM(Tabla1[[#This Row],[IPTFM]:[Comentarios2]]) / 3</f>
        <v>0.26444444444444448</v>
      </c>
      <c r="V45" s="8">
        <f>Tabla1[[#This Row],[CC]]/10</f>
        <v>0.8</v>
      </c>
      <c r="W45" s="8">
        <f xml:space="preserve"> (Tabla1[[#This Row],[ICLC]] + (1 - Tabla1[[#This Row],[ICC]])) / 2</f>
        <v>0.23222222222222222</v>
      </c>
      <c r="X45" t="str">
        <f>IF(W45 &lt; $W$51, "Bajo", IF(W45 &lt; $W$53, "Medio", "Alto"))</f>
        <v>Medio</v>
      </c>
      <c r="Y45" s="8">
        <v>1</v>
      </c>
      <c r="Z45" s="8" t="str">
        <f t="shared" si="2"/>
        <v>Alto</v>
      </c>
      <c r="AA45" s="8">
        <f>Tabla1[[#This Row],[Valor general]]-Tabla1[[#This Row],[Valor general2]]-Tabla1[[#This Row],[INN]]</f>
        <v>18.267729951690821</v>
      </c>
      <c r="AB45" t="str">
        <f>IF(Tabla1[[#This Row],[Valor general de PC]]&lt; $AA$51, "Alto", IF(Tabla1[[#This Row],[Valor general de PC]]&lt; $AA$53, "Medio", "Bajo"))</f>
        <v>Medio</v>
      </c>
    </row>
    <row r="46" spans="1:28" x14ac:dyDescent="0.25">
      <c r="A46" s="2">
        <v>2024800128</v>
      </c>
      <c r="B46" s="2"/>
      <c r="C46" s="2"/>
      <c r="D46" s="2"/>
      <c r="E46" t="s">
        <v>44</v>
      </c>
      <c r="F46" t="s">
        <v>45</v>
      </c>
      <c r="G46" s="78">
        <v>17</v>
      </c>
      <c r="H46" s="78">
        <v>8</v>
      </c>
      <c r="I46" s="8">
        <v>2</v>
      </c>
      <c r="J46" s="8">
        <v>0</v>
      </c>
      <c r="K46" s="8">
        <f>4/Tabla1[[#This Row],[LoCode]]</f>
        <v>0.23529411764705882</v>
      </c>
      <c r="L46" s="8">
        <f>Tabla1[[#This Row],[ERL]]+Tabla1[[#This Row],[IRL]]</f>
        <v>0.23529411764705882</v>
      </c>
      <c r="M46" s="8">
        <v>8</v>
      </c>
      <c r="N46" s="8">
        <f>Tabla1[[#This Row],[LoCode]]/Tabla1[[#This Row],[NoFunctions]]</f>
        <v>8.5</v>
      </c>
      <c r="O46" s="8">
        <v>0.36359999999999998</v>
      </c>
      <c r="P46" s="8">
        <f>SUM(Tabla1[[#This Row],[CC]:[IDC]]) - Tabla1[[#This Row],[IRC]]</f>
        <v>16.628305882352944</v>
      </c>
      <c r="Q46" t="str">
        <f t="shared" si="3"/>
        <v>Alto</v>
      </c>
      <c r="R46" s="8">
        <f>1 - ((Tabla1[[#This Row],[TPFM]]- $N$52) / ($N$51 - $N$52))</f>
        <v>0.8666666666666667</v>
      </c>
      <c r="S46" s="8">
        <v>0.06</v>
      </c>
      <c r="T46" s="8">
        <v>0.1</v>
      </c>
      <c r="U46" s="8">
        <f>SUM(Tabla1[[#This Row],[IPTFM]:[Comentarios2]]) / 3</f>
        <v>0.34222222222222226</v>
      </c>
      <c r="V46" s="8">
        <f>Tabla1[[#This Row],[CC]]/10</f>
        <v>0.8</v>
      </c>
      <c r="W46" s="8">
        <f xml:space="preserve"> (Tabla1[[#This Row],[ICLC]] + (1 - Tabla1[[#This Row],[ICC]])) / 2</f>
        <v>0.27111111111111108</v>
      </c>
      <c r="X46" t="str">
        <f>IF(W46 &lt; $W$51, "Bajo", IF(W46 &lt; $W$53, "Medio", "Alto"))</f>
        <v>Medio</v>
      </c>
      <c r="Y46" s="8">
        <v>1</v>
      </c>
      <c r="Z46" s="8" t="str">
        <f t="shared" si="2"/>
        <v>Alto</v>
      </c>
      <c r="AA46" s="8">
        <f>Tabla1[[#This Row],[Valor general]]-Tabla1[[#This Row],[Valor general2]]-Tabla1[[#This Row],[INN]]</f>
        <v>15.357194771241833</v>
      </c>
      <c r="AB46" t="str">
        <f>IF(Tabla1[[#This Row],[Valor general de PC]]&lt; $AA$51, "Alto", IF(Tabla1[[#This Row],[Valor general de PC]]&lt; $AA$53, "Medio", "Bajo"))</f>
        <v>Alto</v>
      </c>
    </row>
    <row r="47" spans="1:28" hidden="1" x14ac:dyDescent="0.25">
      <c r="A47" s="2">
        <v>2024800621</v>
      </c>
      <c r="B47" s="2"/>
      <c r="C47" s="2"/>
      <c r="D47" s="2"/>
      <c r="E47" t="s">
        <v>44</v>
      </c>
      <c r="F47" t="s">
        <v>84</v>
      </c>
      <c r="G47" s="78"/>
      <c r="H47" s="78"/>
      <c r="L47" s="8">
        <f>Tabla1[[#This Row],[ERL]]+Tabla1[[#This Row],[IRL]]</f>
        <v>0</v>
      </c>
      <c r="N47" s="8" t="e">
        <f>Tabla1[[#This Row],[LoCode]]/Tabla1[[#This Row],[NoFunctions]]</f>
        <v>#DIV/0!</v>
      </c>
      <c r="P47" s="8" t="e">
        <f>SUM(Tabla1[[#This Row],[CC]:[IDC]]) - Tabla1[[#This Row],[IRC]]</f>
        <v>#DIV/0!</v>
      </c>
      <c r="Q47" t="e">
        <f t="shared" si="3"/>
        <v>#DIV/0!</v>
      </c>
      <c r="R47" s="8" t="e">
        <f>1 - ((Tabla1[[#This Row],[TPFM]]- $N$52) / ($N$51 - $N$52))</f>
        <v>#DIV/0!</v>
      </c>
      <c r="U47" s="8" t="e">
        <f>SUM(Tabla1[[#This Row],[IPTFM]:[Comentarios2]]) / 3</f>
        <v>#DIV/0!</v>
      </c>
      <c r="V47" s="8">
        <f>Tabla1[[#This Row],[CC]]/10</f>
        <v>0</v>
      </c>
      <c r="W47" s="8" t="e">
        <f xml:space="preserve"> (Tabla1[[#This Row],[ICLC]] + (1 - Tabla1[[#This Row],[ICC]])) / 2</f>
        <v>#DIV/0!</v>
      </c>
      <c r="X47" t="e">
        <f>IF(W47 &lt; $S$49, "Bajo", IF(W47 &lt; $S$51, "Medio", "Alto"))</f>
        <v>#DIV/0!</v>
      </c>
      <c r="Z47" s="16" t="str">
        <f t="shared" si="2"/>
        <v>Bajo</v>
      </c>
      <c r="AA47" s="8" t="e">
        <f>Tabla1[[#This Row],[Valor general]]-Tabla1[[#This Row],[Valor general2]]-Tabla1[[#This Row],[INN]]</f>
        <v>#DIV/0!</v>
      </c>
      <c r="AB47" t="e">
        <f>IF(Tabla1[[#This Row],[Valor general de PC]]&lt; $AA$51, "Alto", IF(Tabla1[[#This Row],[Valor general de PC]]&lt; $AA$53, "Medio", "Bajo"))</f>
        <v>#DIV/0!</v>
      </c>
    </row>
    <row r="48" spans="1:28" ht="30" x14ac:dyDescent="0.25">
      <c r="A48" s="2">
        <v>2024800990</v>
      </c>
      <c r="B48" s="2"/>
      <c r="C48" s="2"/>
      <c r="D48" s="2"/>
      <c r="E48" t="s">
        <v>44</v>
      </c>
      <c r="F48" s="3" t="s">
        <v>89</v>
      </c>
      <c r="G48" s="78">
        <v>16</v>
      </c>
      <c r="H48" s="78">
        <v>0</v>
      </c>
      <c r="I48" s="8">
        <v>1</v>
      </c>
      <c r="J48" s="8">
        <v>0</v>
      </c>
      <c r="K48" s="8">
        <f>3/Tabla1[[#This Row],[LoCode]]</f>
        <v>0.1875</v>
      </c>
      <c r="L48" s="8">
        <f>Tabla1[[#This Row],[ERL]]+Tabla1[[#This Row],[IRL]]</f>
        <v>0.1875</v>
      </c>
      <c r="M48" s="8">
        <v>5</v>
      </c>
      <c r="N48" s="8">
        <f>Tabla1[[#This Row],[LoCode]]/Tabla1[[#This Row],[NoFunctions]]</f>
        <v>16</v>
      </c>
      <c r="O48" s="8">
        <v>0.3125</v>
      </c>
      <c r="P48" s="8">
        <f>SUM(Tabla1[[#This Row],[CC]:[IDC]]) - Tabla1[[#This Row],[IRC]]</f>
        <v>21.125</v>
      </c>
      <c r="Q48" t="str">
        <f t="shared" si="3"/>
        <v>Medio</v>
      </c>
      <c r="R48" s="8">
        <f>1 - ((Tabla1[[#This Row],[TPFM]]- $N$52) / ($N$51 - $N$52))</f>
        <v>0.53333333333333333</v>
      </c>
      <c r="S48" s="8">
        <v>9.0909090909090898E-2</v>
      </c>
      <c r="T48" s="8">
        <v>0</v>
      </c>
      <c r="U48" s="8">
        <f>SUM(Tabla1[[#This Row],[IPTFM]:[Comentarios2]]) / 3</f>
        <v>0.20808080808080809</v>
      </c>
      <c r="V48" s="8">
        <f>Tabla1[[#This Row],[CC]]/10</f>
        <v>0.5</v>
      </c>
      <c r="W48" s="8">
        <f xml:space="preserve"> (Tabla1[[#This Row],[ICLC]] + (1 - Tabla1[[#This Row],[ICC]])) / 2</f>
        <v>0.35404040404040404</v>
      </c>
      <c r="X48" t="str">
        <f>IF(W48 &lt; $W$51, "Bajo", IF(W48 &lt; $W$53, "Medio", "Alto"))</f>
        <v>Alto</v>
      </c>
      <c r="Y48" s="8">
        <v>1</v>
      </c>
      <c r="Z48" s="8" t="str">
        <f t="shared" si="2"/>
        <v>Alto</v>
      </c>
      <c r="AA48" s="8">
        <f>Tabla1[[#This Row],[Valor general]]-Tabla1[[#This Row],[Valor general2]]-Tabla1[[#This Row],[INN]]</f>
        <v>19.770959595959596</v>
      </c>
      <c r="AB48" t="str">
        <f>IF(Tabla1[[#This Row],[Valor general de PC]]&lt; $AA$51, "Alto", IF(Tabla1[[#This Row],[Valor general de PC]]&lt; $AA$53, "Medio", "Bajo"))</f>
        <v>Medio</v>
      </c>
    </row>
    <row r="49" spans="6:27" x14ac:dyDescent="0.25">
      <c r="Y49"/>
    </row>
    <row r="50" spans="6:27" x14ac:dyDescent="0.25">
      <c r="M50" s="26" t="s">
        <v>13</v>
      </c>
      <c r="N50" s="26" t="s">
        <v>15</v>
      </c>
      <c r="O50" s="26" t="s">
        <v>17</v>
      </c>
      <c r="P50" s="26" t="s">
        <v>6</v>
      </c>
    </row>
    <row r="51" spans="6:27" x14ac:dyDescent="0.25">
      <c r="F51" s="10" t="s">
        <v>57</v>
      </c>
      <c r="G51" s="8">
        <f>QUARTILE((P7,P9,P12,P15,P18,P19,P25,P29,P30,P32,P38,P39,P41,P45,P46,P4,P48), 1)</f>
        <v>18.076953846153845</v>
      </c>
      <c r="L51" s="26" t="s">
        <v>90</v>
      </c>
      <c r="M51" s="8">
        <f>MAX((M9,M12,M15,M18,M25,M19,M29,M30,M32,M38,M39,M41,M45,M46,M4,M48,M7))</f>
        <v>12</v>
      </c>
      <c r="N51" s="8">
        <f>MAX((N9,N12,N15,N18,N25,N19,N29,N30,N32,N38,N39,N41,N45,N46,N4,N48,N7))</f>
        <v>28</v>
      </c>
      <c r="O51" s="8">
        <f>MAX((O9,O12,O15,O18,O25,O19,O29,O30,O32,O38,O39,O41,O45,O46,O4,O48,O7))</f>
        <v>0.78259999999999996</v>
      </c>
      <c r="P51" s="8">
        <f>MAX(G4,G7,G9,G12,G15,G18,G19,G25,G29,G30,G32,G38,G39,G41,G45,G46,G48)</f>
        <v>30</v>
      </c>
      <c r="V51" s="27" t="s">
        <v>57</v>
      </c>
      <c r="W51" s="8">
        <f>QUARTILE((W7,W9,W12,W15,W18,W19,W25,W29,W30,W32,W38,W39,W41,W45,W4,W46,W48), 1)</f>
        <v>0.21370370370370367</v>
      </c>
      <c r="X51" s="27" t="s">
        <v>57</v>
      </c>
      <c r="Y51" s="8">
        <f>QUARTILE((Y7,Y9,Y12,Y15,Y18,Y19,Y25,Y29,Y30,Y32,Y38,Y39,Y41,Y45,Y4,Y46,Y48), 1)</f>
        <v>1</v>
      </c>
      <c r="Z51" s="27" t="s">
        <v>57</v>
      </c>
      <c r="AA51" s="8">
        <f>QUARTILE((AA7,AA9,AA12,AA15,AA18,AA19,AA25,AA29,AA30,AA32,AA38,AA39,AA41,AA45,AA46,AA4,AA48), 1)</f>
        <v>16.811615619967792</v>
      </c>
    </row>
    <row r="52" spans="6:27" x14ac:dyDescent="0.25">
      <c r="F52" s="10" t="s">
        <v>59</v>
      </c>
      <c r="G52" s="8">
        <f>QUARTILE((P7,P9,P12,P15,P18,P19,P25,P29,P30,P32,P38,P39,P41,P45,P46,P4,P48), 2)</f>
        <v>20.86</v>
      </c>
      <c r="L52" s="26" t="s">
        <v>91</v>
      </c>
      <c r="M52" s="8">
        <f>MIN((M7,M9,M12,M15,M18,M19,M25,M29,M30,M32,M38,M39,M45,M41,M46,M4,M48))</f>
        <v>1</v>
      </c>
      <c r="N52" s="8">
        <f>MIN((N7,N9,N12,N15,N18,N19,N25,N29,N30,N32,N38,N39,N45,N41,N46,N4,N48))</f>
        <v>5.5</v>
      </c>
      <c r="O52" s="8">
        <f>MIN((O7,O9,O12,O15,O18,O19,O25,O29,O30,O32,O38,O39,O45,O41,O46,O4,O48))</f>
        <v>0.15</v>
      </c>
      <c r="P52" s="8">
        <f>MIN(G4,G7,G9,G12,G15,G18,G19,G25,G29,G30,G32,G38,G39,G41,G45,G46,G48)</f>
        <v>11</v>
      </c>
      <c r="V52" s="27" t="s">
        <v>59</v>
      </c>
      <c r="W52" s="8">
        <f>QUARTILE((W7,W9,W12,W15,W18,W19,W25,W29,W30,W32,W38,W39,W41,W45,W4,W46,W48), 2)</f>
        <v>0.27111111111111108</v>
      </c>
      <c r="X52" s="27" t="s">
        <v>59</v>
      </c>
      <c r="Y52" s="8">
        <f>QUARTILE((Y7,Y9,Y12,Y15,Y18,Y19,Y25,Y29,Y30,Y32,Y38,Y39,Y41,Y45,Y4,Y46,Y48), 2)</f>
        <v>1</v>
      </c>
      <c r="Z52" s="27" t="s">
        <v>59</v>
      </c>
      <c r="AA52" s="8">
        <f>QUARTILE((AA7,AA9,AA12,AA15,AA18,AA19,AA25,AA29,AA30,AA32,AA38,AA39,AA41,AA45,AA46,AA4,AA48), 2)</f>
        <v>19.759267980884111</v>
      </c>
    </row>
    <row r="53" spans="6:27" x14ac:dyDescent="0.25">
      <c r="F53" s="10" t="s">
        <v>61</v>
      </c>
      <c r="G53" s="8">
        <f>QUARTILE((P7,P9,P12,P15,P18,P19,P25,P29,P30,P32,P38,P39,P41,P45,P46,P4,P48), 3)</f>
        <v>23.411799999999999</v>
      </c>
      <c r="L53" s="26" t="s">
        <v>92</v>
      </c>
      <c r="M53" s="8">
        <f>AVERAGE(M4,M7,M9,M12,M15,M18,M19,M25,M29,M30,M32,M38,M39,M41,M45,M46,M48)</f>
        <v>6.6470588235294121</v>
      </c>
      <c r="N53" s="8">
        <f t="shared" ref="N53:O53" si="4">AVERAGE(N4,N7,N9,N12,N15,N18,N19,N25,N29,N30,N32,N38,N39,N41,N45,N46,N48)</f>
        <v>15.102941176470589</v>
      </c>
      <c r="O53" s="8">
        <f t="shared" si="4"/>
        <v>0.38277058823529408</v>
      </c>
      <c r="P53" s="8">
        <f>AVERAGE(G4,G7,G9,G12,G15,G18,G19,G25,G29,G30,G32,G38,G39,G41,G45,G46,G48)</f>
        <v>20.647058823529413</v>
      </c>
      <c r="V53" s="27" t="s">
        <v>61</v>
      </c>
      <c r="W53" s="8">
        <f>QUARTILE((W7,W9,W12,W15,W18,W19,W25,W29,W30,W32,W38,W39,W41,W45,W4,W46,W48), 3)</f>
        <v>0.35404040404040404</v>
      </c>
      <c r="X53" s="27" t="s">
        <v>61</v>
      </c>
      <c r="Y53" s="8">
        <f>QUARTILE((Y7,Y9,Y12,Y15,Y18,Y19,Y25,Y29,Y30,Y32,Y38,Y39,Y41,Y45,Y4,Y46,Y48), 3)</f>
        <v>1</v>
      </c>
      <c r="Z53" s="27" t="s">
        <v>61</v>
      </c>
      <c r="AA53" s="8">
        <f>QUARTILE((AA7,AA9,AA12,AA15,AA18,AA19,AA25,AA29,AA30,AA32,AA38,AA39,AA41,AA45,AA46,AA4,AA48), 3)</f>
        <v>22.120318518518516</v>
      </c>
    </row>
    <row r="54" spans="6:27" x14ac:dyDescent="0.25">
      <c r="F54" s="10" t="s">
        <v>63</v>
      </c>
      <c r="G54" s="8">
        <f>AVERAGE((P7,P9,P12,P15,P18,P19,P25,P29,P30,P32,P38,P39,P41,P45,P46,P4,P48))</f>
        <v>21.987928269220042</v>
      </c>
      <c r="L54" s="26" t="s">
        <v>64</v>
      </c>
      <c r="M54" s="8">
        <f>STDEV(M4,M7,M9,M12,M15,M18,M19,M25,M29,M30,M32,M38,M39,M41,M45,M46,M48)</f>
        <v>2.5724787771376323</v>
      </c>
      <c r="N54" s="8">
        <f t="shared" ref="N54" si="5">STDEV(N4,N7,N9,N12,N15,N18,N19,N25,N29,N30,N32,N38,N39,N41,N45,N46,N48)</f>
        <v>6.3903362242391859</v>
      </c>
      <c r="O54" s="8">
        <f>STDEV(O4,O7,O9,O12,O15,O18,O19,O25,O29,O30,O32,O38,O39,O41,O45,O46,O48)</f>
        <v>0.17606744007874478</v>
      </c>
      <c r="P54">
        <f>STDEV(G4,G7,G9,G12,G15,G18,G19,G25,G29,G30,G32,G38,G39,G41,G45,G46,G48)</f>
        <v>5.6782609185228123</v>
      </c>
      <c r="V54" s="27" t="s">
        <v>63</v>
      </c>
      <c r="W54" s="8">
        <f>AVERAGE((W7,W9,W12,W15,W18,W19,W25,W29,W30,W32,W38,W39,W41,W45,W4,W46,W48))</f>
        <v>0.27992844319220028</v>
      </c>
      <c r="X54" s="27" t="s">
        <v>63</v>
      </c>
      <c r="Y54" s="8">
        <f>AVERAGE((Y7,Y9,Y12,Y15,Y18,Y19,Y25,Y29,Y30,Y32,Y38,Y39,Y41,Y45,Y4,Y46,Y48))</f>
        <v>0.97852352941176457</v>
      </c>
      <c r="Z54" s="27" t="s">
        <v>63</v>
      </c>
      <c r="AA54" s="8">
        <f>AVERAGE((AA7,AA9,AA12,AA15,AA18,AA19,AA25,AA29,AA30,AA32,AA38,AA39,AA41,AA45,AA46,AA4,AA48))</f>
        <v>20.729476296616074</v>
      </c>
    </row>
    <row r="55" spans="6:27" x14ac:dyDescent="0.25">
      <c r="F55" s="10" t="s">
        <v>65</v>
      </c>
      <c r="G55" s="8">
        <f>STDEV((P7,P9,P12,P15,P18,P19,P25,P29,P30,P32,P38,P39,P41,P45,P46,P4,P48))</f>
        <v>6.4394771261257402</v>
      </c>
      <c r="P55"/>
      <c r="V55" s="27" t="s">
        <v>65</v>
      </c>
      <c r="W55" s="8">
        <f>STDEV((W7,W9,W12,W15,W18,W19,W25,W29,W30,W32,W38,W39,W41,W45,W4,W46,W48))</f>
        <v>0.12697111800043881</v>
      </c>
      <c r="X55" s="27" t="s">
        <v>65</v>
      </c>
      <c r="Y55" s="8">
        <f>STDEV((Y7,Y9,Y12,Y15,Y18,Y19,Y25,Y29,Y30,Y32,Y38,Y39,Y41,Y45,Y4,Y46,Y48))</f>
        <v>4.8260860557647604E-2</v>
      </c>
      <c r="Z55" s="27" t="s">
        <v>65</v>
      </c>
      <c r="AA55" s="8">
        <f>STDEV((AA7,AA9,AA12,AA15,AA18,AA19,AA25,AA29,AA30,AA32,AA38,AA39,AA41,AA45,AA46,AA4,AA48))</f>
        <v>6.5146257713602695</v>
      </c>
    </row>
    <row r="56" spans="6:27" x14ac:dyDescent="0.25">
      <c r="F56" s="10" t="s">
        <v>66</v>
      </c>
      <c r="G56" s="8">
        <f>G55/G54</f>
        <v>0.29286420472546693</v>
      </c>
      <c r="L56" s="60"/>
      <c r="M56" s="61" t="s">
        <v>67</v>
      </c>
      <c r="N56" s="61" t="s">
        <v>68</v>
      </c>
      <c r="O56" s="61" t="s">
        <v>69</v>
      </c>
      <c r="P56" s="62"/>
      <c r="Q56" s="62">
        <f>IF(EXACT(Q4,"Alto"),3,IF(EXACT(Q4,"Medio"),2,1))</f>
        <v>3</v>
      </c>
      <c r="R56" s="63">
        <v>10.32</v>
      </c>
      <c r="S56" s="64" t="str">
        <f t="shared" ref="S56:S72" si="6">IF(Q56= 3,"Alto",IF(Q56=2,"Medio","Bajo"))</f>
        <v>Alto</v>
      </c>
      <c r="V56" s="27" t="s">
        <v>66</v>
      </c>
      <c r="W56" s="8">
        <f>W55/W54</f>
        <v>0.45358419656290444</v>
      </c>
      <c r="X56" s="27" t="s">
        <v>66</v>
      </c>
      <c r="Y56" s="8">
        <f>Y55/Y54</f>
        <v>4.9320081844796748E-2</v>
      </c>
      <c r="Z56" s="27" t="s">
        <v>66</v>
      </c>
      <c r="AA56" s="8">
        <f>AA55/AA54</f>
        <v>0.31426870983825733</v>
      </c>
    </row>
    <row r="57" spans="6:27" x14ac:dyDescent="0.25">
      <c r="L57" s="65" t="s">
        <v>71</v>
      </c>
      <c r="M57" s="8">
        <f>COUNTIF($Q$4:$Q$25, M56) + COUNTIF($Q$27:$Q$48,M56)</f>
        <v>4</v>
      </c>
      <c r="N57" s="8">
        <f>COUNTIF($Q$4:$Q$25, N56) + COUNTIF($Q$27:$Q$48,N56)</f>
        <v>8</v>
      </c>
      <c r="O57" s="8">
        <f>COUNTIF($Q$4:$Q$25, O56) + COUNTIF($Q$27:$Q$48,O56)</f>
        <v>5</v>
      </c>
      <c r="Q57">
        <f>IF(EXACT(Q7,"Alto"),3,IF(EXACT(Q7,"Medio"),2,1))</f>
        <v>1</v>
      </c>
      <c r="R57" s="8">
        <v>23.21</v>
      </c>
      <c r="S57" s="66" t="str">
        <f t="shared" si="6"/>
        <v>Bajo</v>
      </c>
    </row>
    <row r="58" spans="6:27" x14ac:dyDescent="0.25">
      <c r="L58" s="65" t="s">
        <v>73</v>
      </c>
      <c r="M58" s="8">
        <f>CORREL(R56:R72, Q56:Q72)</f>
        <v>-0.85815900608730578</v>
      </c>
      <c r="Q58">
        <f>IF(EXACT(Q9,"Alto"),3,IF(EXACT(Q9,"Medio"),2,1))</f>
        <v>3</v>
      </c>
      <c r="R58" s="8">
        <v>16.309999999999999</v>
      </c>
      <c r="S58" s="66" t="str">
        <f t="shared" si="6"/>
        <v>Alto</v>
      </c>
    </row>
    <row r="59" spans="6:27" x14ac:dyDescent="0.25">
      <c r="L59" s="65" t="s">
        <v>81</v>
      </c>
      <c r="M59" s="8" cm="1">
        <f t="array" ref="M59">SUMPRODUCT(($S$56:$S$72=M56)*($R$56:$R$72)) / M57</f>
        <v>15.2575</v>
      </c>
      <c r="N59" s="8" cm="1">
        <f t="array" ref="N59">SUMPRODUCT(($S$56:$S$72=N56)*($R$56:$R$72)) / N57</f>
        <v>20.438749999999999</v>
      </c>
      <c r="O59" s="8" cm="1">
        <f t="array" ref="O59">SUMPRODUCT(($S$56:$S$72=O56)*($R$56:$R$72)) / O57</f>
        <v>29.814</v>
      </c>
      <c r="Q59">
        <f>IF(EXACT(Q12,"Alto"),3,IF(EXACT(Q12,"Medio"),2,1))</f>
        <v>1</v>
      </c>
      <c r="R59" s="8">
        <v>28.43</v>
      </c>
      <c r="S59" s="66" t="str">
        <f t="shared" si="6"/>
        <v>Bajo</v>
      </c>
    </row>
    <row r="60" spans="6:27" x14ac:dyDescent="0.25">
      <c r="L60" s="67"/>
      <c r="Q60">
        <f>IF(EXACT(Q15,"Alto"),3,IF(EXACT(Q15,"Medio"),2,1))</f>
        <v>2</v>
      </c>
      <c r="R60" s="8">
        <v>18.079999999999998</v>
      </c>
      <c r="S60" s="66" t="str">
        <f t="shared" si="6"/>
        <v>Medio</v>
      </c>
    </row>
    <row r="61" spans="6:27" x14ac:dyDescent="0.25">
      <c r="L61" s="67"/>
      <c r="Q61">
        <f>IF(EXACT(Q18,"Alto"),3,IF(EXACT(Q18,"Medio"),2,1))</f>
        <v>2</v>
      </c>
      <c r="R61" s="8">
        <v>18.95</v>
      </c>
      <c r="S61" s="66" t="str">
        <f t="shared" si="6"/>
        <v>Medio</v>
      </c>
    </row>
    <row r="62" spans="6:27" x14ac:dyDescent="0.25">
      <c r="L62" s="67"/>
      <c r="Q62">
        <f>IF(EXACT(Q19,"Alto"),3,IF(EXACT(Q19,"Medio"),2,1))</f>
        <v>2</v>
      </c>
      <c r="R62" s="8">
        <v>22.25</v>
      </c>
      <c r="S62" s="66" t="str">
        <f t="shared" si="6"/>
        <v>Medio</v>
      </c>
    </row>
    <row r="63" spans="6:27" x14ac:dyDescent="0.25">
      <c r="L63" s="67"/>
      <c r="Q63">
        <f>IF(EXACT(Q25,"Alto"),3,IF(EXACT(Q25,"Medio"),2,1))</f>
        <v>3</v>
      </c>
      <c r="R63" s="8">
        <v>17.77</v>
      </c>
      <c r="S63" s="66" t="str">
        <f t="shared" si="6"/>
        <v>Alto</v>
      </c>
    </row>
    <row r="64" spans="6:27" x14ac:dyDescent="0.25">
      <c r="L64" s="67"/>
      <c r="Q64">
        <f>IF(EXACT(Q29,"Alto"),3,IF(EXACT(Q29,"Medio"),2,1))</f>
        <v>2</v>
      </c>
      <c r="R64" s="8">
        <v>20.86</v>
      </c>
      <c r="S64" s="66" t="str">
        <f t="shared" si="6"/>
        <v>Medio</v>
      </c>
    </row>
    <row r="65" spans="12:19" x14ac:dyDescent="0.25">
      <c r="L65" s="67"/>
      <c r="Q65">
        <f>IF(EXACT(Q30,"Alto"),3,IF(EXACT(Q30,"Medio"),2,1))</f>
        <v>1</v>
      </c>
      <c r="R65" s="8">
        <v>30.4</v>
      </c>
      <c r="S65" s="66" t="str">
        <f t="shared" si="6"/>
        <v>Bajo</v>
      </c>
    </row>
    <row r="66" spans="12:19" x14ac:dyDescent="0.25">
      <c r="L66" s="67"/>
      <c r="Q66">
        <f>IF(EXACT(Q32,"Alto"),3,IF(EXACT(Q32,"Medio"),2,1))</f>
        <v>2</v>
      </c>
      <c r="R66" s="8">
        <v>23.24</v>
      </c>
      <c r="S66" s="66" t="str">
        <f t="shared" si="6"/>
        <v>Medio</v>
      </c>
    </row>
    <row r="67" spans="12:19" x14ac:dyDescent="0.25">
      <c r="L67" s="67"/>
      <c r="Q67">
        <f>IF(EXACT(Q38,"Alto"),3,IF(EXACT(Q38,"Medio"),2,1))</f>
        <v>1</v>
      </c>
      <c r="R67" s="8">
        <v>37.25</v>
      </c>
      <c r="S67" s="66" t="str">
        <f t="shared" si="6"/>
        <v>Bajo</v>
      </c>
    </row>
    <row r="68" spans="12:19" x14ac:dyDescent="0.25">
      <c r="L68" s="67"/>
      <c r="Q68">
        <f>IF(EXACT(Q39,"Alto"),3,IF(EXACT(Q39,"Medio"),2,1))</f>
        <v>2</v>
      </c>
      <c r="R68" s="8">
        <v>19.5</v>
      </c>
      <c r="S68" s="66" t="str">
        <f t="shared" si="6"/>
        <v>Medio</v>
      </c>
    </row>
    <row r="69" spans="12:19" x14ac:dyDescent="0.25">
      <c r="L69" s="67"/>
      <c r="Q69">
        <f>IF(EXACT(Q41,"Alto"),3,IF(EXACT(Q41,"Medio"),2,1))</f>
        <v>1</v>
      </c>
      <c r="R69" s="8">
        <v>29.78</v>
      </c>
      <c r="S69" s="66" t="str">
        <f t="shared" si="6"/>
        <v>Bajo</v>
      </c>
    </row>
    <row r="70" spans="12:19" x14ac:dyDescent="0.25">
      <c r="L70" s="67"/>
      <c r="Q70">
        <f>IF(EXACT(Q45,"Alto"),3,IF(EXACT(Q45,"Medio"),2,1))</f>
        <v>2</v>
      </c>
      <c r="R70" s="8">
        <v>19.5</v>
      </c>
      <c r="S70" s="66" t="str">
        <f t="shared" si="6"/>
        <v>Medio</v>
      </c>
    </row>
    <row r="71" spans="12:19" x14ac:dyDescent="0.25">
      <c r="L71" s="67"/>
      <c r="Q71">
        <f>IF(EXACT(Q46,"Alto"),3,IF(EXACT(Q46,"Medio"),2,1))</f>
        <v>3</v>
      </c>
      <c r="R71" s="8">
        <v>16.63</v>
      </c>
      <c r="S71" s="66" t="str">
        <f t="shared" si="6"/>
        <v>Alto</v>
      </c>
    </row>
    <row r="72" spans="12:19" x14ac:dyDescent="0.25">
      <c r="L72" s="68"/>
      <c r="M72" s="69"/>
      <c r="N72" s="69"/>
      <c r="O72" s="69"/>
      <c r="P72" s="69"/>
      <c r="Q72" s="70">
        <f>IF(EXACT(Q48,"Alto"),3,IF(EXACT(Q48,"Medio"),2,1))</f>
        <v>2</v>
      </c>
      <c r="R72" s="69">
        <v>21.13</v>
      </c>
      <c r="S72" s="71" t="str">
        <f t="shared" si="6"/>
        <v>Medio</v>
      </c>
    </row>
  </sheetData>
  <mergeCells count="4">
    <mergeCell ref="J1:Q1"/>
    <mergeCell ref="R1:X1"/>
    <mergeCell ref="Y1:Z1"/>
    <mergeCell ref="AA1:AB1"/>
  </mergeCells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69A8-1FDE-410B-BC7E-4DFEC943884B}">
  <dimension ref="A1:AB96"/>
  <sheetViews>
    <sheetView zoomScale="98" zoomScaleNormal="98" workbookViewId="0">
      <selection activeCell="B10" sqref="B10"/>
    </sheetView>
  </sheetViews>
  <sheetFormatPr baseColWidth="10" defaultColWidth="8.85546875" defaultRowHeight="15" x14ac:dyDescent="0.25"/>
  <cols>
    <col min="1" max="4" width="18.42578125" customWidth="1"/>
    <col min="5" max="5" width="18" customWidth="1"/>
    <col min="6" max="6" width="42.28515625" customWidth="1"/>
    <col min="7" max="7" width="11" bestFit="1" customWidth="1"/>
    <col min="8" max="8" width="7.42578125" customWidth="1"/>
    <col min="9" max="9" width="9.42578125" customWidth="1"/>
    <col min="10" max="10" width="16.42578125" customWidth="1"/>
    <col min="14" max="14" width="9.42578125" customWidth="1"/>
    <col min="16" max="16" width="12" customWidth="1"/>
    <col min="17" max="17" width="23.140625" bestFit="1" customWidth="1"/>
    <col min="18" max="18" width="9.42578125" bestFit="1" customWidth="1"/>
    <col min="19" max="19" width="31.42578125" bestFit="1" customWidth="1"/>
    <col min="20" max="20" width="17.28515625" bestFit="1" customWidth="1"/>
    <col min="22" max="22" width="15.140625" customWidth="1"/>
    <col min="23" max="23" width="17.42578125" bestFit="1" customWidth="1"/>
    <col min="24" max="24" width="14.42578125" bestFit="1" customWidth="1"/>
    <col min="26" max="26" width="14.7109375" bestFit="1" customWidth="1"/>
    <col min="27" max="27" width="22.42578125" bestFit="1" customWidth="1"/>
  </cols>
  <sheetData>
    <row r="1" spans="1:28" x14ac:dyDescent="0.25">
      <c r="J1" s="90" t="s">
        <v>0</v>
      </c>
      <c r="K1" s="90"/>
      <c r="L1" s="90"/>
      <c r="M1" s="90"/>
      <c r="N1" s="90"/>
      <c r="O1" s="90"/>
      <c r="P1" s="90"/>
      <c r="Q1" s="90"/>
      <c r="R1" s="91" t="s">
        <v>1</v>
      </c>
      <c r="S1" s="91"/>
      <c r="T1" s="91"/>
      <c r="U1" s="91"/>
      <c r="V1" s="91"/>
      <c r="W1" s="91"/>
      <c r="X1" s="91"/>
      <c r="Y1" s="92" t="s">
        <v>2</v>
      </c>
      <c r="Z1" s="92"/>
      <c r="AA1" s="93"/>
      <c r="AB1" s="93"/>
    </row>
    <row r="2" spans="1:28" ht="31.5" x14ac:dyDescent="0.25">
      <c r="A2" s="1" t="s">
        <v>3</v>
      </c>
      <c r="B2" s="88" t="s">
        <v>137</v>
      </c>
      <c r="C2" s="88" t="s">
        <v>139</v>
      </c>
      <c r="D2" s="88" t="s">
        <v>138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5" t="s">
        <v>9</v>
      </c>
      <c r="K2" s="1" t="s">
        <v>10</v>
      </c>
      <c r="L2" s="25" t="s">
        <v>11</v>
      </c>
      <c r="M2" s="25" t="s">
        <v>13</v>
      </c>
      <c r="N2" s="25" t="s">
        <v>15</v>
      </c>
      <c r="O2" s="25" t="s">
        <v>17</v>
      </c>
      <c r="P2" s="25" t="s">
        <v>28</v>
      </c>
      <c r="Q2" s="1" t="s">
        <v>29</v>
      </c>
      <c r="R2" s="25" t="s">
        <v>82</v>
      </c>
      <c r="S2" s="25" t="s">
        <v>31</v>
      </c>
      <c r="T2" s="25" t="s">
        <v>32</v>
      </c>
      <c r="U2" s="25" t="s">
        <v>33</v>
      </c>
      <c r="V2" s="25" t="s">
        <v>34</v>
      </c>
      <c r="W2" s="25" t="s">
        <v>35</v>
      </c>
      <c r="X2" s="1" t="s">
        <v>36</v>
      </c>
      <c r="Y2" s="25" t="s">
        <v>37</v>
      </c>
      <c r="Z2" s="1" t="s">
        <v>38</v>
      </c>
      <c r="AA2" s="1" t="s">
        <v>39</v>
      </c>
      <c r="AB2" s="1" t="s">
        <v>40</v>
      </c>
    </row>
    <row r="3" spans="1:28" ht="15.75" x14ac:dyDescent="0.25">
      <c r="A3" s="85" t="s">
        <v>80</v>
      </c>
      <c r="B3" s="85"/>
      <c r="C3" s="85"/>
      <c r="D3" s="85"/>
      <c r="E3" s="82"/>
      <c r="F3" s="82"/>
      <c r="G3" s="82">
        <v>8</v>
      </c>
      <c r="H3" s="82">
        <v>2</v>
      </c>
      <c r="I3" s="82">
        <v>1</v>
      </c>
      <c r="J3" s="83">
        <v>0</v>
      </c>
      <c r="K3" s="82">
        <v>0</v>
      </c>
      <c r="L3" s="83">
        <f>Tabla14[[#This Row],[ERL]]+Tabla14[[#This Row],[IRL]]</f>
        <v>0</v>
      </c>
      <c r="M3" s="83">
        <v>4</v>
      </c>
      <c r="N3" s="82">
        <f>Tabla14[[#This Row],[LoCode]]/Tabla14[[#This Row],[NoFunctions]]</f>
        <v>8</v>
      </c>
      <c r="O3" s="83">
        <v>0</v>
      </c>
      <c r="P3" s="83">
        <f>SUM(Tabla14[[#This Row],[CC]:[IDC]]) - Tabla14[[#This Row],[IRC]]</f>
        <v>12</v>
      </c>
      <c r="Q3" s="82" t="str">
        <f>IF(P3 &lt; $J$51, "Alto", IF(P3 &lt; $G$53, "Medio", "Bajo"))</f>
        <v>Medio</v>
      </c>
      <c r="R3" s="83">
        <f>1 - ((Tabla14[[#This Row],[TPFM]]- $N$52) / ($N$51 - $N$52))</f>
        <v>0.93617021276595747</v>
      </c>
      <c r="S3" s="83">
        <v>0.09</v>
      </c>
      <c r="T3" s="83">
        <v>0.15</v>
      </c>
      <c r="U3" s="83">
        <f>SUM(Tabla14[[#This Row],[IPTFM]:[Comentarios2]]) / 3</f>
        <v>0.3920567375886525</v>
      </c>
      <c r="V3" s="82">
        <f>Tabla14[[#This Row],[CC]]/10</f>
        <v>0.4</v>
      </c>
      <c r="W3" s="83">
        <f xml:space="preserve"> (Tabla14[[#This Row],[ICLC]] + (1 - Tabla14[[#This Row],[ICC]])) / 2</f>
        <v>0.49602836879432621</v>
      </c>
      <c r="X3" s="82" t="str">
        <f>IF(W3 &lt; $W$51, "Bajo", IF(W3 &lt; $W$53, "Medio", "Alto"))</f>
        <v>Alto</v>
      </c>
      <c r="Y3" s="83">
        <v>1</v>
      </c>
      <c r="Z3" s="82" t="str">
        <f t="shared" ref="Z3:Z48" si="0">IF(Y3 &lt; $Y$51, "Bajo", IF(Y3 &gt;= $Y$53, "Alto", "Medio"))</f>
        <v>Alto</v>
      </c>
      <c r="AA3" s="83">
        <f>Tabla14[[#This Row],[Valor general]]-Tabla14[[#This Row],[Valor general2]]-Tabla14[[#This Row],[INN]]</f>
        <v>10.503971631205674</v>
      </c>
      <c r="AB3" s="82" t="str">
        <f>IF(Tabla14[[#This Row],[Valor general de PC]]&lt; $AA$51, "Alto", IF(Tabla14[[#This Row],[Valor general de PC]]&lt; $AA$53, "Medio", "Bajo"))</f>
        <v>Alto</v>
      </c>
    </row>
    <row r="4" spans="1:28" ht="15.75" x14ac:dyDescent="0.25">
      <c r="A4" s="20">
        <v>2024252331</v>
      </c>
      <c r="B4" s="20"/>
      <c r="C4" s="20"/>
      <c r="D4" s="20"/>
      <c r="E4" s="21" t="s">
        <v>42</v>
      </c>
      <c r="F4" s="21" t="s">
        <v>93</v>
      </c>
      <c r="G4" s="21">
        <v>19</v>
      </c>
      <c r="H4" s="21">
        <v>5</v>
      </c>
      <c r="I4" s="21">
        <v>1</v>
      </c>
      <c r="J4" s="21">
        <v>0</v>
      </c>
      <c r="K4" s="21">
        <v>0</v>
      </c>
      <c r="L4" s="23">
        <f>Tabla14[[#This Row],[ERL]]+Tabla14[[#This Row],[IRL]]</f>
        <v>0</v>
      </c>
      <c r="M4" s="21">
        <v>9</v>
      </c>
      <c r="N4" s="21">
        <f>Tabla14[[#This Row],[LoCode]]/Tabla14[[#This Row],[NoFunctions]]</f>
        <v>19</v>
      </c>
      <c r="O4" s="23">
        <v>0.63</v>
      </c>
      <c r="P4" s="23">
        <f>SUM(Tabla14[[#This Row],[CC]:[IDC]]) - Tabla14[[#This Row],[IRC]]</f>
        <v>28.63</v>
      </c>
      <c r="Q4" s="21" t="str">
        <f t="shared" ref="Q4:Q25" si="1">IF(P4 &lt; $G$51, "Alto", IF(P4 &lt; $G$53, "Medio", "Bajo"))</f>
        <v>Medio</v>
      </c>
      <c r="R4" s="23">
        <f>1 - ((Tabla14[[#This Row],[TPFM]]- $N$52) / ($N$51 - $N$52))</f>
        <v>0.62411347517730498</v>
      </c>
      <c r="S4" s="23">
        <v>0.19</v>
      </c>
      <c r="T4" s="23">
        <v>0.11</v>
      </c>
      <c r="U4" s="23">
        <f>SUM(Tabla14[[#This Row],[IPTFM]:[Comentarios2]]) / 3</f>
        <v>0.30803782505910166</v>
      </c>
      <c r="V4" s="21">
        <f>Tabla14[[#This Row],[CC]]/10</f>
        <v>0.9</v>
      </c>
      <c r="W4" s="23">
        <f xml:space="preserve"> (Tabla14[[#This Row],[ICLC]] + (1 - Tabla14[[#This Row],[ICC]])) / 2</f>
        <v>0.20401891252955082</v>
      </c>
      <c r="X4" s="21" t="str">
        <f t="shared" ref="X4:X48" si="2">IF(W4 &lt; $W$51, "Bajo", IF(W4 &lt; $W$53, "Medio", "Alto"))</f>
        <v>Medio</v>
      </c>
      <c r="Y4" s="21"/>
      <c r="Z4" s="80" t="str">
        <f t="shared" si="0"/>
        <v>Bajo</v>
      </c>
      <c r="AA4" s="23">
        <f>Tabla14[[#This Row],[Valor general]]-Tabla14[[#This Row],[Valor general2]]-Tabla14[[#This Row],[INN]]</f>
        <v>28.425981087470447</v>
      </c>
      <c r="AB4" s="21" t="str">
        <f>IF(Tabla14[[#This Row],[Valor general de PC]]&lt; $AA$51, "Alto", IF(Tabla14[[#This Row],[Valor general de PC]]&lt; $AA$53, "Medio", "Bajo"))</f>
        <v>Medio</v>
      </c>
    </row>
    <row r="5" spans="1:28" ht="15.75" x14ac:dyDescent="0.25">
      <c r="A5" s="31">
        <v>2016220461</v>
      </c>
      <c r="B5" s="31"/>
      <c r="C5" s="31"/>
      <c r="D5" s="31"/>
      <c r="E5" s="32" t="s">
        <v>44</v>
      </c>
      <c r="F5" s="32" t="s">
        <v>94</v>
      </c>
      <c r="G5" s="32">
        <v>23</v>
      </c>
      <c r="H5" s="32">
        <v>0</v>
      </c>
      <c r="I5" s="32">
        <v>1</v>
      </c>
      <c r="J5" s="32">
        <v>0</v>
      </c>
      <c r="K5" s="32">
        <v>0</v>
      </c>
      <c r="L5" s="33">
        <f>Tabla14[[#This Row],[ERL]]+Tabla14[[#This Row],[IRL]]</f>
        <v>0</v>
      </c>
      <c r="M5" s="32">
        <v>6</v>
      </c>
      <c r="N5" s="32">
        <f>Tabla14[[#This Row],[LoCode]]/Tabla14[[#This Row],[NoFunctions]]</f>
        <v>23</v>
      </c>
      <c r="O5" s="33">
        <v>0.74</v>
      </c>
      <c r="P5" s="33">
        <f>SUM(Tabla14[[#This Row],[CC]:[IDC]]) - Tabla14[[#This Row],[IRC]]</f>
        <v>29.74</v>
      </c>
      <c r="Q5" s="32" t="str">
        <f t="shared" si="1"/>
        <v>Medio</v>
      </c>
      <c r="R5" s="33">
        <f>1 - ((Tabla14[[#This Row],[TPFM]]- $N$52) / ($N$51 - $N$52))</f>
        <v>0.5106382978723405</v>
      </c>
      <c r="S5" s="33">
        <v>0.04</v>
      </c>
      <c r="T5" s="33">
        <v>0</v>
      </c>
      <c r="U5" s="33">
        <f>SUM(Tabla14[[#This Row],[IPTFM]:[Comentarios2]]) / 3</f>
        <v>0.18354609929078017</v>
      </c>
      <c r="V5" s="32">
        <f>Tabla14[[#This Row],[CC]]/10</f>
        <v>0.6</v>
      </c>
      <c r="W5" s="33">
        <f xml:space="preserve"> (Tabla14[[#This Row],[ICLC]] + (1 - Tabla14[[#This Row],[ICC]])) / 2</f>
        <v>0.29177304964539008</v>
      </c>
      <c r="X5" s="32" t="str">
        <f t="shared" si="2"/>
        <v>Medio</v>
      </c>
      <c r="Y5" s="32">
        <v>1</v>
      </c>
      <c r="Z5" s="80" t="str">
        <f t="shared" si="0"/>
        <v>Alto</v>
      </c>
      <c r="AA5" s="33">
        <f>Tabla14[[#This Row],[Valor general]]-Tabla14[[#This Row],[Valor general2]]-Tabla14[[#This Row],[INN]]</f>
        <v>28.448226950354609</v>
      </c>
      <c r="AB5" s="32" t="str">
        <f>IF(Tabla14[[#This Row],[Valor general de PC]]&lt; $AA$51, "Alto", IF(Tabla14[[#This Row],[Valor general de PC]]&lt; $AA$53, "Medio", "Bajo"))</f>
        <v>Medio</v>
      </c>
    </row>
    <row r="6" spans="1:28" ht="15.75" x14ac:dyDescent="0.25">
      <c r="A6" s="45">
        <v>2020184824</v>
      </c>
      <c r="B6" s="45"/>
      <c r="C6" s="45"/>
      <c r="D6" s="45"/>
      <c r="E6" s="46" t="s">
        <v>44</v>
      </c>
      <c r="F6" s="46" t="s">
        <v>95</v>
      </c>
      <c r="G6" s="46">
        <v>8</v>
      </c>
      <c r="H6" s="46">
        <v>1</v>
      </c>
      <c r="I6" s="46">
        <v>1</v>
      </c>
      <c r="J6" s="46">
        <v>0</v>
      </c>
      <c r="K6" s="46">
        <v>0</v>
      </c>
      <c r="L6" s="47">
        <f>Tabla14[[#This Row],[ERL]]+Tabla14[[#This Row],[IRL]]</f>
        <v>0</v>
      </c>
      <c r="M6" s="46">
        <v>4</v>
      </c>
      <c r="N6" s="46">
        <f>Tabla14[[#This Row],[LoCode]]/Tabla14[[#This Row],[NoFunctions]]</f>
        <v>8</v>
      </c>
      <c r="O6" s="47">
        <v>0.71</v>
      </c>
      <c r="P6" s="47">
        <f>SUM(Tabla14[[#This Row],[CC]:[IDC]]) - Tabla14[[#This Row],[IRC]]</f>
        <v>12.71</v>
      </c>
      <c r="Q6" s="46" t="str">
        <f t="shared" si="1"/>
        <v>Alto</v>
      </c>
      <c r="R6" s="47">
        <f>1 - ((Tabla14[[#This Row],[TPFM]]- $N$52) / ($N$51 - $N$52))</f>
        <v>0.93617021276595747</v>
      </c>
      <c r="S6" s="47">
        <v>0.08</v>
      </c>
      <c r="T6" s="47">
        <v>0.09</v>
      </c>
      <c r="U6" s="47">
        <f>SUM(Tabla14[[#This Row],[IPTFM]:[Comentarios2]]) / 3</f>
        <v>0.36872340425531919</v>
      </c>
      <c r="V6" s="46">
        <f>Tabla14[[#This Row],[CC]]/10</f>
        <v>0.4</v>
      </c>
      <c r="W6" s="47">
        <f xml:space="preserve"> (Tabla14[[#This Row],[ICLC]] + (1 - Tabla14[[#This Row],[ICC]])) / 2</f>
        <v>0.48436170212765961</v>
      </c>
      <c r="X6" s="46" t="str">
        <f t="shared" si="2"/>
        <v>Alto</v>
      </c>
      <c r="Y6" s="46">
        <v>1</v>
      </c>
      <c r="Z6" s="80" t="str">
        <f t="shared" si="0"/>
        <v>Alto</v>
      </c>
      <c r="AA6" s="47">
        <f>Tabla14[[#This Row],[Valor general]]-Tabla14[[#This Row],[Valor general2]]-Tabla14[[#This Row],[INN]]</f>
        <v>11.225638297872342</v>
      </c>
      <c r="AB6" s="46" t="str">
        <f>IF(Tabla14[[#This Row],[Valor general de PC]]&lt; $AA$51, "Alto", IF(Tabla14[[#This Row],[Valor general de PC]]&lt; $AA$53, "Medio", "Bajo"))</f>
        <v>Alto</v>
      </c>
    </row>
    <row r="7" spans="1:28" ht="15.75" x14ac:dyDescent="0.25">
      <c r="A7" s="45">
        <v>2022000033</v>
      </c>
      <c r="B7" s="45"/>
      <c r="C7" s="45"/>
      <c r="D7" s="45"/>
      <c r="E7" s="46" t="s">
        <v>44</v>
      </c>
      <c r="F7" s="48" t="s">
        <v>96</v>
      </c>
      <c r="G7" s="46">
        <v>25</v>
      </c>
      <c r="H7" s="46">
        <v>3</v>
      </c>
      <c r="I7" s="46">
        <v>1</v>
      </c>
      <c r="J7" s="46">
        <v>0</v>
      </c>
      <c r="K7" s="46">
        <v>0</v>
      </c>
      <c r="L7" s="47">
        <f>Tabla14[[#This Row],[ERL]]+Tabla14[[#This Row],[IRL]]</f>
        <v>0</v>
      </c>
      <c r="M7" s="46">
        <v>7</v>
      </c>
      <c r="N7" s="46">
        <f>Tabla14[[#This Row],[LoCode]]/Tabla14[[#This Row],[NoFunctions]]</f>
        <v>25</v>
      </c>
      <c r="O7" s="47">
        <v>0.72</v>
      </c>
      <c r="P7" s="47">
        <f>SUM(Tabla14[[#This Row],[CC]:[IDC]]) - Tabla14[[#This Row],[IRC]]</f>
        <v>32.72</v>
      </c>
      <c r="Q7" s="46" t="str">
        <f t="shared" si="1"/>
        <v>Medio</v>
      </c>
      <c r="R7" s="47">
        <f>1 - ((Tabla14[[#This Row],[TPFM]]- $N$52) / ($N$51 - $N$52))</f>
        <v>0.45390070921985815</v>
      </c>
      <c r="S7" s="47">
        <v>0.08</v>
      </c>
      <c r="T7" s="47">
        <v>0.03</v>
      </c>
      <c r="U7" s="47">
        <f>SUM(Tabla14[[#This Row],[IPTFM]:[Comentarios2]]) / 3</f>
        <v>0.18796690307328603</v>
      </c>
      <c r="V7" s="46">
        <f>Tabla14[[#This Row],[CC]]/10</f>
        <v>0.7</v>
      </c>
      <c r="W7" s="47">
        <f xml:space="preserve"> (Tabla14[[#This Row],[ICLC]] + (1 - Tabla14[[#This Row],[ICC]])) / 2</f>
        <v>0.24398345153664303</v>
      </c>
      <c r="X7" s="46" t="str">
        <f t="shared" si="2"/>
        <v>Medio</v>
      </c>
      <c r="Y7" s="46"/>
      <c r="Z7" s="80" t="str">
        <f t="shared" si="0"/>
        <v>Bajo</v>
      </c>
      <c r="AA7" s="47">
        <f>Tabla14[[#This Row],[Valor general]]-Tabla14[[#This Row],[Valor general2]]-Tabla14[[#This Row],[INN]]</f>
        <v>32.476016548463356</v>
      </c>
      <c r="AB7" s="46" t="str">
        <f>IF(Tabla14[[#This Row],[Valor general de PC]]&lt; $AA$51, "Alto", IF(Tabla14[[#This Row],[Valor general de PC]]&lt; $AA$53, "Medio", "Bajo"))</f>
        <v>Medio</v>
      </c>
    </row>
    <row r="8" spans="1:28" ht="15.75" x14ac:dyDescent="0.25">
      <c r="A8" s="45">
        <v>2022146515</v>
      </c>
      <c r="B8" s="45"/>
      <c r="C8" s="45"/>
      <c r="D8" s="45"/>
      <c r="E8" s="46" t="s">
        <v>44</v>
      </c>
      <c r="F8" s="46" t="s">
        <v>97</v>
      </c>
      <c r="G8" s="46">
        <v>29</v>
      </c>
      <c r="H8" s="46">
        <v>4</v>
      </c>
      <c r="I8" s="46">
        <v>1</v>
      </c>
      <c r="J8" s="46">
        <v>0</v>
      </c>
      <c r="K8" s="46">
        <v>0</v>
      </c>
      <c r="L8" s="47">
        <f>Tabla14[[#This Row],[ERL]]+Tabla14[[#This Row],[IRL]]</f>
        <v>0</v>
      </c>
      <c r="M8" s="46">
        <v>7</v>
      </c>
      <c r="N8" s="46">
        <f>Tabla14[[#This Row],[LoCode]]/Tabla14[[#This Row],[NoFunctions]]</f>
        <v>29</v>
      </c>
      <c r="O8" s="47">
        <v>0.76</v>
      </c>
      <c r="P8" s="47">
        <f>SUM(Tabla14[[#This Row],[CC]:[IDC]]) - Tabla14[[#This Row],[IRC]]</f>
        <v>36.76</v>
      </c>
      <c r="Q8" s="46" t="str">
        <f t="shared" si="1"/>
        <v>Medio</v>
      </c>
      <c r="R8" s="47">
        <f>1 - ((Tabla14[[#This Row],[TPFM]]- $N$52) / ($N$51 - $N$52))</f>
        <v>0.34042553191489366</v>
      </c>
      <c r="S8" s="47">
        <v>0.06</v>
      </c>
      <c r="T8" s="47">
        <v>0.08</v>
      </c>
      <c r="U8" s="47">
        <f>SUM(Tabla14[[#This Row],[IPTFM]:[Comentarios2]]) / 3</f>
        <v>0.16014184397163123</v>
      </c>
      <c r="V8" s="46">
        <f>Tabla14[[#This Row],[CC]]/10</f>
        <v>0.7</v>
      </c>
      <c r="W8" s="47">
        <f xml:space="preserve"> (Tabla14[[#This Row],[ICLC]] + (1 - Tabla14[[#This Row],[ICC]])) / 2</f>
        <v>0.23007092198581564</v>
      </c>
      <c r="X8" s="46" t="str">
        <f t="shared" si="2"/>
        <v>Medio</v>
      </c>
      <c r="Y8" s="46"/>
      <c r="Z8" s="80" t="str">
        <f t="shared" si="0"/>
        <v>Bajo</v>
      </c>
      <c r="AA8" s="47">
        <f>Tabla14[[#This Row],[Valor general]]-Tabla14[[#This Row],[Valor general2]]-Tabla14[[#This Row],[INN]]</f>
        <v>36.529929078014185</v>
      </c>
      <c r="AB8" s="46" t="str">
        <f>IF(Tabla14[[#This Row],[Valor general de PC]]&lt; $AA$51, "Alto", IF(Tabla14[[#This Row],[Valor general de PC]]&lt; $AA$53, "Medio", "Bajo"))</f>
        <v>Medio</v>
      </c>
    </row>
    <row r="9" spans="1:28" ht="15.75" x14ac:dyDescent="0.25">
      <c r="A9" s="31">
        <v>2022163260</v>
      </c>
      <c r="B9" s="31"/>
      <c r="C9" s="31"/>
      <c r="D9" s="31"/>
      <c r="E9" s="32" t="s">
        <v>42</v>
      </c>
      <c r="F9" s="32" t="s">
        <v>98</v>
      </c>
      <c r="G9" s="32">
        <v>32</v>
      </c>
      <c r="H9" s="32">
        <v>0</v>
      </c>
      <c r="I9" s="32">
        <v>1</v>
      </c>
      <c r="J9" s="32">
        <v>0</v>
      </c>
      <c r="K9" s="32">
        <v>0</v>
      </c>
      <c r="L9" s="33">
        <f>Tabla14[[#This Row],[ERL]]+Tabla14[[#This Row],[IRL]]</f>
        <v>0</v>
      </c>
      <c r="M9" s="32">
        <v>12</v>
      </c>
      <c r="N9" s="32">
        <f>Tabla14[[#This Row],[LoCode]]/Tabla14[[#This Row],[NoFunctions]]</f>
        <v>32</v>
      </c>
      <c r="O9" s="33">
        <v>0.77</v>
      </c>
      <c r="P9" s="33">
        <f>SUM(Tabla14[[#This Row],[CC]:[IDC]]) - Tabla14[[#This Row],[IRC]]</f>
        <v>44.77</v>
      </c>
      <c r="Q9" s="32" t="str">
        <f t="shared" si="1"/>
        <v>Bajo</v>
      </c>
      <c r="R9" s="33">
        <f>1 - ((Tabla14[[#This Row],[TPFM]]- $N$52) / ($N$51 - $N$52))</f>
        <v>0.25531914893617025</v>
      </c>
      <c r="S9" s="33">
        <v>0.09</v>
      </c>
      <c r="T9" s="33">
        <v>0</v>
      </c>
      <c r="U9" s="33">
        <f>SUM(Tabla14[[#This Row],[IPTFM]:[Comentarios2]]) / 3</f>
        <v>0.1151063829787234</v>
      </c>
      <c r="V9" s="32">
        <f>Tabla14[[#This Row],[CC]]/10</f>
        <v>1.2</v>
      </c>
      <c r="W9" s="33">
        <f xml:space="preserve"> (Tabla14[[#This Row],[ICLC]] + (1 - Tabla14[[#This Row],[ICC]])) / 2</f>
        <v>-4.2446808510638277E-2</v>
      </c>
      <c r="X9" s="32" t="str">
        <f t="shared" si="2"/>
        <v>Bajo</v>
      </c>
      <c r="Y9" s="32">
        <v>1</v>
      </c>
      <c r="Z9" s="80" t="str">
        <f t="shared" si="0"/>
        <v>Alto</v>
      </c>
      <c r="AA9" s="33">
        <f>Tabla14[[#This Row],[Valor general]]-Tabla14[[#This Row],[Valor general2]]-Tabla14[[#This Row],[INN]]</f>
        <v>43.812446808510643</v>
      </c>
      <c r="AB9" s="32" t="str">
        <f>IF(Tabla14[[#This Row],[Valor general de PC]]&lt; $AA$51, "Alto", IF(Tabla14[[#This Row],[Valor general de PC]]&lt; $AA$53, "Medio", "Bajo"))</f>
        <v>Bajo</v>
      </c>
    </row>
    <row r="10" spans="1:28" ht="15.75" x14ac:dyDescent="0.25">
      <c r="A10" s="20">
        <v>2023066681</v>
      </c>
      <c r="B10" s="20"/>
      <c r="C10" s="20"/>
      <c r="D10" s="20"/>
      <c r="E10" s="21" t="s">
        <v>44</v>
      </c>
      <c r="F10" s="21" t="s">
        <v>94</v>
      </c>
      <c r="G10" s="21">
        <v>31</v>
      </c>
      <c r="H10" s="21">
        <v>0</v>
      </c>
      <c r="I10" s="21">
        <v>1</v>
      </c>
      <c r="J10" s="21">
        <v>0</v>
      </c>
      <c r="K10" s="21">
        <v>0</v>
      </c>
      <c r="L10" s="23">
        <f>Tabla14[[#This Row],[ERL]]+Tabla14[[#This Row],[IRL]]</f>
        <v>0</v>
      </c>
      <c r="M10" s="21">
        <v>8</v>
      </c>
      <c r="N10" s="21">
        <f>Tabla14[[#This Row],[LoCode]]/Tabla14[[#This Row],[NoFunctions]]</f>
        <v>31</v>
      </c>
      <c r="O10" s="23">
        <v>0.71</v>
      </c>
      <c r="P10" s="23">
        <f>SUM(Tabla14[[#This Row],[CC]:[IDC]]) - Tabla14[[#This Row],[IRC]]</f>
        <v>39.71</v>
      </c>
      <c r="Q10" s="21" t="str">
        <f t="shared" si="1"/>
        <v>Medio</v>
      </c>
      <c r="R10" s="23">
        <f>1 - ((Tabla14[[#This Row],[TPFM]]- $N$52) / ($N$51 - $N$52))</f>
        <v>0.28368794326241131</v>
      </c>
      <c r="S10" s="23">
        <v>0.04</v>
      </c>
      <c r="T10" s="23">
        <v>0</v>
      </c>
      <c r="U10" s="23">
        <f>SUM(Tabla14[[#This Row],[IPTFM]:[Comentarios2]]) / 3</f>
        <v>0.10789598108747044</v>
      </c>
      <c r="V10" s="21">
        <f>Tabla14[[#This Row],[CC]]/10</f>
        <v>0.8</v>
      </c>
      <c r="W10" s="23">
        <f xml:space="preserve"> (Tabla14[[#This Row],[ICLC]] + (1 - Tabla14[[#This Row],[ICC]])) / 2</f>
        <v>0.1539479905437352</v>
      </c>
      <c r="X10" s="21" t="str">
        <f t="shared" si="2"/>
        <v>Medio</v>
      </c>
      <c r="Y10" s="21">
        <v>1</v>
      </c>
      <c r="Z10" s="80" t="str">
        <f t="shared" si="0"/>
        <v>Alto</v>
      </c>
      <c r="AA10" s="23">
        <f>Tabla14[[#This Row],[Valor general]]-Tabla14[[#This Row],[Valor general2]]-Tabla14[[#This Row],[INN]]</f>
        <v>38.556052009456266</v>
      </c>
      <c r="AB10" s="21" t="str">
        <f>IF(Tabla14[[#This Row],[Valor general de PC]]&lt; $AA$51, "Alto", IF(Tabla14[[#This Row],[Valor general de PC]]&lt; $AA$53, "Medio", "Bajo"))</f>
        <v>Medio</v>
      </c>
    </row>
    <row r="11" spans="1:28" ht="15.75" x14ac:dyDescent="0.25">
      <c r="A11" s="45">
        <v>2023112646</v>
      </c>
      <c r="B11" s="45"/>
      <c r="C11" s="45"/>
      <c r="D11" s="45"/>
      <c r="E11" s="46" t="s">
        <v>42</v>
      </c>
      <c r="F11" s="46" t="s">
        <v>93</v>
      </c>
      <c r="G11" s="46">
        <v>25</v>
      </c>
      <c r="H11" s="46">
        <v>0</v>
      </c>
      <c r="I11" s="46">
        <v>1</v>
      </c>
      <c r="J11" s="46">
        <v>0</v>
      </c>
      <c r="K11" s="46">
        <v>0</v>
      </c>
      <c r="L11" s="47">
        <f>Tabla14[[#This Row],[ERL]]+Tabla14[[#This Row],[IRL]]</f>
        <v>0</v>
      </c>
      <c r="M11" s="46">
        <v>10</v>
      </c>
      <c r="N11" s="46">
        <f>Tabla14[[#This Row],[LoCode]]/Tabla14[[#This Row],[NoFunctions]]</f>
        <v>25</v>
      </c>
      <c r="O11" s="47">
        <v>0.21</v>
      </c>
      <c r="P11" s="47">
        <f>SUM(Tabla14[[#This Row],[CC]:[IDC]]) - Tabla14[[#This Row],[IRC]]</f>
        <v>35.21</v>
      </c>
      <c r="Q11" s="46" t="str">
        <f t="shared" si="1"/>
        <v>Medio</v>
      </c>
      <c r="R11" s="47">
        <f>1 - ((Tabla14[[#This Row],[TPFM]]- $N$52) / ($N$51 - $N$52))</f>
        <v>0.45390070921985815</v>
      </c>
      <c r="S11" s="47">
        <v>0.09</v>
      </c>
      <c r="T11" s="47">
        <v>0.03</v>
      </c>
      <c r="U11" s="47">
        <f>SUM(Tabla14[[#This Row],[IPTFM]:[Comentarios2]]) / 3</f>
        <v>0.19130023640661939</v>
      </c>
      <c r="V11" s="46">
        <f>Tabla14[[#This Row],[CC]]/10</f>
        <v>1</v>
      </c>
      <c r="W11" s="47">
        <f xml:space="preserve"> (Tabla14[[#This Row],[ICLC]] + (1 - Tabla14[[#This Row],[ICC]])) / 2</f>
        <v>9.5650118203309695E-2</v>
      </c>
      <c r="X11" s="46" t="str">
        <f t="shared" si="2"/>
        <v>Medio</v>
      </c>
      <c r="Y11" s="46"/>
      <c r="Z11" s="80" t="str">
        <f t="shared" si="0"/>
        <v>Bajo</v>
      </c>
      <c r="AA11" s="47">
        <f>Tabla14[[#This Row],[Valor general]]-Tabla14[[#This Row],[Valor general2]]-Tabla14[[#This Row],[INN]]</f>
        <v>35.114349881796691</v>
      </c>
      <c r="AB11" s="46" t="str">
        <f>IF(Tabla14[[#This Row],[Valor general de PC]]&lt; $AA$51, "Alto", IF(Tabla14[[#This Row],[Valor general de PC]]&lt; $AA$53, "Medio", "Bajo"))</f>
        <v>Medio</v>
      </c>
    </row>
    <row r="12" spans="1:28" ht="15.75" x14ac:dyDescent="0.25">
      <c r="A12" s="20">
        <v>2023147244</v>
      </c>
      <c r="B12" s="20"/>
      <c r="C12" s="20"/>
      <c r="D12" s="20"/>
      <c r="E12" s="21" t="s">
        <v>44</v>
      </c>
      <c r="F12" s="22" t="s">
        <v>99</v>
      </c>
      <c r="G12" s="21">
        <v>21</v>
      </c>
      <c r="H12" s="21">
        <v>1</v>
      </c>
      <c r="I12" s="21">
        <v>1</v>
      </c>
      <c r="J12" s="21">
        <v>0</v>
      </c>
      <c r="K12" s="21">
        <v>0</v>
      </c>
      <c r="L12" s="23">
        <f>Tabla14[[#This Row],[ERL]]+Tabla14[[#This Row],[IRL]]</f>
        <v>0</v>
      </c>
      <c r="M12" s="21">
        <v>10</v>
      </c>
      <c r="N12" s="21">
        <f>Tabla14[[#This Row],[LoCode]]/Tabla14[[#This Row],[NoFunctions]]</f>
        <v>21</v>
      </c>
      <c r="O12" s="23">
        <v>0.38</v>
      </c>
      <c r="P12" s="23">
        <f>SUM(Tabla14[[#This Row],[CC]:[IDC]]) - Tabla14[[#This Row],[IRC]]</f>
        <v>31.38</v>
      </c>
      <c r="Q12" s="21" t="str">
        <f t="shared" si="1"/>
        <v>Medio</v>
      </c>
      <c r="R12" s="23">
        <f>1 - ((Tabla14[[#This Row],[TPFM]]- $N$52) / ($N$51 - $N$52))</f>
        <v>0.56737588652482263</v>
      </c>
      <c r="S12" s="23">
        <v>0.09</v>
      </c>
      <c r="T12" s="23">
        <v>0.06</v>
      </c>
      <c r="U12" s="23">
        <f>SUM(Tabla14[[#This Row],[IPTFM]:[Comentarios2]]) / 3</f>
        <v>0.23912529550827419</v>
      </c>
      <c r="V12" s="21">
        <f>Tabla14[[#This Row],[CC]]/10</f>
        <v>1</v>
      </c>
      <c r="W12" s="23">
        <f xml:space="preserve"> (Tabla14[[#This Row],[ICLC]] + (1 - Tabla14[[#This Row],[ICC]])) / 2</f>
        <v>0.11956264775413709</v>
      </c>
      <c r="X12" s="21" t="str">
        <f t="shared" si="2"/>
        <v>Medio</v>
      </c>
      <c r="Y12" s="21">
        <v>1</v>
      </c>
      <c r="Z12" s="80" t="str">
        <f t="shared" si="0"/>
        <v>Alto</v>
      </c>
      <c r="AA12" s="23">
        <f>Tabla14[[#This Row],[Valor general]]-Tabla14[[#This Row],[Valor general2]]-Tabla14[[#This Row],[INN]]</f>
        <v>30.260437352245862</v>
      </c>
      <c r="AB12" s="21" t="str">
        <f>IF(Tabla14[[#This Row],[Valor general de PC]]&lt; $AA$51, "Alto", IF(Tabla14[[#This Row],[Valor general de PC]]&lt; $AA$53, "Medio", "Bajo"))</f>
        <v>Medio</v>
      </c>
    </row>
    <row r="13" spans="1:28" ht="15.75" x14ac:dyDescent="0.25">
      <c r="A13" s="45">
        <v>2023152721</v>
      </c>
      <c r="B13" s="45"/>
      <c r="C13" s="45"/>
      <c r="D13" s="45"/>
      <c r="E13" s="46" t="s">
        <v>44</v>
      </c>
      <c r="F13" s="46" t="s">
        <v>96</v>
      </c>
      <c r="G13" s="46">
        <v>22</v>
      </c>
      <c r="H13" s="46">
        <v>0</v>
      </c>
      <c r="I13" s="46">
        <v>1</v>
      </c>
      <c r="J13" s="46">
        <v>0</v>
      </c>
      <c r="K13" s="46">
        <v>0</v>
      </c>
      <c r="L13" s="47">
        <f>Tabla14[[#This Row],[ERL]]+Tabla14[[#This Row],[IRL]]</f>
        <v>0</v>
      </c>
      <c r="M13" s="46">
        <v>7</v>
      </c>
      <c r="N13" s="46">
        <f>Tabla14[[#This Row],[LoCode]]/Tabla14[[#This Row],[NoFunctions]]</f>
        <v>22</v>
      </c>
      <c r="O13" s="47">
        <v>0.72</v>
      </c>
      <c r="P13" s="47">
        <f>SUM(Tabla14[[#This Row],[CC]:[IDC]]) - Tabla14[[#This Row],[IRC]]</f>
        <v>29.72</v>
      </c>
      <c r="Q13" s="46" t="str">
        <f t="shared" si="1"/>
        <v>Medio</v>
      </c>
      <c r="R13" s="47">
        <f>1 - ((Tabla14[[#This Row],[TPFM]]- $N$52) / ($N$51 - $N$52))</f>
        <v>0.53900709219858156</v>
      </c>
      <c r="S13" s="47">
        <v>7.0000000000000007E-2</v>
      </c>
      <c r="T13" s="47">
        <v>0</v>
      </c>
      <c r="U13" s="47">
        <f>SUM(Tabla14[[#This Row],[IPTFM]:[Comentarios2]]) / 3</f>
        <v>0.20300236406619385</v>
      </c>
      <c r="V13" s="46">
        <f>Tabla14[[#This Row],[CC]]/10</f>
        <v>0.7</v>
      </c>
      <c r="W13" s="47">
        <f xml:space="preserve"> (Tabla14[[#This Row],[ICLC]] + (1 - Tabla14[[#This Row],[ICC]])) / 2</f>
        <v>0.25150118203309696</v>
      </c>
      <c r="X13" s="46" t="str">
        <f t="shared" si="2"/>
        <v>Medio</v>
      </c>
      <c r="Y13" s="46"/>
      <c r="Z13" s="80" t="str">
        <f t="shared" si="0"/>
        <v>Bajo</v>
      </c>
      <c r="AA13" s="47">
        <f>Tabla14[[#This Row],[Valor general]]-Tabla14[[#This Row],[Valor general2]]-Tabla14[[#This Row],[INN]]</f>
        <v>29.468498817966903</v>
      </c>
      <c r="AB13" s="46" t="str">
        <f>IF(Tabla14[[#This Row],[Valor general de PC]]&lt; $AA$51, "Alto", IF(Tabla14[[#This Row],[Valor general de PC]]&lt; $AA$53, "Medio", "Bajo"))</f>
        <v>Medio</v>
      </c>
    </row>
    <row r="14" spans="1:28" ht="15.75" x14ac:dyDescent="0.25">
      <c r="A14" s="45">
        <v>2024063271</v>
      </c>
      <c r="B14" s="45"/>
      <c r="C14" s="45"/>
      <c r="D14" s="45"/>
      <c r="E14" s="46" t="s">
        <v>44</v>
      </c>
      <c r="F14" s="46" t="s">
        <v>100</v>
      </c>
      <c r="G14" s="46">
        <v>10</v>
      </c>
      <c r="H14" s="46">
        <v>1</v>
      </c>
      <c r="I14" s="46">
        <v>1</v>
      </c>
      <c r="J14" s="46">
        <v>0</v>
      </c>
      <c r="K14" s="46">
        <v>0</v>
      </c>
      <c r="L14" s="47">
        <f>Tabla14[[#This Row],[ERL]]+Tabla14[[#This Row],[IRL]]</f>
        <v>0</v>
      </c>
      <c r="M14" s="46">
        <v>4</v>
      </c>
      <c r="N14" s="46">
        <f>Tabla14[[#This Row],[LoCode]]/Tabla14[[#This Row],[NoFunctions]]</f>
        <v>10</v>
      </c>
      <c r="O14" s="47">
        <v>0.44</v>
      </c>
      <c r="P14" s="47">
        <f>SUM(Tabla14[[#This Row],[CC]:[IDC]]) - Tabla14[[#This Row],[IRC]]</f>
        <v>14.44</v>
      </c>
      <c r="Q14" s="46" t="str">
        <f t="shared" si="1"/>
        <v>Alto</v>
      </c>
      <c r="R14" s="47">
        <f>1 - ((Tabla14[[#This Row],[TPFM]]- $N$52) / ($N$51 - $N$52))</f>
        <v>0.87943262411347523</v>
      </c>
      <c r="S14" s="47"/>
      <c r="T14" s="47"/>
      <c r="U14" s="47">
        <f>SUM(Tabla14[[#This Row],[IPTFM]:[Comentarios2]]) / 3</f>
        <v>0.29314420803782509</v>
      </c>
      <c r="V14" s="46">
        <f>Tabla14[[#This Row],[CC]]/10</f>
        <v>0.4</v>
      </c>
      <c r="W14" s="47">
        <f xml:space="preserve"> (Tabla14[[#This Row],[ICLC]] + (1 - Tabla14[[#This Row],[ICC]])) / 2</f>
        <v>0.44657210401891256</v>
      </c>
      <c r="X14" s="46" t="str">
        <f t="shared" si="2"/>
        <v>Alto</v>
      </c>
      <c r="Y14" s="46"/>
      <c r="Z14" s="80" t="str">
        <f t="shared" si="0"/>
        <v>Bajo</v>
      </c>
      <c r="AA14" s="47">
        <f>Tabla14[[#This Row],[Valor general]]-Tabla14[[#This Row],[Valor general2]]-Tabla14[[#This Row],[INN]]</f>
        <v>13.993427895981087</v>
      </c>
      <c r="AB14" s="46" t="str">
        <f>IF(Tabla14[[#This Row],[Valor general de PC]]&lt; $AA$51, "Alto", IF(Tabla14[[#This Row],[Valor general de PC]]&lt; $AA$53, "Medio", "Bajo"))</f>
        <v>Alto</v>
      </c>
    </row>
    <row r="15" spans="1:28" ht="30" x14ac:dyDescent="0.25">
      <c r="A15" s="31">
        <v>2024066829</v>
      </c>
      <c r="B15" s="31"/>
      <c r="C15" s="31"/>
      <c r="D15" s="31"/>
      <c r="E15" s="32" t="s">
        <v>42</v>
      </c>
      <c r="F15" s="34" t="s">
        <v>101</v>
      </c>
      <c r="G15" s="32">
        <v>34</v>
      </c>
      <c r="H15" s="32">
        <v>0</v>
      </c>
      <c r="I15" s="32">
        <v>1</v>
      </c>
      <c r="J15" s="32">
        <v>0</v>
      </c>
      <c r="K15" s="32">
        <v>0</v>
      </c>
      <c r="L15" s="33">
        <f>Tabla14[[#This Row],[ERL]]+Tabla14[[#This Row],[IRL]]</f>
        <v>0</v>
      </c>
      <c r="M15" s="32">
        <v>12</v>
      </c>
      <c r="N15" s="32">
        <f>Tabla14[[#This Row],[LoCode]]/Tabla14[[#This Row],[NoFunctions]]</f>
        <v>34</v>
      </c>
      <c r="O15" s="33">
        <v>0.76</v>
      </c>
      <c r="P15" s="33">
        <f>SUM(Tabla14[[#This Row],[CC]:[IDC]]) - Tabla14[[#This Row],[IRC]]</f>
        <v>46.76</v>
      </c>
      <c r="Q15" s="32" t="str">
        <f t="shared" si="1"/>
        <v>Bajo</v>
      </c>
      <c r="R15" s="33">
        <f>1 - ((Tabla14[[#This Row],[TPFM]]- $N$52) / ($N$51 - $N$52))</f>
        <v>0.1985815602836879</v>
      </c>
      <c r="S15" s="33">
        <v>0.04</v>
      </c>
      <c r="T15" s="33">
        <v>0</v>
      </c>
      <c r="U15" s="33">
        <f>SUM(Tabla14[[#This Row],[IPTFM]:[Comentarios2]]) / 3</f>
        <v>7.9527186761229302E-2</v>
      </c>
      <c r="V15" s="32">
        <f>Tabla14[[#This Row],[CC]]/10</f>
        <v>1.2</v>
      </c>
      <c r="W15" s="33">
        <f xml:space="preserve"> (Tabla14[[#This Row],[ICLC]] + (1 - Tabla14[[#This Row],[ICC]])) / 2</f>
        <v>-6.0236406619385327E-2</v>
      </c>
      <c r="X15" s="32" t="str">
        <f t="shared" si="2"/>
        <v>Bajo</v>
      </c>
      <c r="Y15" s="32">
        <v>1</v>
      </c>
      <c r="Z15" s="80" t="str">
        <f t="shared" si="0"/>
        <v>Alto</v>
      </c>
      <c r="AA15" s="33">
        <f>Tabla14[[#This Row],[Valor general]]-Tabla14[[#This Row],[Valor general2]]-Tabla14[[#This Row],[INN]]</f>
        <v>45.820236406619387</v>
      </c>
      <c r="AB15" s="32" t="str">
        <f>IF(Tabla14[[#This Row],[Valor general de PC]]&lt; $AA$51, "Alto", IF(Tabla14[[#This Row],[Valor general de PC]]&lt; $AA$53, "Medio", "Bajo"))</f>
        <v>Bajo</v>
      </c>
    </row>
    <row r="16" spans="1:28" ht="15.75" hidden="1" x14ac:dyDescent="0.25">
      <c r="A16" s="45">
        <v>2024070969</v>
      </c>
      <c r="B16" s="45"/>
      <c r="C16" s="45"/>
      <c r="D16" s="45"/>
      <c r="E16" s="46"/>
      <c r="F16" s="46"/>
      <c r="G16" s="46"/>
      <c r="H16" s="46"/>
      <c r="I16" s="46"/>
      <c r="J16" s="46"/>
      <c r="K16" s="46"/>
      <c r="L16" s="47">
        <f>Tabla14[[#This Row],[ERL]]+Tabla14[[#This Row],[IRL]]</f>
        <v>0</v>
      </c>
      <c r="M16" s="46">
        <v>8</v>
      </c>
      <c r="N16" s="46" t="e">
        <f>Tabla14[[#This Row],[LoCode]]/Tabla14[[#This Row],[NoFunctions]]</f>
        <v>#DIV/0!</v>
      </c>
      <c r="O16" s="47">
        <v>0.35</v>
      </c>
      <c r="P16" s="47" t="e">
        <f>SUM(Tabla14[[#This Row],[CC]:[IDC]]) - Tabla14[[#This Row],[IRC]]</f>
        <v>#DIV/0!</v>
      </c>
      <c r="Q16" s="46" t="e">
        <f t="shared" si="1"/>
        <v>#DIV/0!</v>
      </c>
      <c r="R16" s="47" t="e">
        <f>1 - ((Tabla14[[#This Row],[TPFM]]- $N$52) / ($N$51 - $N$52))</f>
        <v>#DIV/0!</v>
      </c>
      <c r="S16" s="47"/>
      <c r="T16" s="47"/>
      <c r="U16" s="47" t="e">
        <f>SUM(Tabla14[[#This Row],[IPTFM]:[Comentarios2]]) / 3</f>
        <v>#DIV/0!</v>
      </c>
      <c r="V16" s="46">
        <f>Tabla14[[#This Row],[CC]]/10</f>
        <v>0.8</v>
      </c>
      <c r="W16" s="47" t="e">
        <f xml:space="preserve"> (Tabla14[[#This Row],[ICLC]] + (1 - Tabla14[[#This Row],[ICC]])) / 2</f>
        <v>#DIV/0!</v>
      </c>
      <c r="X16" s="16" t="e">
        <f t="shared" si="2"/>
        <v>#DIV/0!</v>
      </c>
      <c r="Y16" s="46"/>
      <c r="Z16" s="80" t="str">
        <f t="shared" si="0"/>
        <v>Bajo</v>
      </c>
      <c r="AA16" s="47" t="e">
        <f>Tabla14[[#This Row],[Valor general]]-Tabla14[[#This Row],[Valor general2]]-Tabla14[[#This Row],[INN]]</f>
        <v>#DIV/0!</v>
      </c>
      <c r="AB16" s="46" t="e">
        <f>IF(Tabla14[[#This Row],[Valor general de PC]]&lt; $AA$51, "Alto", IF(Tabla14[[#This Row],[Valor general de PC]]&lt; $AA$53, "Medio", "Bajo"))</f>
        <v>#DIV/0!</v>
      </c>
    </row>
    <row r="17" spans="1:28" ht="15.75" x14ac:dyDescent="0.25">
      <c r="A17" s="45">
        <v>2024071983</v>
      </c>
      <c r="B17" s="45"/>
      <c r="C17" s="45"/>
      <c r="D17" s="45"/>
      <c r="E17" s="46" t="s">
        <v>42</v>
      </c>
      <c r="F17" s="46" t="s">
        <v>102</v>
      </c>
      <c r="G17" s="46">
        <v>39</v>
      </c>
      <c r="H17" s="46">
        <v>0</v>
      </c>
      <c r="I17" s="46">
        <v>2</v>
      </c>
      <c r="J17" s="46">
        <f>(3/Tabla14[[#This Row],[LoCode]])</f>
        <v>7.6923076923076927E-2</v>
      </c>
      <c r="K17" s="46">
        <v>0</v>
      </c>
      <c r="L17" s="47">
        <f>Tabla14[[#This Row],[ERL]]+Tabla14[[#This Row],[IRL]]</f>
        <v>7.6923076923076927E-2</v>
      </c>
      <c r="M17" s="46">
        <v>7</v>
      </c>
      <c r="N17" s="46">
        <f>Tabla14[[#This Row],[LoCode]]/Tabla14[[#This Row],[NoFunctions]]</f>
        <v>19.5</v>
      </c>
      <c r="O17" s="47">
        <v>0.36</v>
      </c>
      <c r="P17" s="47">
        <f>SUM(Tabla14[[#This Row],[CC]:[IDC]]) - Tabla14[[#This Row],[IRC]]</f>
        <v>26.783076923076923</v>
      </c>
      <c r="Q17" s="46" t="str">
        <f t="shared" si="1"/>
        <v>Medio</v>
      </c>
      <c r="R17" s="47">
        <f>1 - ((Tabla14[[#This Row],[TPFM]]- $N$52) / ($N$51 - $N$52))</f>
        <v>0.60992907801418439</v>
      </c>
      <c r="S17" s="47">
        <v>7.0000000000000007E-2</v>
      </c>
      <c r="T17" s="47">
        <v>0</v>
      </c>
      <c r="U17" s="47">
        <f>SUM(Tabla14[[#This Row],[IPTFM]:[Comentarios2]]) / 3</f>
        <v>0.22664302600472816</v>
      </c>
      <c r="V17" s="46">
        <f>Tabla14[[#This Row],[CC]]/10</f>
        <v>0.7</v>
      </c>
      <c r="W17" s="47">
        <f xml:space="preserve"> (Tabla14[[#This Row],[ICLC]] + (1 - Tabla14[[#This Row],[ICC]])) / 2</f>
        <v>0.26332151300236412</v>
      </c>
      <c r="X17" s="46" t="str">
        <f t="shared" si="2"/>
        <v>Medio</v>
      </c>
      <c r="Y17" s="46"/>
      <c r="Z17" s="80" t="str">
        <f t="shared" si="0"/>
        <v>Bajo</v>
      </c>
      <c r="AA17" s="47">
        <f>Tabla14[[#This Row],[Valor general]]-Tabla14[[#This Row],[Valor general2]]-Tabla14[[#This Row],[INN]]</f>
        <v>26.519755410074559</v>
      </c>
      <c r="AB17" s="46" t="str">
        <f>IF(Tabla14[[#This Row],[Valor general de PC]]&lt; $AA$51, "Alto", IF(Tabla14[[#This Row],[Valor general de PC]]&lt; $AA$53, "Medio", "Bajo"))</f>
        <v>Medio</v>
      </c>
    </row>
    <row r="18" spans="1:28" ht="30" x14ac:dyDescent="0.25">
      <c r="A18" s="20">
        <v>2024082949</v>
      </c>
      <c r="B18" s="20"/>
      <c r="C18" s="20"/>
      <c r="D18" s="20"/>
      <c r="E18" s="21" t="s">
        <v>46</v>
      </c>
      <c r="F18" s="22" t="s">
        <v>103</v>
      </c>
      <c r="G18" s="21">
        <v>25</v>
      </c>
      <c r="H18" s="21">
        <v>2</v>
      </c>
      <c r="I18" s="21">
        <v>3</v>
      </c>
      <c r="J18" s="21">
        <v>0</v>
      </c>
      <c r="K18" s="21">
        <v>0</v>
      </c>
      <c r="L18" s="23">
        <f>Tabla14[[#This Row],[ERL]]+Tabla14[[#This Row],[IRL]]</f>
        <v>0</v>
      </c>
      <c r="M18" s="21">
        <v>3.66</v>
      </c>
      <c r="N18" s="21">
        <f>Tabla14[[#This Row],[LoCode]]/Tabla14[[#This Row],[NoFunctions]]</f>
        <v>8.3333333333333339</v>
      </c>
      <c r="O18" s="23">
        <v>0.2</v>
      </c>
      <c r="P18" s="23">
        <f>SUM(Tabla14[[#This Row],[CC]:[IDC]]) - Tabla14[[#This Row],[IRC]]</f>
        <v>12.193333333333333</v>
      </c>
      <c r="Q18" s="21" t="str">
        <f t="shared" si="1"/>
        <v>Alto</v>
      </c>
      <c r="R18" s="23">
        <f>1 - ((Tabla14[[#This Row],[TPFM]]- $N$52) / ($N$51 - $N$52))</f>
        <v>0.92671394799054374</v>
      </c>
      <c r="S18" s="23">
        <v>0.17</v>
      </c>
      <c r="T18" s="23">
        <v>0.08</v>
      </c>
      <c r="U18" s="23">
        <f>SUM(Tabla14[[#This Row],[IPTFM]:[Comentarios2]]) / 3</f>
        <v>0.39223798266351456</v>
      </c>
      <c r="V18" s="21">
        <f>Tabla14[[#This Row],[CC]]/10</f>
        <v>0.36599999999999999</v>
      </c>
      <c r="W18" s="23">
        <f xml:space="preserve"> (Tabla14[[#This Row],[ICLC]] + (1 - Tabla14[[#This Row],[ICC]])) / 2</f>
        <v>0.51311899133175731</v>
      </c>
      <c r="X18" s="21" t="str">
        <f t="shared" si="2"/>
        <v>Alto</v>
      </c>
      <c r="Y18" s="21">
        <v>1</v>
      </c>
      <c r="Z18" s="80" t="str">
        <f t="shared" si="0"/>
        <v>Alto</v>
      </c>
      <c r="AA18" s="23">
        <f>Tabla14[[#This Row],[Valor general]]-Tabla14[[#This Row],[Valor general2]]-Tabla14[[#This Row],[INN]]</f>
        <v>10.680214342001577</v>
      </c>
      <c r="AB18" s="21" t="str">
        <f>IF(Tabla14[[#This Row],[Valor general de PC]]&lt; $AA$51, "Alto", IF(Tabla14[[#This Row],[Valor general de PC]]&lt; $AA$53, "Medio", "Bajo"))</f>
        <v>Alto</v>
      </c>
    </row>
    <row r="19" spans="1:28" ht="30" x14ac:dyDescent="0.25">
      <c r="A19" s="31">
        <v>2024090884</v>
      </c>
      <c r="B19" s="31"/>
      <c r="C19" s="31"/>
      <c r="D19" s="31"/>
      <c r="E19" s="32" t="s">
        <v>46</v>
      </c>
      <c r="F19" s="34" t="s">
        <v>103</v>
      </c>
      <c r="G19" s="32">
        <v>18</v>
      </c>
      <c r="H19" s="32">
        <v>0</v>
      </c>
      <c r="I19" s="32">
        <v>2</v>
      </c>
      <c r="J19" s="32">
        <v>0</v>
      </c>
      <c r="K19" s="32">
        <v>0</v>
      </c>
      <c r="L19" s="33">
        <f>Tabla14[[#This Row],[ERL]]+Tabla14[[#This Row],[IRL]]</f>
        <v>0</v>
      </c>
      <c r="M19" s="32">
        <v>3.5</v>
      </c>
      <c r="N19" s="32">
        <f>Tabla14[[#This Row],[LoCode]]/Tabla14[[#This Row],[NoFunctions]]</f>
        <v>9</v>
      </c>
      <c r="O19" s="33">
        <v>0.28000000000000003</v>
      </c>
      <c r="P19" s="33">
        <f>SUM(Tabla14[[#This Row],[CC]:[IDC]]) - Tabla14[[#This Row],[IRC]]</f>
        <v>12.78</v>
      </c>
      <c r="Q19" s="32" t="str">
        <f t="shared" si="1"/>
        <v>Alto</v>
      </c>
      <c r="R19" s="33">
        <f>1 - ((Tabla14[[#This Row],[TPFM]]- $N$52) / ($N$51 - $N$52))</f>
        <v>0.90780141843971629</v>
      </c>
      <c r="S19" s="33">
        <v>0.09</v>
      </c>
      <c r="T19" s="33">
        <v>0</v>
      </c>
      <c r="U19" s="33">
        <f>SUM(Tabla14[[#This Row],[IPTFM]:[Comentarios2]]) / 3</f>
        <v>0.33260047281323873</v>
      </c>
      <c r="V19" s="32">
        <f>Tabla14[[#This Row],[CC]]/10</f>
        <v>0.35</v>
      </c>
      <c r="W19" s="33">
        <f xml:space="preserve"> (Tabla14[[#This Row],[ICLC]] + (1 - Tabla14[[#This Row],[ICC]])) / 2</f>
        <v>0.49130023640661935</v>
      </c>
      <c r="X19" s="32" t="str">
        <f t="shared" si="2"/>
        <v>Alto</v>
      </c>
      <c r="Y19" s="32">
        <v>1</v>
      </c>
      <c r="Z19" s="80" t="str">
        <f t="shared" si="0"/>
        <v>Alto</v>
      </c>
      <c r="AA19" s="33">
        <f>Tabla14[[#This Row],[Valor general]]-Tabla14[[#This Row],[Valor general2]]-Tabla14[[#This Row],[INN]]</f>
        <v>11.28869976359338</v>
      </c>
      <c r="AB19" s="32" t="str">
        <f>IF(Tabla14[[#This Row],[Valor general de PC]]&lt; $AA$51, "Alto", IF(Tabla14[[#This Row],[Valor general de PC]]&lt; $AA$53, "Medio", "Bajo"))</f>
        <v>Alto</v>
      </c>
    </row>
    <row r="20" spans="1:28" ht="15.75" x14ac:dyDescent="0.25">
      <c r="A20" s="45">
        <v>2024093410</v>
      </c>
      <c r="B20" s="45"/>
      <c r="C20" s="45"/>
      <c r="D20" s="45"/>
      <c r="E20" s="46" t="s">
        <v>42</v>
      </c>
      <c r="F20" s="46" t="s">
        <v>93</v>
      </c>
      <c r="G20" s="46">
        <v>22</v>
      </c>
      <c r="H20" s="46">
        <v>0</v>
      </c>
      <c r="I20" s="46">
        <v>1</v>
      </c>
      <c r="J20" s="46">
        <v>0</v>
      </c>
      <c r="K20" s="46">
        <v>0</v>
      </c>
      <c r="L20" s="47">
        <f>Tabla14[[#This Row],[ERL]]+Tabla14[[#This Row],[IRL]]</f>
        <v>0</v>
      </c>
      <c r="M20" s="46">
        <v>9</v>
      </c>
      <c r="N20" s="46">
        <f>Tabla14[[#This Row],[LoCode]]/Tabla14[[#This Row],[NoFunctions]]</f>
        <v>22</v>
      </c>
      <c r="O20" s="47">
        <v>0.36</v>
      </c>
      <c r="P20" s="47">
        <f>SUM(Tabla14[[#This Row],[CC]:[IDC]]) - Tabla14[[#This Row],[IRC]]</f>
        <v>31.36</v>
      </c>
      <c r="Q20" s="46" t="str">
        <f t="shared" si="1"/>
        <v>Medio</v>
      </c>
      <c r="R20" s="47">
        <f>1 - ((Tabla14[[#This Row],[TPFM]]- $N$52) / ($N$51 - $N$52))</f>
        <v>0.53900709219858156</v>
      </c>
      <c r="S20" s="47">
        <v>0.08</v>
      </c>
      <c r="T20" s="47">
        <v>0</v>
      </c>
      <c r="U20" s="47">
        <f>SUM(Tabla14[[#This Row],[IPTFM]:[Comentarios2]]) / 3</f>
        <v>0.20633569739952717</v>
      </c>
      <c r="V20" s="46">
        <f>Tabla14[[#This Row],[CC]]/10</f>
        <v>0.9</v>
      </c>
      <c r="W20" s="47">
        <f xml:space="preserve"> (Tabla14[[#This Row],[ICLC]] + (1 - Tabla14[[#This Row],[ICC]])) / 2</f>
        <v>0.15316784869976358</v>
      </c>
      <c r="X20" s="46" t="str">
        <f t="shared" si="2"/>
        <v>Medio</v>
      </c>
      <c r="Y20" s="46"/>
      <c r="Z20" s="80" t="str">
        <f t="shared" si="0"/>
        <v>Bajo</v>
      </c>
      <c r="AA20" s="47">
        <f>Tabla14[[#This Row],[Valor general]]-Tabla14[[#This Row],[Valor general2]]-Tabla14[[#This Row],[INN]]</f>
        <v>31.206832151300237</v>
      </c>
      <c r="AB20" s="46" t="str">
        <f>IF(Tabla14[[#This Row],[Valor general de PC]]&lt; $AA$51, "Alto", IF(Tabla14[[#This Row],[Valor general de PC]]&lt; $AA$53, "Medio", "Bajo"))</f>
        <v>Medio</v>
      </c>
    </row>
    <row r="21" spans="1:28" ht="15.75" x14ac:dyDescent="0.25">
      <c r="A21" s="45">
        <v>2024096731</v>
      </c>
      <c r="B21" s="45"/>
      <c r="C21" s="45"/>
      <c r="D21" s="45"/>
      <c r="E21" s="46" t="s">
        <v>44</v>
      </c>
      <c r="F21" s="46" t="s">
        <v>104</v>
      </c>
      <c r="G21" s="46">
        <v>11</v>
      </c>
      <c r="H21" s="46">
        <v>3</v>
      </c>
      <c r="I21" s="46">
        <v>1</v>
      </c>
      <c r="J21" s="46">
        <v>0</v>
      </c>
      <c r="K21" s="46">
        <v>0</v>
      </c>
      <c r="L21" s="47">
        <f>Tabla14[[#This Row],[ERL]]+Tabla14[[#This Row],[IRL]]</f>
        <v>0</v>
      </c>
      <c r="M21" s="46">
        <v>4</v>
      </c>
      <c r="N21" s="46">
        <f>Tabla14[[#This Row],[LoCode]]/Tabla14[[#This Row],[NoFunctions]]</f>
        <v>11</v>
      </c>
      <c r="O21" s="47">
        <v>0.31</v>
      </c>
      <c r="P21" s="47">
        <f>SUM(Tabla14[[#This Row],[CC]:[IDC]]) - Tabla14[[#This Row],[IRC]]</f>
        <v>15.31</v>
      </c>
      <c r="Q21" s="46" t="str">
        <f t="shared" si="1"/>
        <v>Alto</v>
      </c>
      <c r="R21" s="47">
        <f>1 - ((Tabla14[[#This Row],[TPFM]]- $N$52) / ($N$51 - $N$52))</f>
        <v>0.85106382978723405</v>
      </c>
      <c r="S21" s="47">
        <v>0.2</v>
      </c>
      <c r="T21" s="47">
        <v>0.08</v>
      </c>
      <c r="U21" s="47">
        <f>SUM(Tabla14[[#This Row],[IPTFM]:[Comentarios2]]) / 3</f>
        <v>0.37702127659574475</v>
      </c>
      <c r="V21" s="46">
        <f>Tabla14[[#This Row],[CC]]/10</f>
        <v>0.4</v>
      </c>
      <c r="W21" s="47">
        <f xml:space="preserve"> (Tabla14[[#This Row],[ICLC]] + (1 - Tabla14[[#This Row],[ICC]])) / 2</f>
        <v>0.48851063829787233</v>
      </c>
      <c r="X21" s="46" t="str">
        <f t="shared" si="2"/>
        <v>Alto</v>
      </c>
      <c r="Y21" s="46"/>
      <c r="Z21" s="80" t="str">
        <f t="shared" si="0"/>
        <v>Bajo</v>
      </c>
      <c r="AA21" s="47">
        <f>Tabla14[[#This Row],[Valor general]]-Tabla14[[#This Row],[Valor general2]]-Tabla14[[#This Row],[INN]]</f>
        <v>14.821489361702127</v>
      </c>
      <c r="AB21" s="46" t="str">
        <f>IF(Tabla14[[#This Row],[Valor general de PC]]&lt; $AA$51, "Alto", IF(Tabla14[[#This Row],[Valor general de PC]]&lt; $AA$53, "Medio", "Bajo"))</f>
        <v>Alto</v>
      </c>
    </row>
    <row r="22" spans="1:28" ht="15.75" x14ac:dyDescent="0.25">
      <c r="A22" s="45">
        <v>2024099007</v>
      </c>
      <c r="B22" s="45"/>
      <c r="C22" s="45"/>
      <c r="D22" s="45"/>
      <c r="E22" s="46" t="s">
        <v>42</v>
      </c>
      <c r="F22" s="46" t="s">
        <v>105</v>
      </c>
      <c r="G22" s="46">
        <v>37</v>
      </c>
      <c r="H22" s="46">
        <v>0</v>
      </c>
      <c r="I22" s="46">
        <v>1</v>
      </c>
      <c r="J22" s="46">
        <v>0</v>
      </c>
      <c r="K22" s="46">
        <v>0</v>
      </c>
      <c r="L22" s="47">
        <f>Tabla14[[#This Row],[ERL]]+Tabla14[[#This Row],[IRL]]</f>
        <v>0</v>
      </c>
      <c r="M22" s="46">
        <v>15</v>
      </c>
      <c r="N22" s="46">
        <f>Tabla14[[#This Row],[LoCode]]/Tabla14[[#This Row],[NoFunctions]]</f>
        <v>37</v>
      </c>
      <c r="O22" s="47">
        <v>0.54</v>
      </c>
      <c r="P22" s="47">
        <f>SUM(Tabla14[[#This Row],[CC]:[IDC]]) - Tabla14[[#This Row],[IRC]]</f>
        <v>52.54</v>
      </c>
      <c r="Q22" s="46" t="str">
        <f t="shared" si="1"/>
        <v>Bajo</v>
      </c>
      <c r="R22" s="47">
        <f>1 - ((Tabla14[[#This Row],[TPFM]]- $N$52) / ($N$51 - $N$52))</f>
        <v>0.11347517730496459</v>
      </c>
      <c r="S22" s="47">
        <v>0.08</v>
      </c>
      <c r="T22" s="47">
        <v>0</v>
      </c>
      <c r="U22" s="47">
        <f>SUM(Tabla14[[#This Row],[IPTFM]:[Comentarios2]]) / 3</f>
        <v>6.4491725768321531E-2</v>
      </c>
      <c r="V22" s="46">
        <f>Tabla14[[#This Row],[CC]]/10</f>
        <v>1.5</v>
      </c>
      <c r="W22" s="47">
        <f xml:space="preserve"> (Tabla14[[#This Row],[ICLC]] + (1 - Tabla14[[#This Row],[ICC]])) / 2</f>
        <v>-0.21775413711583924</v>
      </c>
      <c r="X22" s="46" t="str">
        <f t="shared" si="2"/>
        <v>Bajo</v>
      </c>
      <c r="Y22" s="46"/>
      <c r="Z22" s="80" t="str">
        <f t="shared" si="0"/>
        <v>Bajo</v>
      </c>
      <c r="AA22" s="47">
        <f>Tabla14[[#This Row],[Valor general]]-Tabla14[[#This Row],[Valor general2]]-Tabla14[[#This Row],[INN]]</f>
        <v>52.757754137115839</v>
      </c>
      <c r="AB22" s="46" t="str">
        <f>IF(Tabla14[[#This Row],[Valor general de PC]]&lt; $AA$51, "Alto", IF(Tabla14[[#This Row],[Valor general de PC]]&lt; $AA$53, "Medio", "Bajo"))</f>
        <v>Bajo</v>
      </c>
    </row>
    <row r="23" spans="1:28" ht="15.75" x14ac:dyDescent="0.25">
      <c r="A23" s="45">
        <v>2024109692</v>
      </c>
      <c r="B23" s="45"/>
      <c r="C23" s="45"/>
      <c r="D23" s="45"/>
      <c r="E23" s="46" t="s">
        <v>42</v>
      </c>
      <c r="F23" s="46" t="s">
        <v>102</v>
      </c>
      <c r="G23" s="46">
        <v>40</v>
      </c>
      <c r="H23" s="46">
        <v>1</v>
      </c>
      <c r="I23" s="46">
        <v>2</v>
      </c>
      <c r="J23" s="46">
        <f>(3/Tabla14[[#This Row],[LoCode]])</f>
        <v>7.4999999999999997E-2</v>
      </c>
      <c r="K23" s="46">
        <v>0</v>
      </c>
      <c r="L23" s="47">
        <f>Tabla14[[#This Row],[ERL]]+Tabla14[[#This Row],[IRL]]</f>
        <v>7.4999999999999997E-2</v>
      </c>
      <c r="M23" s="46">
        <v>7</v>
      </c>
      <c r="N23" s="46">
        <f>Tabla14[[#This Row],[LoCode]]/Tabla14[[#This Row],[NoFunctions]]</f>
        <v>20</v>
      </c>
      <c r="O23" s="47">
        <v>0.5</v>
      </c>
      <c r="P23" s="47">
        <f>SUM(Tabla14[[#This Row],[CC]:[IDC]]) - Tabla14[[#This Row],[IRC]]</f>
        <v>27.425000000000001</v>
      </c>
      <c r="Q23" s="46" t="str">
        <f t="shared" si="1"/>
        <v>Medio</v>
      </c>
      <c r="R23" s="47">
        <f>1 - ((Tabla14[[#This Row],[TPFM]]- $N$52) / ($N$51 - $N$52))</f>
        <v>0.5957446808510638</v>
      </c>
      <c r="S23" s="47">
        <v>0.06</v>
      </c>
      <c r="T23" s="47">
        <v>0</v>
      </c>
      <c r="U23" s="47">
        <f>SUM(Tabla14[[#This Row],[IPTFM]:[Comentarios2]]) / 3</f>
        <v>0.21858156028368794</v>
      </c>
      <c r="V23" s="46">
        <v>0</v>
      </c>
      <c r="W23" s="47">
        <f xml:space="preserve"> (Tabla14[[#This Row],[ICLC]] + (1 - Tabla14[[#This Row],[ICC]])) / 2</f>
        <v>0.60929078014184401</v>
      </c>
      <c r="X23" s="46" t="str">
        <f t="shared" si="2"/>
        <v>Alto</v>
      </c>
      <c r="Y23" s="46"/>
      <c r="Z23" s="80" t="str">
        <f t="shared" si="0"/>
        <v>Bajo</v>
      </c>
      <c r="AA23" s="47">
        <f>Tabla14[[#This Row],[Valor general]]-Tabla14[[#This Row],[Valor general2]]-Tabla14[[#This Row],[INN]]</f>
        <v>26.815709219858157</v>
      </c>
      <c r="AB23" s="46" t="str">
        <f>IF(Tabla14[[#This Row],[Valor general de PC]]&lt; $AA$51, "Alto", IF(Tabla14[[#This Row],[Valor general de PC]]&lt; $AA$53, "Medio", "Bajo"))</f>
        <v>Medio</v>
      </c>
    </row>
    <row r="24" spans="1:28" ht="15.75" x14ac:dyDescent="0.25">
      <c r="A24" s="20">
        <v>2024112230</v>
      </c>
      <c r="B24" s="20"/>
      <c r="C24" s="20"/>
      <c r="D24" s="20"/>
      <c r="E24" s="21" t="s">
        <v>44</v>
      </c>
      <c r="F24" s="21" t="s">
        <v>45</v>
      </c>
      <c r="G24" s="21">
        <v>21</v>
      </c>
      <c r="H24" s="21">
        <v>0</v>
      </c>
      <c r="I24" s="21">
        <v>1</v>
      </c>
      <c r="J24" s="21">
        <v>0</v>
      </c>
      <c r="K24" s="21">
        <v>0</v>
      </c>
      <c r="L24" s="23">
        <f>Tabla14[[#This Row],[ERL]]+Tabla14[[#This Row],[IRL]]</f>
        <v>0</v>
      </c>
      <c r="M24" s="21">
        <v>5</v>
      </c>
      <c r="N24" s="21">
        <f>Tabla14[[#This Row],[LoCode]]/Tabla14[[#This Row],[NoFunctions]]</f>
        <v>21</v>
      </c>
      <c r="O24" s="23">
        <v>0.43</v>
      </c>
      <c r="P24" s="23">
        <f>SUM(Tabla14[[#This Row],[CC]:[IDC]]) - Tabla14[[#This Row],[IRC]]</f>
        <v>26.43</v>
      </c>
      <c r="Q24" s="21" t="str">
        <f t="shared" si="1"/>
        <v>Medio</v>
      </c>
      <c r="R24" s="23">
        <f>1 - ((Tabla14[[#This Row],[TPFM]]- $N$52) / ($N$51 - $N$52))</f>
        <v>0.56737588652482263</v>
      </c>
      <c r="S24" s="23">
        <v>0.1</v>
      </c>
      <c r="T24" s="23">
        <v>0</v>
      </c>
      <c r="U24" s="23">
        <f>SUM(Tabla14[[#This Row],[IPTFM]:[Comentarios2]]) / 3</f>
        <v>0.22245862884160753</v>
      </c>
      <c r="V24" s="21">
        <f>Tabla14[[#This Row],[CC]]/10</f>
        <v>0.5</v>
      </c>
      <c r="W24" s="23">
        <f xml:space="preserve"> (Tabla14[[#This Row],[ICLC]] + (1 - Tabla14[[#This Row],[ICC]])) / 2</f>
        <v>0.36122931442080375</v>
      </c>
      <c r="X24" s="21" t="str">
        <f t="shared" si="2"/>
        <v>Medio</v>
      </c>
      <c r="Y24" s="21">
        <v>1</v>
      </c>
      <c r="Z24" s="80" t="str">
        <f t="shared" si="0"/>
        <v>Alto</v>
      </c>
      <c r="AA24" s="23">
        <f>Tabla14[[#This Row],[Valor general]]-Tabla14[[#This Row],[Valor general2]]-Tabla14[[#This Row],[INN]]</f>
        <v>25.068770685579196</v>
      </c>
      <c r="AB24" s="21" t="str">
        <f>IF(Tabla14[[#This Row],[Valor general de PC]]&lt; $AA$51, "Alto", IF(Tabla14[[#This Row],[Valor general de PC]]&lt; $AA$53, "Medio", "Bajo"))</f>
        <v>Medio</v>
      </c>
    </row>
    <row r="25" spans="1:28" ht="15.75" x14ac:dyDescent="0.25">
      <c r="A25" s="31">
        <v>2024114502</v>
      </c>
      <c r="B25" s="31"/>
      <c r="C25" s="31"/>
      <c r="D25" s="31"/>
      <c r="E25" s="32" t="s">
        <v>42</v>
      </c>
      <c r="F25" s="34" t="s">
        <v>93</v>
      </c>
      <c r="G25" s="32">
        <v>32</v>
      </c>
      <c r="H25" s="32">
        <v>2</v>
      </c>
      <c r="I25" s="32">
        <v>2</v>
      </c>
      <c r="J25" s="32">
        <v>0</v>
      </c>
      <c r="K25" s="32">
        <v>0</v>
      </c>
      <c r="L25" s="33">
        <f>Tabla14[[#This Row],[ERL]]+Tabla14[[#This Row],[IRL]]</f>
        <v>0</v>
      </c>
      <c r="M25" s="32">
        <v>6.5</v>
      </c>
      <c r="N25" s="32">
        <f>Tabla14[[#This Row],[LoCode]]/Tabla14[[#This Row],[NoFunctions]]</f>
        <v>16</v>
      </c>
      <c r="O25" s="33">
        <v>0.69</v>
      </c>
      <c r="P25" s="33">
        <f>SUM(Tabla14[[#This Row],[CC]:[IDC]]) - Tabla14[[#This Row],[IRC]]</f>
        <v>23.19</v>
      </c>
      <c r="Q25" s="32" t="str">
        <f t="shared" si="1"/>
        <v>Medio</v>
      </c>
      <c r="R25" s="33">
        <f>1 - ((Tabla14[[#This Row],[TPFM]]- $N$52) / ($N$51 - $N$52))</f>
        <v>0.70921985815602839</v>
      </c>
      <c r="S25" s="33">
        <v>0.09</v>
      </c>
      <c r="T25" s="33">
        <v>7.0000000000000007E-2</v>
      </c>
      <c r="U25" s="33">
        <f>SUM(Tabla14[[#This Row],[IPTFM]:[Comentarios2]]) / 3</f>
        <v>0.28973995271867614</v>
      </c>
      <c r="V25" s="32">
        <f>Tabla14[[#This Row],[CC]]/10</f>
        <v>0.65</v>
      </c>
      <c r="W25" s="33">
        <f xml:space="preserve"> (Tabla14[[#This Row],[ICLC]] + (1 - Tabla14[[#This Row],[ICC]])) / 2</f>
        <v>0.31986997635933806</v>
      </c>
      <c r="X25" s="32" t="str">
        <f t="shared" si="2"/>
        <v>Medio</v>
      </c>
      <c r="Y25" s="32">
        <v>0.87</v>
      </c>
      <c r="Z25" s="80" t="str">
        <f t="shared" si="0"/>
        <v>Bajo</v>
      </c>
      <c r="AA25" s="33">
        <f>Tabla14[[#This Row],[Valor general]]-Tabla14[[#This Row],[Valor general2]]-Tabla14[[#This Row],[INN]]</f>
        <v>22.000130023640661</v>
      </c>
      <c r="AB25" s="32" t="str">
        <f>IF(Tabla14[[#This Row],[Valor general de PC]]&lt; $AA$51, "Alto", IF(Tabla14[[#This Row],[Valor general de PC]]&lt; $AA$53, "Medio", "Bajo"))</f>
        <v>Medio</v>
      </c>
    </row>
    <row r="26" spans="1:28" s="4" customFormat="1" ht="15.75" hidden="1" x14ac:dyDescent="0.25">
      <c r="A26" s="50"/>
      <c r="B26"/>
      <c r="C26"/>
      <c r="D26"/>
      <c r="L26" s="51"/>
      <c r="O26" s="51"/>
      <c r="P26" s="51"/>
      <c r="R26" s="51"/>
      <c r="S26" s="51"/>
      <c r="T26" s="51"/>
      <c r="U26" s="51"/>
      <c r="W26" s="51"/>
      <c r="X26" s="16" t="str">
        <f t="shared" si="2"/>
        <v>Bajo</v>
      </c>
      <c r="Z26" s="80" t="str">
        <f t="shared" si="0"/>
        <v>Bajo</v>
      </c>
      <c r="AA26" s="51">
        <f>Tabla14[[#This Row],[Valor general]]-Tabla14[[#This Row],[Valor general2]]-Tabla14[[#This Row],[INN]]</f>
        <v>0</v>
      </c>
      <c r="AB26" s="4" t="str">
        <f>IF(Tabla14[[#This Row],[Valor general de PC]]&lt; $AA$51, "Alto", IF(Tabla14[[#This Row],[Valor general de PC]]&lt; $AA$53, "Medio", "Bajo"))</f>
        <v>Alto</v>
      </c>
    </row>
    <row r="27" spans="1:28" ht="15.75" x14ac:dyDescent="0.25">
      <c r="A27" s="45">
        <v>2024136072</v>
      </c>
      <c r="B27" s="45"/>
      <c r="C27" s="45"/>
      <c r="D27" s="45"/>
      <c r="E27" s="46" t="s">
        <v>42</v>
      </c>
      <c r="F27" s="46" t="s">
        <v>93</v>
      </c>
      <c r="G27" s="46">
        <v>24</v>
      </c>
      <c r="H27" s="46">
        <v>0</v>
      </c>
      <c r="I27" s="46">
        <v>1</v>
      </c>
      <c r="J27" s="46">
        <v>0</v>
      </c>
      <c r="K27" s="46">
        <v>0</v>
      </c>
      <c r="L27" s="47">
        <f>Tabla14[[#This Row],[ERL]]+Tabla14[[#This Row],[IRL]]</f>
        <v>0</v>
      </c>
      <c r="M27" s="46">
        <v>9</v>
      </c>
      <c r="N27" s="46">
        <f>Tabla14[[#This Row],[LoCode]]/Tabla14[[#This Row],[NoFunctions]]</f>
        <v>24</v>
      </c>
      <c r="O27" s="47">
        <v>0.63</v>
      </c>
      <c r="P27" s="47">
        <f>SUM(Tabla14[[#This Row],[CC]:[IDC]]) - Tabla14[[#This Row],[IRC]]</f>
        <v>33.630000000000003</v>
      </c>
      <c r="Q27" s="46" t="str">
        <f t="shared" ref="Q27:Q48" si="3">IF(P27 &lt; $G$51, "Alto", IF(P27 &lt; $G$53, "Medio", "Bajo"))</f>
        <v>Medio</v>
      </c>
      <c r="R27" s="47">
        <f>1 - ((Tabla14[[#This Row],[TPFM]]- $N$52) / ($N$51 - $N$52))</f>
        <v>0.48226950354609932</v>
      </c>
      <c r="S27" s="47">
        <v>7.0000000000000007E-2</v>
      </c>
      <c r="T27" s="47">
        <v>0</v>
      </c>
      <c r="U27" s="47">
        <f>SUM(Tabla14[[#This Row],[IPTFM]:[Comentarios2]]) / 3</f>
        <v>0.18408983451536645</v>
      </c>
      <c r="V27" s="46">
        <f>Tabla14[[#This Row],[CC]]/10</f>
        <v>0.9</v>
      </c>
      <c r="W27" s="47">
        <f xml:space="preserve"> (Tabla14[[#This Row],[ICLC]] + (1 - Tabla14[[#This Row],[ICC]])) / 2</f>
        <v>0.1420449172576832</v>
      </c>
      <c r="X27" s="46" t="str">
        <f t="shared" si="2"/>
        <v>Medio</v>
      </c>
      <c r="Y27" s="46"/>
      <c r="Z27" s="80" t="str">
        <f t="shared" si="0"/>
        <v>Bajo</v>
      </c>
      <c r="AA27" s="47">
        <f>Tabla14[[#This Row],[Valor general]]-Tabla14[[#This Row],[Valor general2]]-Tabla14[[#This Row],[INN]]</f>
        <v>33.487955082742317</v>
      </c>
      <c r="AB27" s="46" t="str">
        <f>IF(Tabla14[[#This Row],[Valor general de PC]]&lt; $AA$51, "Alto", IF(Tabla14[[#This Row],[Valor general de PC]]&lt; $AA$53, "Medio", "Bajo"))</f>
        <v>Medio</v>
      </c>
    </row>
    <row r="28" spans="1:28" ht="15.75" x14ac:dyDescent="0.25">
      <c r="A28" s="45">
        <v>2024138712</v>
      </c>
      <c r="B28" s="45"/>
      <c r="C28" s="45"/>
      <c r="D28" s="45"/>
      <c r="E28" s="46" t="s">
        <v>42</v>
      </c>
      <c r="F28" s="46" t="s">
        <v>106</v>
      </c>
      <c r="G28" s="46">
        <v>23</v>
      </c>
      <c r="H28" s="46">
        <v>0</v>
      </c>
      <c r="I28" s="46">
        <v>4</v>
      </c>
      <c r="J28" s="46">
        <v>0</v>
      </c>
      <c r="K28" s="46">
        <v>0</v>
      </c>
      <c r="L28" s="47">
        <f>Tabla14[[#This Row],[ERL]]+Tabla14[[#This Row],[IRL]]</f>
        <v>0</v>
      </c>
      <c r="M28" s="46">
        <v>2.75</v>
      </c>
      <c r="N28" s="46">
        <f>Tabla14[[#This Row],[LoCode]]/Tabla14[[#This Row],[NoFunctions]]</f>
        <v>5.75</v>
      </c>
      <c r="O28" s="47">
        <v>0.3</v>
      </c>
      <c r="P28" s="47">
        <f>SUM(Tabla14[[#This Row],[CC]:[IDC]]) - Tabla14[[#This Row],[IRC]]</f>
        <v>8.8000000000000007</v>
      </c>
      <c r="Q28" s="46" t="str">
        <f t="shared" si="3"/>
        <v>Alto</v>
      </c>
      <c r="R28" s="47">
        <f>1 - ((Tabla14[[#This Row],[TPFM]]- $N$52) / ($N$51 - $N$52))</f>
        <v>1</v>
      </c>
      <c r="S28" s="47">
        <v>0.11</v>
      </c>
      <c r="T28" s="47">
        <v>0</v>
      </c>
      <c r="U28" s="47">
        <f>SUM(Tabla14[[#This Row],[IPTFM]:[Comentarios2]]) / 3</f>
        <v>0.37000000000000005</v>
      </c>
      <c r="V28" s="46">
        <f>Tabla14[[#This Row],[CC]]/10</f>
        <v>0.27500000000000002</v>
      </c>
      <c r="W28" s="47">
        <f xml:space="preserve"> (Tabla14[[#This Row],[ICLC]] + (1 - Tabla14[[#This Row],[ICC]])) / 2</f>
        <v>0.54749999999999999</v>
      </c>
      <c r="X28" s="46" t="str">
        <f t="shared" si="2"/>
        <v>Alto</v>
      </c>
      <c r="Y28" s="46"/>
      <c r="Z28" s="80" t="str">
        <f t="shared" si="0"/>
        <v>Bajo</v>
      </c>
      <c r="AA28" s="47">
        <f>Tabla14[[#This Row],[Valor general]]-Tabla14[[#This Row],[Valor general2]]-Tabla14[[#This Row],[INN]]</f>
        <v>8.2525000000000013</v>
      </c>
      <c r="AB28" s="46" t="str">
        <f>IF(Tabla14[[#This Row],[Valor general de PC]]&lt; $AA$51, "Alto", IF(Tabla14[[#This Row],[Valor general de PC]]&lt; $AA$53, "Medio", "Bajo"))</f>
        <v>Alto</v>
      </c>
    </row>
    <row r="29" spans="1:28" ht="30" x14ac:dyDescent="0.25">
      <c r="A29" s="31">
        <v>2024140841</v>
      </c>
      <c r="B29" s="31"/>
      <c r="C29" s="31"/>
      <c r="D29" s="31"/>
      <c r="E29" s="32" t="s">
        <v>44</v>
      </c>
      <c r="F29" s="34" t="s">
        <v>107</v>
      </c>
      <c r="G29" s="32">
        <v>51</v>
      </c>
      <c r="H29" s="32">
        <v>15</v>
      </c>
      <c r="I29" s="32">
        <v>2</v>
      </c>
      <c r="J29" s="32">
        <v>0</v>
      </c>
      <c r="K29" s="32">
        <v>0</v>
      </c>
      <c r="L29" s="33">
        <f>Tabla14[[#This Row],[ERL]]+Tabla14[[#This Row],[IRL]]</f>
        <v>0</v>
      </c>
      <c r="M29" s="32">
        <v>7</v>
      </c>
      <c r="N29" s="32">
        <f>Tabla14[[#This Row],[LoCode]]/Tabla14[[#This Row],[NoFunctions]]</f>
        <v>25.5</v>
      </c>
      <c r="O29" s="33">
        <v>0.24</v>
      </c>
      <c r="P29" s="33">
        <f>SUM(Tabla14[[#This Row],[CC]:[IDC]]) - Tabla14[[#This Row],[IRC]]</f>
        <v>32.74</v>
      </c>
      <c r="Q29" s="32" t="str">
        <f t="shared" si="3"/>
        <v>Medio</v>
      </c>
      <c r="R29" s="33">
        <f>1 - ((Tabla14[[#This Row],[TPFM]]- $N$52) / ($N$51 - $N$52))</f>
        <v>0.43971631205673756</v>
      </c>
      <c r="S29" s="33">
        <v>7.0000000000000007E-2</v>
      </c>
      <c r="T29" s="33">
        <v>7.0000000000000007E-2</v>
      </c>
      <c r="U29" s="33">
        <f>SUM(Tabla14[[#This Row],[IPTFM]:[Comentarios2]]) / 3</f>
        <v>0.19323877068557924</v>
      </c>
      <c r="V29" s="32">
        <f>Tabla14[[#This Row],[CC]]/10</f>
        <v>0.7</v>
      </c>
      <c r="W29" s="33">
        <f xml:space="preserve"> (Tabla14[[#This Row],[ICLC]] + (1 - Tabla14[[#This Row],[ICC]])) / 2</f>
        <v>0.24661938534278965</v>
      </c>
      <c r="X29" s="32" t="str">
        <f t="shared" si="2"/>
        <v>Medio</v>
      </c>
      <c r="Y29" s="32">
        <v>0.93</v>
      </c>
      <c r="Z29" s="80" t="str">
        <f t="shared" si="0"/>
        <v>Bajo</v>
      </c>
      <c r="AA29" s="33">
        <f>Tabla14[[#This Row],[Valor general]]-Tabla14[[#This Row],[Valor general2]]-Tabla14[[#This Row],[INN]]</f>
        <v>31.563380614657213</v>
      </c>
      <c r="AB29" s="32" t="str">
        <f>IF(Tabla14[[#This Row],[Valor general de PC]]&lt; $AA$51, "Alto", IF(Tabla14[[#This Row],[Valor general de PC]]&lt; $AA$53, "Medio", "Bajo"))</f>
        <v>Medio</v>
      </c>
    </row>
    <row r="30" spans="1:28" s="6" customFormat="1" ht="15.75" x14ac:dyDescent="0.25">
      <c r="A30" s="20">
        <v>2024145117</v>
      </c>
      <c r="B30" s="20"/>
      <c r="C30" s="20"/>
      <c r="D30" s="20"/>
      <c r="E30" s="21" t="s">
        <v>42</v>
      </c>
      <c r="F30" s="22" t="s">
        <v>108</v>
      </c>
      <c r="G30" s="21">
        <v>32</v>
      </c>
      <c r="H30" s="21">
        <v>0</v>
      </c>
      <c r="I30" s="21">
        <v>1</v>
      </c>
      <c r="J30" s="21">
        <v>0</v>
      </c>
      <c r="K30" s="21">
        <v>0</v>
      </c>
      <c r="L30" s="23">
        <f>Tabla14[[#This Row],[ERL]]+Tabla14[[#This Row],[IRL]]</f>
        <v>0</v>
      </c>
      <c r="M30" s="21">
        <v>12</v>
      </c>
      <c r="N30" s="21">
        <f>Tabla14[[#This Row],[LoCode]]/Tabla14[[#This Row],[NoFunctions]]</f>
        <v>32</v>
      </c>
      <c r="O30" s="23">
        <v>0.4</v>
      </c>
      <c r="P30" s="23">
        <f>SUM(Tabla14[[#This Row],[CC]:[IDC]]) - Tabla14[[#This Row],[IRC]]</f>
        <v>44.4</v>
      </c>
      <c r="Q30" s="21" t="str">
        <f t="shared" si="3"/>
        <v>Bajo</v>
      </c>
      <c r="R30" s="23">
        <f>1 - ((Tabla14[[#This Row],[TPFM]]- $N$52) / ($N$51 - $N$52))</f>
        <v>0.25531914893617025</v>
      </c>
      <c r="S30" s="23">
        <v>4.3478260869565202E-2</v>
      </c>
      <c r="T30" s="23">
        <v>0</v>
      </c>
      <c r="U30" s="23">
        <f>SUM(Tabla14[[#This Row],[IPTFM]:[Comentarios2]]) / 3</f>
        <v>9.9599136601911817E-2</v>
      </c>
      <c r="V30" s="21">
        <f>Tabla14[[#This Row],[CC]]/10</f>
        <v>1.2</v>
      </c>
      <c r="W30" s="23">
        <f xml:space="preserve"> (Tabla14[[#This Row],[ICLC]] + (1 - Tabla14[[#This Row],[ICC]])) / 2</f>
        <v>-5.0200431699044069E-2</v>
      </c>
      <c r="X30" s="21" t="str">
        <f t="shared" si="2"/>
        <v>Bajo</v>
      </c>
      <c r="Y30" s="21">
        <v>1</v>
      </c>
      <c r="Z30" s="80" t="str">
        <f t="shared" si="0"/>
        <v>Alto</v>
      </c>
      <c r="AA30" s="23">
        <f>Tabla14[[#This Row],[Valor general]]-Tabla14[[#This Row],[Valor general2]]-Tabla14[[#This Row],[INN]]</f>
        <v>43.450200431699045</v>
      </c>
      <c r="AB30" s="21" t="str">
        <f>IF(Tabla14[[#This Row],[Valor general de PC]]&lt; $AA$51, "Alto", IF(Tabla14[[#This Row],[Valor general de PC]]&lt; $AA$53, "Medio", "Bajo"))</f>
        <v>Bajo</v>
      </c>
    </row>
    <row r="31" spans="1:28" ht="15.75" x14ac:dyDescent="0.25">
      <c r="A31" s="45">
        <v>2024145153</v>
      </c>
      <c r="B31" s="45"/>
      <c r="C31" s="45"/>
      <c r="D31" s="45"/>
      <c r="E31" s="46" t="s">
        <v>42</v>
      </c>
      <c r="F31" s="48" t="s">
        <v>108</v>
      </c>
      <c r="G31" s="46">
        <v>38</v>
      </c>
      <c r="H31" s="46">
        <v>0</v>
      </c>
      <c r="I31" s="46">
        <v>1</v>
      </c>
      <c r="J31" s="46">
        <v>0</v>
      </c>
      <c r="K31" s="46">
        <v>0</v>
      </c>
      <c r="L31" s="47">
        <f>Tabla14[[#This Row],[ERL]]+Tabla14[[#This Row],[IRL]]</f>
        <v>0</v>
      </c>
      <c r="M31" s="46">
        <v>12</v>
      </c>
      <c r="N31" s="46">
        <f>Tabla14[[#This Row],[LoCode]]/Tabla14[[#This Row],[NoFunctions]]</f>
        <v>38</v>
      </c>
      <c r="O31" s="47">
        <v>0.74</v>
      </c>
      <c r="P31" s="47">
        <f>SUM(Tabla14[[#This Row],[CC]:[IDC]]) - Tabla14[[#This Row],[IRC]]</f>
        <v>50.74</v>
      </c>
      <c r="Q31" s="46" t="str">
        <f t="shared" si="3"/>
        <v>Bajo</v>
      </c>
      <c r="R31" s="47">
        <f>1 - ((Tabla14[[#This Row],[TPFM]]- $N$52) / ($N$51 - $N$52))</f>
        <v>8.5106382978723416E-2</v>
      </c>
      <c r="S31" s="47">
        <v>7.0000000000000007E-2</v>
      </c>
      <c r="T31" s="47">
        <v>0</v>
      </c>
      <c r="U31" s="47">
        <f>SUM(Tabla14[[#This Row],[IPTFM]:[Comentarios2]]) / 3</f>
        <v>5.1702127659574472E-2</v>
      </c>
      <c r="V31" s="46">
        <f>Tabla14[[#This Row],[CC]]/10</f>
        <v>1.2</v>
      </c>
      <c r="W31" s="47">
        <f xml:space="preserve"> (Tabla14[[#This Row],[ICLC]] + (1 - Tabla14[[#This Row],[ICC]])) / 2</f>
        <v>-7.4148936170212745E-2</v>
      </c>
      <c r="X31" s="46" t="str">
        <f t="shared" si="2"/>
        <v>Bajo</v>
      </c>
      <c r="Y31" s="46"/>
      <c r="Z31" s="80" t="str">
        <f t="shared" si="0"/>
        <v>Bajo</v>
      </c>
      <c r="AA31" s="47">
        <f>Tabla14[[#This Row],[Valor general]]-Tabla14[[#This Row],[Valor general2]]-Tabla14[[#This Row],[INN]]</f>
        <v>50.814148936170213</v>
      </c>
      <c r="AB31" s="46" t="str">
        <f>IF(Tabla14[[#This Row],[Valor general de PC]]&lt; $AA$51, "Alto", IF(Tabla14[[#This Row],[Valor general de PC]]&lt; $AA$53, "Medio", "Bajo"))</f>
        <v>Bajo</v>
      </c>
    </row>
    <row r="32" spans="1:28" ht="15.75" x14ac:dyDescent="0.25">
      <c r="A32" s="20">
        <v>2024163735</v>
      </c>
      <c r="B32" s="20"/>
      <c r="C32" s="20"/>
      <c r="D32" s="20"/>
      <c r="E32" s="21" t="s">
        <v>42</v>
      </c>
      <c r="F32" s="21" t="s">
        <v>93</v>
      </c>
      <c r="G32" s="21">
        <v>31</v>
      </c>
      <c r="H32" s="21">
        <v>1</v>
      </c>
      <c r="I32" s="21">
        <v>1</v>
      </c>
      <c r="J32" s="21">
        <v>0</v>
      </c>
      <c r="K32" s="21">
        <v>0</v>
      </c>
      <c r="L32" s="23">
        <f>Tabla14[[#This Row],[ERL]]+Tabla14[[#This Row],[IRL]]</f>
        <v>0</v>
      </c>
      <c r="M32" s="21">
        <v>12</v>
      </c>
      <c r="N32" s="21">
        <f>Tabla14[[#This Row],[LoCode]]/Tabla14[[#This Row],[NoFunctions]]</f>
        <v>31</v>
      </c>
      <c r="O32" s="23">
        <v>0.47</v>
      </c>
      <c r="P32" s="23">
        <f>SUM(Tabla14[[#This Row],[CC]:[IDC]]) - Tabla14[[#This Row],[IRC]]</f>
        <v>43.47</v>
      </c>
      <c r="Q32" s="21" t="str">
        <f t="shared" si="3"/>
        <v>Bajo</v>
      </c>
      <c r="R32" s="23">
        <f>1 - ((Tabla14[[#This Row],[TPFM]]- $N$52) / ($N$51 - $N$52))</f>
        <v>0.28368794326241131</v>
      </c>
      <c r="S32" s="23">
        <v>0.04</v>
      </c>
      <c r="T32" s="23">
        <v>7.0000000000000007E-2</v>
      </c>
      <c r="U32" s="23">
        <f>SUM(Tabla14[[#This Row],[IPTFM]:[Comentarios2]]) / 3</f>
        <v>0.13122931442080377</v>
      </c>
      <c r="V32" s="21">
        <f>Tabla14[[#This Row],[CC]]/10</f>
        <v>1.2</v>
      </c>
      <c r="W32" s="23">
        <f xml:space="preserve"> (Tabla14[[#This Row],[ICLC]] + (1 - Tabla14[[#This Row],[ICC]])) / 2</f>
        <v>-3.4385342789598095E-2</v>
      </c>
      <c r="X32" s="21" t="str">
        <f t="shared" si="2"/>
        <v>Bajo</v>
      </c>
      <c r="Y32" s="21">
        <v>1</v>
      </c>
      <c r="Z32" s="80" t="str">
        <f t="shared" si="0"/>
        <v>Alto</v>
      </c>
      <c r="AA32" s="23">
        <f>Tabla14[[#This Row],[Valor general]]-Tabla14[[#This Row],[Valor general2]]-Tabla14[[#This Row],[INN]]</f>
        <v>42.504385342789597</v>
      </c>
      <c r="AB32" s="21" t="str">
        <f>IF(Tabla14[[#This Row],[Valor general de PC]]&lt; $AA$51, "Alto", IF(Tabla14[[#This Row],[Valor general de PC]]&lt; $AA$53, "Medio", "Bajo"))</f>
        <v>Bajo</v>
      </c>
    </row>
    <row r="33" spans="1:28" ht="15.75" hidden="1" x14ac:dyDescent="0.25">
      <c r="A33" s="45">
        <v>2024178193</v>
      </c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7">
        <f>Tabla14[[#This Row],[ERL]]+Tabla14[[#This Row],[IRL]]</f>
        <v>0</v>
      </c>
      <c r="M33" s="46"/>
      <c r="N33" s="46" t="e">
        <f>Tabla14[[#This Row],[LoCode]]/Tabla14[[#This Row],[NoFunctions]]</f>
        <v>#DIV/0!</v>
      </c>
      <c r="O33" s="47"/>
      <c r="P33" s="47" t="e">
        <f>SUM(Tabla14[[#This Row],[CC]:[IDC]]) - Tabla14[[#This Row],[IRC]]</f>
        <v>#DIV/0!</v>
      </c>
      <c r="Q33" s="46" t="e">
        <f t="shared" si="3"/>
        <v>#DIV/0!</v>
      </c>
      <c r="R33" s="47" t="e">
        <f>1 - ((Tabla14[[#This Row],[TPFM]]- $N$52) / ($N$51 - $N$52))</f>
        <v>#DIV/0!</v>
      </c>
      <c r="S33" s="47"/>
      <c r="T33" s="47"/>
      <c r="U33" s="47" t="e">
        <f>SUM(Tabla14[[#This Row],[IPTFM]:[Comentarios2]]) / 3</f>
        <v>#DIV/0!</v>
      </c>
      <c r="V33" s="46">
        <f>Tabla14[[#This Row],[CC]]/10</f>
        <v>0</v>
      </c>
      <c r="W33" s="47" t="e">
        <f xml:space="preserve"> (Tabla14[[#This Row],[ICLC]] + (1 - Tabla14[[#This Row],[ICC]])) / 2</f>
        <v>#DIV/0!</v>
      </c>
      <c r="X33" s="16" t="e">
        <f t="shared" si="2"/>
        <v>#DIV/0!</v>
      </c>
      <c r="Y33" s="46"/>
      <c r="Z33" s="80" t="str">
        <f t="shared" si="0"/>
        <v>Bajo</v>
      </c>
      <c r="AA33" s="47" t="e">
        <f>Tabla14[[#This Row],[Valor general]]-Tabla14[[#This Row],[Valor general2]]-Tabla14[[#This Row],[INN]]</f>
        <v>#DIV/0!</v>
      </c>
      <c r="AB33" s="46" t="e">
        <f>IF(Tabla14[[#This Row],[Valor general de PC]]&lt; $AA$51, "Alto", IF(Tabla14[[#This Row],[Valor general de PC]]&lt; $AA$53, "Medio", "Bajo"))</f>
        <v>#DIV/0!</v>
      </c>
    </row>
    <row r="34" spans="1:28" ht="15.75" x14ac:dyDescent="0.25">
      <c r="A34" s="38">
        <v>2024178653</v>
      </c>
      <c r="B34" s="38"/>
      <c r="C34" s="38"/>
      <c r="D34" s="38"/>
      <c r="E34" s="39" t="s">
        <v>42</v>
      </c>
      <c r="F34" s="39" t="s">
        <v>108</v>
      </c>
      <c r="G34" s="39">
        <v>24</v>
      </c>
      <c r="H34" s="39">
        <v>2</v>
      </c>
      <c r="I34" s="39">
        <v>1</v>
      </c>
      <c r="J34" s="39">
        <v>0</v>
      </c>
      <c r="K34" s="39">
        <v>0</v>
      </c>
      <c r="L34" s="40">
        <f>Tabla14[[#This Row],[ERL]]+Tabla14[[#This Row],[IRL]]</f>
        <v>0</v>
      </c>
      <c r="M34" s="39">
        <v>10</v>
      </c>
      <c r="N34" s="39">
        <f>Tabla14[[#This Row],[LoCode]]/Tabla14[[#This Row],[NoFunctions]]</f>
        <v>24</v>
      </c>
      <c r="O34" s="40">
        <v>0.32</v>
      </c>
      <c r="P34" s="40">
        <f>SUM(Tabla14[[#This Row],[CC]:[IDC]]) - Tabla14[[#This Row],[IRC]]</f>
        <v>34.32</v>
      </c>
      <c r="Q34" s="39" t="str">
        <f t="shared" si="3"/>
        <v>Medio</v>
      </c>
      <c r="R34" s="40">
        <f>1 - ((Tabla14[[#This Row],[TPFM]]- $N$52) / ($N$51 - $N$52))</f>
        <v>0.48226950354609932</v>
      </c>
      <c r="S34" s="40">
        <v>0.09</v>
      </c>
      <c r="T34" s="40">
        <v>0.09</v>
      </c>
      <c r="U34" s="40">
        <f>SUM(Tabla14[[#This Row],[IPTFM]:[Comentarios2]]) / 3</f>
        <v>0.22075650118203308</v>
      </c>
      <c r="V34" s="39">
        <f>Tabla14[[#This Row],[CC]]/10</f>
        <v>1</v>
      </c>
      <c r="W34" s="40">
        <f xml:space="preserve"> (Tabla14[[#This Row],[ICLC]] + (1 - Tabla14[[#This Row],[ICC]])) / 2</f>
        <v>0.11037825059101654</v>
      </c>
      <c r="X34" s="21" t="str">
        <f t="shared" si="2"/>
        <v>Medio</v>
      </c>
      <c r="Y34" s="39">
        <v>1</v>
      </c>
      <c r="Z34" s="80" t="str">
        <f t="shared" si="0"/>
        <v>Alto</v>
      </c>
      <c r="AA34" s="40">
        <f>Tabla14[[#This Row],[Valor general]]-Tabla14[[#This Row],[Valor general2]]-Tabla14[[#This Row],[INN]]</f>
        <v>33.209621749408981</v>
      </c>
      <c r="AB34" s="39" t="str">
        <f>IF(Tabla14[[#This Row],[Valor general de PC]]&lt; $AA$51, "Alto", IF(Tabla14[[#This Row],[Valor general de PC]]&lt; $AA$53, "Medio", "Bajo"))</f>
        <v>Medio</v>
      </c>
    </row>
    <row r="35" spans="1:28" ht="15.75" x14ac:dyDescent="0.25">
      <c r="A35" s="45">
        <v>2024192981</v>
      </c>
      <c r="B35" s="45"/>
      <c r="C35" s="45"/>
      <c r="D35" s="45"/>
      <c r="E35" s="46" t="s">
        <v>42</v>
      </c>
      <c r="F35" s="46" t="s">
        <v>109</v>
      </c>
      <c r="G35" s="46">
        <v>30</v>
      </c>
      <c r="H35" s="46">
        <v>0</v>
      </c>
      <c r="I35" s="46">
        <v>1</v>
      </c>
      <c r="J35" s="46">
        <v>0</v>
      </c>
      <c r="K35" s="46">
        <v>0</v>
      </c>
      <c r="L35" s="47">
        <f>Tabla14[[#This Row],[ERL]]+Tabla14[[#This Row],[IRL]]</f>
        <v>0</v>
      </c>
      <c r="M35" s="46">
        <v>10</v>
      </c>
      <c r="N35" s="46">
        <f>Tabla14[[#This Row],[LoCode]]/Tabla14[[#This Row],[NoFunctions]]</f>
        <v>30</v>
      </c>
      <c r="O35" s="47">
        <v>0.33</v>
      </c>
      <c r="P35" s="47">
        <f>SUM(Tabla14[[#This Row],[CC]:[IDC]]) - Tabla14[[#This Row],[IRC]]</f>
        <v>40.33</v>
      </c>
      <c r="Q35" s="46" t="str">
        <f t="shared" si="3"/>
        <v>Bajo</v>
      </c>
      <c r="R35" s="47">
        <f>1 - ((Tabla14[[#This Row],[TPFM]]- $N$52) / ($N$51 - $N$52))</f>
        <v>0.31205673758865249</v>
      </c>
      <c r="S35" s="47">
        <v>0.1</v>
      </c>
      <c r="T35" s="47">
        <v>0</v>
      </c>
      <c r="U35" s="47">
        <f>SUM(Tabla14[[#This Row],[IPTFM]:[Comentarios2]]) / 3</f>
        <v>0.13735224586288416</v>
      </c>
      <c r="V35" s="46">
        <f>Tabla14[[#This Row],[CC]]/10</f>
        <v>1</v>
      </c>
      <c r="W35" s="47">
        <f xml:space="preserve"> (Tabla14[[#This Row],[ICLC]] + (1 - Tabla14[[#This Row],[ICC]])) / 2</f>
        <v>6.8676122931442082E-2</v>
      </c>
      <c r="X35" s="46" t="str">
        <f t="shared" si="2"/>
        <v>Bajo</v>
      </c>
      <c r="Y35" s="46"/>
      <c r="Z35" s="80" t="str">
        <f t="shared" si="0"/>
        <v>Bajo</v>
      </c>
      <c r="AA35" s="47">
        <f>Tabla14[[#This Row],[Valor general]]-Tabla14[[#This Row],[Valor general2]]-Tabla14[[#This Row],[INN]]</f>
        <v>40.261323877068556</v>
      </c>
      <c r="AB35" s="46" t="str">
        <f>IF(Tabla14[[#This Row],[Valor general de PC]]&lt; $AA$51, "Alto", IF(Tabla14[[#This Row],[Valor general de PC]]&lt; $AA$53, "Medio", "Bajo"))</f>
        <v>Bajo</v>
      </c>
    </row>
    <row r="36" spans="1:28" ht="15.75" x14ac:dyDescent="0.25">
      <c r="A36" s="20">
        <v>2024201088</v>
      </c>
      <c r="B36" s="20"/>
      <c r="C36" s="20"/>
      <c r="D36" s="20"/>
      <c r="E36" s="21" t="s">
        <v>46</v>
      </c>
      <c r="F36" s="21" t="s">
        <v>110</v>
      </c>
      <c r="G36" s="21">
        <v>36</v>
      </c>
      <c r="H36" s="21">
        <v>0</v>
      </c>
      <c r="I36" s="21">
        <v>1</v>
      </c>
      <c r="J36" s="21">
        <v>0</v>
      </c>
      <c r="K36" s="21">
        <v>0</v>
      </c>
      <c r="L36" s="23">
        <f>Tabla14[[#This Row],[ERL]]+Tabla14[[#This Row],[IRL]]</f>
        <v>0</v>
      </c>
      <c r="M36" s="21">
        <v>14</v>
      </c>
      <c r="N36" s="21">
        <f>Tabla14[[#This Row],[LoCode]]/Tabla14[[#This Row],[NoFunctions]]</f>
        <v>36</v>
      </c>
      <c r="O36" s="23">
        <v>0.39</v>
      </c>
      <c r="P36" s="23">
        <f>SUM(Tabla14[[#This Row],[CC]:[IDC]]) - Tabla14[[#This Row],[IRC]]</f>
        <v>50.39</v>
      </c>
      <c r="Q36" s="21" t="str">
        <f t="shared" si="3"/>
        <v>Bajo</v>
      </c>
      <c r="R36" s="23">
        <f>1 - ((Tabla14[[#This Row],[TPFM]]- $N$52) / ($N$51 - $N$52))</f>
        <v>0.14184397163120566</v>
      </c>
      <c r="S36" s="23">
        <v>0.08</v>
      </c>
      <c r="T36" s="23">
        <v>0</v>
      </c>
      <c r="U36" s="23">
        <f>SUM(Tabla14[[#This Row],[IPTFM]:[Comentarios2]]) / 3</f>
        <v>7.3947990543735229E-2</v>
      </c>
      <c r="V36" s="21">
        <f>Tabla14[[#This Row],[CC]]/10</f>
        <v>1.4</v>
      </c>
      <c r="W36" s="23">
        <f xml:space="preserve"> (Tabla14[[#This Row],[ICLC]] + (1 - Tabla14[[#This Row],[ICC]])) / 2</f>
        <v>-0.16302600472813233</v>
      </c>
      <c r="X36" s="21" t="str">
        <f t="shared" si="2"/>
        <v>Bajo</v>
      </c>
      <c r="Y36" s="21">
        <v>1</v>
      </c>
      <c r="Z36" s="80" t="str">
        <f t="shared" si="0"/>
        <v>Alto</v>
      </c>
      <c r="AA36" s="23">
        <f>Tabla14[[#This Row],[Valor general]]-Tabla14[[#This Row],[Valor general2]]-Tabla14[[#This Row],[INN]]</f>
        <v>49.553026004728132</v>
      </c>
      <c r="AB36" s="21" t="str">
        <f>IF(Tabla14[[#This Row],[Valor general de PC]]&lt; $AA$51, "Alto", IF(Tabla14[[#This Row],[Valor general de PC]]&lt; $AA$53, "Medio", "Bajo"))</f>
        <v>Bajo</v>
      </c>
    </row>
    <row r="37" spans="1:28" ht="15.75" x14ac:dyDescent="0.25">
      <c r="A37" s="45">
        <v>2024202804</v>
      </c>
      <c r="B37" s="45"/>
      <c r="C37" s="45"/>
      <c r="D37" s="45"/>
      <c r="E37" s="46" t="s">
        <v>42</v>
      </c>
      <c r="F37" s="46" t="s">
        <v>93</v>
      </c>
      <c r="G37" s="46">
        <v>38</v>
      </c>
      <c r="H37" s="46">
        <v>0</v>
      </c>
      <c r="I37" s="46">
        <v>2</v>
      </c>
      <c r="J37" s="46">
        <v>0</v>
      </c>
      <c r="K37" s="46">
        <v>0</v>
      </c>
      <c r="L37" s="47">
        <f>Tabla14[[#This Row],[ERL]]+Tabla14[[#This Row],[IRL]]</f>
        <v>0</v>
      </c>
      <c r="M37" s="46">
        <v>7.5</v>
      </c>
      <c r="N37" s="46">
        <f>Tabla14[[#This Row],[LoCode]]/Tabla14[[#This Row],[NoFunctions]]</f>
        <v>19</v>
      </c>
      <c r="O37" s="47">
        <v>0.47</v>
      </c>
      <c r="P37" s="47">
        <f>SUM(Tabla14[[#This Row],[CC]:[IDC]]) - Tabla14[[#This Row],[IRC]]</f>
        <v>26.97</v>
      </c>
      <c r="Q37" s="46" t="str">
        <f t="shared" si="3"/>
        <v>Medio</v>
      </c>
      <c r="R37" s="47">
        <f>1 - ((Tabla14[[#This Row],[TPFM]]- $N$52) / ($N$51 - $N$52))</f>
        <v>0.62411347517730498</v>
      </c>
      <c r="S37" s="47">
        <v>7.0000000000000007E-2</v>
      </c>
      <c r="T37" s="47">
        <v>0</v>
      </c>
      <c r="U37" s="47">
        <f>SUM(Tabla14[[#This Row],[IPTFM]:[Comentarios2]]) / 3</f>
        <v>0.23137115839243502</v>
      </c>
      <c r="V37" s="46">
        <f>Tabla14[[#This Row],[CC]]/10</f>
        <v>0.75</v>
      </c>
      <c r="W37" s="47">
        <f xml:space="preserve"> (Tabla14[[#This Row],[ICLC]] + (1 - Tabla14[[#This Row],[ICC]])) / 2</f>
        <v>0.24068557919621753</v>
      </c>
      <c r="X37" s="46" t="str">
        <f t="shared" si="2"/>
        <v>Medio</v>
      </c>
      <c r="Y37" s="46"/>
      <c r="Z37" s="80" t="str">
        <f t="shared" si="0"/>
        <v>Bajo</v>
      </c>
      <c r="AA37" s="47">
        <f>Tabla14[[#This Row],[Valor general]]-Tabla14[[#This Row],[Valor general2]]-Tabla14[[#This Row],[INN]]</f>
        <v>26.729314420803782</v>
      </c>
      <c r="AB37" s="46" t="str">
        <f>IF(Tabla14[[#This Row],[Valor general de PC]]&lt; $AA$51, "Alto", IF(Tabla14[[#This Row],[Valor general de PC]]&lt; $AA$53, "Medio", "Bajo"))</f>
        <v>Medio</v>
      </c>
    </row>
    <row r="38" spans="1:28" ht="15.75" x14ac:dyDescent="0.25">
      <c r="A38" s="31">
        <v>2024253395</v>
      </c>
      <c r="B38" s="31"/>
      <c r="C38" s="31"/>
      <c r="D38" s="31"/>
      <c r="E38" s="32" t="s">
        <v>46</v>
      </c>
      <c r="F38" s="32" t="s">
        <v>111</v>
      </c>
      <c r="G38" s="32">
        <v>9</v>
      </c>
      <c r="H38" s="32">
        <v>1</v>
      </c>
      <c r="I38" s="32">
        <v>1</v>
      </c>
      <c r="J38" s="32">
        <v>0</v>
      </c>
      <c r="K38" s="32">
        <v>0</v>
      </c>
      <c r="L38" s="33">
        <f>Tabla14[[#This Row],[ERL]]+Tabla14[[#This Row],[IRL]]</f>
        <v>0</v>
      </c>
      <c r="M38" s="32">
        <v>4</v>
      </c>
      <c r="N38" s="32">
        <f>Tabla14[[#This Row],[LoCode]]/Tabla14[[#This Row],[NoFunctions]]</f>
        <v>9</v>
      </c>
      <c r="O38" s="33">
        <v>0.22</v>
      </c>
      <c r="P38" s="33">
        <f>SUM(Tabla14[[#This Row],[CC]:[IDC]]) - Tabla14[[#This Row],[IRC]]</f>
        <v>13.22</v>
      </c>
      <c r="Q38" s="32" t="str">
        <f t="shared" si="3"/>
        <v>Alto</v>
      </c>
      <c r="R38" s="33">
        <f>1 - ((Tabla14[[#This Row],[TPFM]]- $N$52) / ($N$51 - $N$52))</f>
        <v>0.90780141843971629</v>
      </c>
      <c r="S38" s="33">
        <v>0.05</v>
      </c>
      <c r="T38" s="33">
        <v>0.05</v>
      </c>
      <c r="U38" s="33">
        <f>SUM(Tabla14[[#This Row],[IPTFM]:[Comentarios2]]) / 3</f>
        <v>0.33593380614657214</v>
      </c>
      <c r="V38" s="32">
        <f>Tabla14[[#This Row],[CC]]/10</f>
        <v>0.4</v>
      </c>
      <c r="W38" s="33">
        <f xml:space="preserve"> (Tabla14[[#This Row],[ICLC]] + (1 - Tabla14[[#This Row],[ICC]])) / 2</f>
        <v>0.46796690307328603</v>
      </c>
      <c r="X38" s="32" t="str">
        <f t="shared" si="2"/>
        <v>Alto</v>
      </c>
      <c r="Y38" s="32">
        <v>1</v>
      </c>
      <c r="Z38" s="80" t="str">
        <f t="shared" si="0"/>
        <v>Alto</v>
      </c>
      <c r="AA38" s="33">
        <f>Tabla14[[#This Row],[Valor general]]-Tabla14[[#This Row],[Valor general2]]-Tabla14[[#This Row],[INN]]</f>
        <v>11.752033096926715</v>
      </c>
      <c r="AB38" s="32" t="str">
        <f>IF(Tabla14[[#This Row],[Valor general de PC]]&lt; $AA$51, "Alto", IF(Tabla14[[#This Row],[Valor general de PC]]&lt; $AA$53, "Medio", "Bajo"))</f>
        <v>Alto</v>
      </c>
    </row>
    <row r="39" spans="1:28" ht="15.75" x14ac:dyDescent="0.25">
      <c r="A39" s="45">
        <v>2024253434</v>
      </c>
      <c r="B39" s="45"/>
      <c r="C39" s="45"/>
      <c r="D39" s="45"/>
      <c r="E39" s="46" t="s">
        <v>42</v>
      </c>
      <c r="F39" s="46" t="s">
        <v>112</v>
      </c>
      <c r="G39" s="46">
        <v>32</v>
      </c>
      <c r="H39" s="46">
        <v>4</v>
      </c>
      <c r="I39" s="46">
        <v>1</v>
      </c>
      <c r="J39" s="46">
        <v>0</v>
      </c>
      <c r="K39" s="46">
        <v>0</v>
      </c>
      <c r="L39" s="47">
        <f>Tabla14[[#This Row],[ERL]]+Tabla14[[#This Row],[IRL]]</f>
        <v>0</v>
      </c>
      <c r="M39" s="46">
        <v>10</v>
      </c>
      <c r="N39" s="46">
        <f>Tabla14[[#This Row],[LoCode]]/Tabla14[[#This Row],[NoFunctions]]</f>
        <v>32</v>
      </c>
      <c r="O39" s="47">
        <v>0.55000000000000004</v>
      </c>
      <c r="P39" s="47">
        <f>SUM(Tabla14[[#This Row],[CC]:[IDC]]) - Tabla14[[#This Row],[IRC]]</f>
        <v>42.55</v>
      </c>
      <c r="Q39" s="46" t="str">
        <f t="shared" si="3"/>
        <v>Bajo</v>
      </c>
      <c r="R39" s="47">
        <f>1 - ((Tabla14[[#This Row],[TPFM]]- $N$52) / ($N$51 - $N$52))</f>
        <v>0.25531914893617025</v>
      </c>
      <c r="S39" s="47">
        <v>0.12</v>
      </c>
      <c r="T39" s="47">
        <v>0.09</v>
      </c>
      <c r="U39" s="47">
        <f>SUM(Tabla14[[#This Row],[IPTFM]:[Comentarios2]]) / 3</f>
        <v>0.15510638297872339</v>
      </c>
      <c r="V39" s="46">
        <f>Tabla14[[#This Row],[CC]]/10</f>
        <v>1</v>
      </c>
      <c r="W39" s="47">
        <f xml:space="preserve"> (Tabla14[[#This Row],[ICLC]] + (1 - Tabla14[[#This Row],[ICC]])) / 2</f>
        <v>7.7553191489361697E-2</v>
      </c>
      <c r="X39" s="46" t="str">
        <f t="shared" si="2"/>
        <v>Medio</v>
      </c>
      <c r="Y39" s="46"/>
      <c r="Z39" s="80" t="str">
        <f t="shared" si="0"/>
        <v>Bajo</v>
      </c>
      <c r="AA39" s="47">
        <f>Tabla14[[#This Row],[Valor general]]-Tabla14[[#This Row],[Valor general2]]-Tabla14[[#This Row],[INN]]</f>
        <v>42.472446808510632</v>
      </c>
      <c r="AB39" s="46" t="str">
        <f>IF(Tabla14[[#This Row],[Valor general de PC]]&lt; $AA$51, "Alto", IF(Tabla14[[#This Row],[Valor general de PC]]&lt; $AA$53, "Medio", "Bajo"))</f>
        <v>Bajo</v>
      </c>
    </row>
    <row r="40" spans="1:28" ht="15.75" x14ac:dyDescent="0.25">
      <c r="A40" s="31">
        <v>2024256175</v>
      </c>
      <c r="B40" s="31"/>
      <c r="C40" s="31"/>
      <c r="D40" s="31"/>
      <c r="E40" s="32" t="s">
        <v>42</v>
      </c>
      <c r="F40" s="32" t="s">
        <v>93</v>
      </c>
      <c r="G40" s="32">
        <v>41</v>
      </c>
      <c r="H40" s="32">
        <v>1</v>
      </c>
      <c r="I40" s="32">
        <v>1</v>
      </c>
      <c r="J40" s="32">
        <v>0</v>
      </c>
      <c r="K40" s="32">
        <v>0</v>
      </c>
      <c r="L40" s="33">
        <f>Tabla14[[#This Row],[ERL]]+Tabla14[[#This Row],[IRL]]</f>
        <v>0</v>
      </c>
      <c r="M40" s="32">
        <v>12</v>
      </c>
      <c r="N40" s="32">
        <f>Tabla14[[#This Row],[LoCode]]/Tabla14[[#This Row],[NoFunctions]]</f>
        <v>41</v>
      </c>
      <c r="O40" s="33">
        <v>0.5</v>
      </c>
      <c r="P40" s="33">
        <f>SUM(Tabla14[[#This Row],[CC]:[IDC]]) - Tabla14[[#This Row],[IRC]]</f>
        <v>53.5</v>
      </c>
      <c r="Q40" s="32" t="str">
        <f t="shared" si="3"/>
        <v>Bajo</v>
      </c>
      <c r="R40" s="33">
        <f>1 - ((Tabla14[[#This Row],[TPFM]]- $N$52) / ($N$51 - $N$52))</f>
        <v>0</v>
      </c>
      <c r="S40" s="33">
        <v>0.04</v>
      </c>
      <c r="T40" s="33">
        <v>0.08</v>
      </c>
      <c r="U40" s="33">
        <f>SUM(Tabla14[[#This Row],[IPTFM]:[Comentarios2]]) / 3</f>
        <v>0.04</v>
      </c>
      <c r="V40" s="32">
        <f>Tabla14[[#This Row],[CC]]/10</f>
        <v>1.2</v>
      </c>
      <c r="W40" s="33">
        <f xml:space="preserve"> (Tabla14[[#This Row],[ICLC]] + (1 - Tabla14[[#This Row],[ICC]])) / 2</f>
        <v>-7.9999999999999974E-2</v>
      </c>
      <c r="X40" s="32" t="str">
        <f t="shared" si="2"/>
        <v>Bajo</v>
      </c>
      <c r="Y40" s="32">
        <v>1</v>
      </c>
      <c r="Z40" s="80" t="str">
        <f t="shared" si="0"/>
        <v>Alto</v>
      </c>
      <c r="AA40" s="33">
        <f>Tabla14[[#This Row],[Valor general]]-Tabla14[[#This Row],[Valor general2]]-Tabla14[[#This Row],[INN]]</f>
        <v>52.58</v>
      </c>
      <c r="AB40" s="32" t="str">
        <f>IF(Tabla14[[#This Row],[Valor general de PC]]&lt; $AA$51, "Alto", IF(Tabla14[[#This Row],[Valor general de PC]]&lt; $AA$53, "Medio", "Bajo"))</f>
        <v>Bajo</v>
      </c>
    </row>
    <row r="41" spans="1:28" ht="15.75" x14ac:dyDescent="0.25">
      <c r="A41" s="45">
        <v>2024256560</v>
      </c>
      <c r="B41" s="45"/>
      <c r="C41" s="45"/>
      <c r="D41" s="45"/>
      <c r="E41" s="46" t="s">
        <v>42</v>
      </c>
      <c r="F41" s="46" t="s">
        <v>113</v>
      </c>
      <c r="G41" s="46">
        <v>24</v>
      </c>
      <c r="H41" s="46">
        <v>28</v>
      </c>
      <c r="I41" s="46">
        <v>1</v>
      </c>
      <c r="J41" s="46">
        <v>0</v>
      </c>
      <c r="K41" s="46">
        <v>0</v>
      </c>
      <c r="L41" s="47">
        <f>Tabla14[[#This Row],[ERL]]+Tabla14[[#This Row],[IRL]]</f>
        <v>0</v>
      </c>
      <c r="M41" s="46">
        <v>10</v>
      </c>
      <c r="N41" s="46">
        <f>Tabla14[[#This Row],[LoCode]]/Tabla14[[#This Row],[NoFunctions]]</f>
        <v>24</v>
      </c>
      <c r="O41" s="47">
        <v>0.5</v>
      </c>
      <c r="P41" s="47">
        <f>SUM(Tabla14[[#This Row],[CC]:[IDC]]) - Tabla14[[#This Row],[IRC]]</f>
        <v>34.5</v>
      </c>
      <c r="Q41" s="46" t="str">
        <f t="shared" si="3"/>
        <v>Medio</v>
      </c>
      <c r="R41" s="47">
        <f>1 - ((Tabla14[[#This Row],[TPFM]]- $N$52) / ($N$51 - $N$52))</f>
        <v>0.48226950354609932</v>
      </c>
      <c r="S41" s="47">
        <v>0.15</v>
      </c>
      <c r="T41" s="47">
        <v>0.05</v>
      </c>
      <c r="U41" s="47">
        <f>SUM(Tabla14[[#This Row],[IPTFM]:[Comentarios2]]) / 3</f>
        <v>0.22742316784869979</v>
      </c>
      <c r="V41" s="46">
        <f>Tabla14[[#This Row],[CC]]/10</f>
        <v>1</v>
      </c>
      <c r="W41" s="47">
        <f xml:space="preserve"> (Tabla14[[#This Row],[ICLC]] + (1 - Tabla14[[#This Row],[ICC]])) / 2</f>
        <v>0.11371158392434989</v>
      </c>
      <c r="X41" s="46" t="str">
        <f t="shared" si="2"/>
        <v>Medio</v>
      </c>
      <c r="Y41" s="46"/>
      <c r="Z41" s="80" t="str">
        <f t="shared" si="0"/>
        <v>Bajo</v>
      </c>
      <c r="AA41" s="47">
        <f>Tabla14[[#This Row],[Valor general]]-Tabla14[[#This Row],[Valor general2]]-Tabla14[[#This Row],[INN]]</f>
        <v>34.386288416075651</v>
      </c>
      <c r="AB41" s="46" t="str">
        <f>IF(Tabla14[[#This Row],[Valor general de PC]]&lt; $AA$51, "Alto", IF(Tabla14[[#This Row],[Valor general de PC]]&lt; $AA$53, "Medio", "Bajo"))</f>
        <v>Medio</v>
      </c>
    </row>
    <row r="42" spans="1:28" ht="15.75" x14ac:dyDescent="0.25">
      <c r="A42" s="31">
        <v>2024256710</v>
      </c>
      <c r="B42" s="31"/>
      <c r="C42" s="31"/>
      <c r="D42" s="31"/>
      <c r="E42" s="32" t="s">
        <v>44</v>
      </c>
      <c r="F42" s="32" t="s">
        <v>95</v>
      </c>
      <c r="G42" s="32">
        <v>27</v>
      </c>
      <c r="H42" s="32">
        <v>0</v>
      </c>
      <c r="I42" s="32">
        <v>2</v>
      </c>
      <c r="J42" s="32">
        <v>0</v>
      </c>
      <c r="K42" s="32">
        <v>0</v>
      </c>
      <c r="L42" s="33">
        <f>Tabla14[[#This Row],[ERL]]+Tabla14[[#This Row],[IRL]]</f>
        <v>0</v>
      </c>
      <c r="M42" s="32">
        <v>4.5</v>
      </c>
      <c r="N42" s="32">
        <f>Tabla14[[#This Row],[LoCode]]/Tabla14[[#This Row],[NoFunctions]]</f>
        <v>13.5</v>
      </c>
      <c r="O42" s="33">
        <v>0.56000000000000005</v>
      </c>
      <c r="P42" s="33">
        <f>SUM(Tabla14[[#This Row],[CC]:[IDC]]) - Tabla14[[#This Row],[IRC]]</f>
        <v>18.559999999999999</v>
      </c>
      <c r="Q42" s="32" t="str">
        <f t="shared" si="3"/>
        <v>Medio</v>
      </c>
      <c r="R42" s="33">
        <f>1 - ((Tabla14[[#This Row],[TPFM]]- $N$52) / ($N$51 - $N$52))</f>
        <v>0.78014184397163122</v>
      </c>
      <c r="S42" s="33">
        <v>7.0000000000000007E-2</v>
      </c>
      <c r="T42" s="33">
        <v>0</v>
      </c>
      <c r="U42" s="33">
        <f>SUM(Tabla14[[#This Row],[IPTFM]:[Comentarios2]]) / 3</f>
        <v>0.28338061465721043</v>
      </c>
      <c r="V42" s="32">
        <f>Tabla14[[#This Row],[CC]]/10</f>
        <v>0.45</v>
      </c>
      <c r="W42" s="33">
        <f xml:space="preserve"> (Tabla14[[#This Row],[ICLC]] + (1 - Tabla14[[#This Row],[ICC]])) / 2</f>
        <v>0.41669030732860524</v>
      </c>
      <c r="X42" s="32" t="str">
        <f t="shared" si="2"/>
        <v>Medio</v>
      </c>
      <c r="Y42" s="32">
        <v>0</v>
      </c>
      <c r="Z42" s="80" t="str">
        <f t="shared" si="0"/>
        <v>Bajo</v>
      </c>
      <c r="AA42" s="33">
        <f>Tabla14[[#This Row],[Valor general]]-Tabla14[[#This Row],[Valor general2]]-Tabla14[[#This Row],[INN]]</f>
        <v>18.143309692671394</v>
      </c>
      <c r="AB42" s="32" t="str">
        <f>IF(Tabla14[[#This Row],[Valor general de PC]]&lt; $AA$51, "Alto", IF(Tabla14[[#This Row],[Valor general de PC]]&lt; $AA$53, "Medio", "Bajo"))</f>
        <v>Medio</v>
      </c>
    </row>
    <row r="43" spans="1:28" ht="15.75" hidden="1" x14ac:dyDescent="0.25">
      <c r="A43" s="2">
        <v>2024305867</v>
      </c>
      <c r="B43" s="2"/>
      <c r="C43" s="2"/>
      <c r="D43" s="2"/>
      <c r="L43" s="8">
        <f>Tabla14[[#This Row],[ERL]]+Tabla14[[#This Row],[IRL]]</f>
        <v>0</v>
      </c>
      <c r="N43" t="e">
        <f>Tabla14[[#This Row],[LoCode]]/Tabla14[[#This Row],[NoFunctions]]</f>
        <v>#DIV/0!</v>
      </c>
      <c r="O43" s="8"/>
      <c r="P43" s="8" t="e">
        <f>SUM(Tabla14[[#This Row],[CC]:[IDC]]) - Tabla14[[#This Row],[IRC]]</f>
        <v>#DIV/0!</v>
      </c>
      <c r="Q43" t="e">
        <f t="shared" si="3"/>
        <v>#DIV/0!</v>
      </c>
      <c r="R43" s="8" t="e">
        <f>1 - ((Tabla14[[#This Row],[TPFM]]- $N$52) / ($N$51 - $N$52))</f>
        <v>#DIV/0!</v>
      </c>
      <c r="S43" s="8"/>
      <c r="T43" s="8"/>
      <c r="U43" s="8" t="e">
        <f>SUM(Tabla14[[#This Row],[IPTFM]:[Comentarios2]]) / 3</f>
        <v>#DIV/0!</v>
      </c>
      <c r="V43">
        <f>Tabla14[[#This Row],[CC]]/10</f>
        <v>0</v>
      </c>
      <c r="W43" s="8" t="e">
        <f xml:space="preserve"> (Tabla14[[#This Row],[ICLC]] + (1 - Tabla14[[#This Row],[ICC]])) / 2</f>
        <v>#DIV/0!</v>
      </c>
      <c r="X43" s="16" t="e">
        <f t="shared" si="2"/>
        <v>#DIV/0!</v>
      </c>
      <c r="Z43" s="80" t="str">
        <f t="shared" si="0"/>
        <v>Bajo</v>
      </c>
      <c r="AA43" s="8" t="e">
        <f>Tabla14[[#This Row],[Valor general]]-Tabla14[[#This Row],[Valor general2]]-Tabla14[[#This Row],[INN]]</f>
        <v>#DIV/0!</v>
      </c>
      <c r="AB43" t="e">
        <f>IF(Tabla14[[#This Row],[Valor general de PC]]&lt; $AA$51, "Alto", IF(Tabla14[[#This Row],[Valor general de PC]]&lt; $AA$53, "Medio", "Bajo"))</f>
        <v>#DIV/0!</v>
      </c>
    </row>
    <row r="44" spans="1:28" s="5" customFormat="1" ht="15.75" x14ac:dyDescent="0.25">
      <c r="A44" s="45">
        <v>2024800088</v>
      </c>
      <c r="B44" s="45"/>
      <c r="C44" s="45"/>
      <c r="D44" s="45"/>
      <c r="E44" s="46" t="s">
        <v>44</v>
      </c>
      <c r="F44" s="46" t="s">
        <v>114</v>
      </c>
      <c r="G44" s="46">
        <v>10</v>
      </c>
      <c r="H44" s="46">
        <v>1</v>
      </c>
      <c r="I44" s="46">
        <v>1</v>
      </c>
      <c r="J44" s="46">
        <f>(1/Tabla14[[#This Row],[LoCode]])</f>
        <v>0.1</v>
      </c>
      <c r="K44" s="47">
        <v>0</v>
      </c>
      <c r="L44" s="47">
        <f>Tabla14[[#This Row],[ERL]]+Tabla14[[#This Row],[IRL]]</f>
        <v>0.1</v>
      </c>
      <c r="M44" s="46">
        <v>4</v>
      </c>
      <c r="N44" s="46">
        <f>Tabla14[[#This Row],[LoCode]]/Tabla14[[#This Row],[NoFunctions]]</f>
        <v>10</v>
      </c>
      <c r="O44" s="47">
        <v>0.3</v>
      </c>
      <c r="P44" s="47">
        <f>SUM(Tabla14[[#This Row],[CC]:[IDC]]) - Tabla14[[#This Row],[IRC]]</f>
        <v>14.200000000000001</v>
      </c>
      <c r="Q44" s="46" t="str">
        <f t="shared" si="3"/>
        <v>Alto</v>
      </c>
      <c r="R44" s="47">
        <f>1 - ((Tabla14[[#This Row],[TPFM]]- $N$52) / ($N$51 - $N$52))</f>
        <v>0.87943262411347523</v>
      </c>
      <c r="S44" s="47">
        <v>0.22</v>
      </c>
      <c r="T44" s="47">
        <v>0</v>
      </c>
      <c r="U44" s="47">
        <f>SUM(Tabla14[[#This Row],[IPTFM]:[Comentarios2]]) / 3</f>
        <v>0.36647754137115846</v>
      </c>
      <c r="V44" s="46">
        <f>Tabla14[[#This Row],[CC]]/10</f>
        <v>0.4</v>
      </c>
      <c r="W44" s="47">
        <f xml:space="preserve"> (Tabla14[[#This Row],[ICLC]] + (1 - Tabla14[[#This Row],[ICC]])) / 2</f>
        <v>0.48323877068557919</v>
      </c>
      <c r="X44" s="46" t="str">
        <f t="shared" si="2"/>
        <v>Alto</v>
      </c>
      <c r="Y44" s="46"/>
      <c r="Z44" s="80" t="str">
        <f t="shared" si="0"/>
        <v>Bajo</v>
      </c>
      <c r="AA44" s="47">
        <f>Tabla14[[#This Row],[Valor general]]-Tabla14[[#This Row],[Valor general2]]-Tabla14[[#This Row],[INN]]</f>
        <v>13.716761229314422</v>
      </c>
      <c r="AB44" s="46" t="str">
        <f>IF(Tabla14[[#This Row],[Valor general de PC]]&lt; $AA$51, "Alto", IF(Tabla14[[#This Row],[Valor general de PC]]&lt; $AA$53, "Medio", "Bajo"))</f>
        <v>Alto</v>
      </c>
    </row>
    <row r="45" spans="1:28" ht="15.75" x14ac:dyDescent="0.25">
      <c r="A45" s="31">
        <v>2024800128</v>
      </c>
      <c r="B45" s="31"/>
      <c r="C45" s="31"/>
      <c r="D45" s="31"/>
      <c r="E45" s="32" t="s">
        <v>44</v>
      </c>
      <c r="F45" s="32" t="s">
        <v>45</v>
      </c>
      <c r="G45" s="32">
        <v>16</v>
      </c>
      <c r="H45" s="32">
        <v>1</v>
      </c>
      <c r="I45" s="32">
        <v>2</v>
      </c>
      <c r="J45" s="32">
        <v>0</v>
      </c>
      <c r="K45" s="32">
        <v>0</v>
      </c>
      <c r="L45" s="33">
        <f>Tabla14[[#This Row],[ERL]]+Tabla14[[#This Row],[IRL]]</f>
        <v>0</v>
      </c>
      <c r="M45" s="32">
        <v>3.5</v>
      </c>
      <c r="N45" s="32">
        <f>Tabla14[[#This Row],[LoCode]]/Tabla14[[#This Row],[NoFunctions]]</f>
        <v>8</v>
      </c>
      <c r="O45" s="33">
        <v>0.56000000000000005</v>
      </c>
      <c r="P45" s="33">
        <f>SUM(Tabla14[[#This Row],[CC]:[IDC]]) - Tabla14[[#This Row],[IRC]]</f>
        <v>12.06</v>
      </c>
      <c r="Q45" s="32" t="str">
        <f t="shared" si="3"/>
        <v>Alto</v>
      </c>
      <c r="R45" s="33">
        <f>1 - ((Tabla14[[#This Row],[TPFM]]- $N$52) / ($N$51 - $N$52))</f>
        <v>0.93617021276595747</v>
      </c>
      <c r="S45" s="33">
        <v>0.14000000000000001</v>
      </c>
      <c r="T45" s="33">
        <v>0</v>
      </c>
      <c r="U45" s="33">
        <f>SUM(Tabla14[[#This Row],[IPTFM]:[Comentarios2]]) / 3</f>
        <v>0.35872340425531918</v>
      </c>
      <c r="V45" s="32">
        <f>Tabla14[[#This Row],[CC]]/10</f>
        <v>0.35</v>
      </c>
      <c r="W45" s="33">
        <f xml:space="preserve"> (Tabla14[[#This Row],[ICLC]] + (1 - Tabla14[[#This Row],[ICC]])) / 2</f>
        <v>0.50436170212765963</v>
      </c>
      <c r="X45" s="32" t="str">
        <f t="shared" si="2"/>
        <v>Alto</v>
      </c>
      <c r="Y45" s="32">
        <v>1</v>
      </c>
      <c r="Z45" s="80" t="str">
        <f t="shared" si="0"/>
        <v>Alto</v>
      </c>
      <c r="AA45" s="33">
        <f>Tabla14[[#This Row],[Valor general]]-Tabla14[[#This Row],[Valor general2]]-Tabla14[[#This Row],[INN]]</f>
        <v>10.55563829787234</v>
      </c>
      <c r="AB45" s="32" t="str">
        <f>IF(Tabla14[[#This Row],[Valor general de PC]]&lt; $AA$51, "Alto", IF(Tabla14[[#This Row],[Valor general de PC]]&lt; $AA$53, "Medio", "Bajo"))</f>
        <v>Alto</v>
      </c>
    </row>
    <row r="46" spans="1:28" s="4" customFormat="1" ht="15.75" x14ac:dyDescent="0.25">
      <c r="A46" s="20">
        <v>2024800158</v>
      </c>
      <c r="B46" s="20"/>
      <c r="C46" s="20"/>
      <c r="D46" s="20"/>
      <c r="E46" s="21" t="s">
        <v>44</v>
      </c>
      <c r="F46" s="21" t="s">
        <v>114</v>
      </c>
      <c r="G46" s="21">
        <v>9</v>
      </c>
      <c r="H46" s="21">
        <v>1</v>
      </c>
      <c r="I46" s="21">
        <v>1</v>
      </c>
      <c r="J46" s="21">
        <v>0</v>
      </c>
      <c r="K46" s="23">
        <v>0</v>
      </c>
      <c r="L46" s="23">
        <f>Tabla14[[#This Row],[ERL]]+Tabla14[[#This Row],[IRL]]</f>
        <v>0</v>
      </c>
      <c r="M46" s="21">
        <v>3</v>
      </c>
      <c r="N46" s="21">
        <f>Tabla14[[#This Row],[LoCode]]/Tabla14[[#This Row],[NoFunctions]]</f>
        <v>9</v>
      </c>
      <c r="O46" s="23">
        <v>0</v>
      </c>
      <c r="P46" s="23">
        <f>SUM(Tabla14[[#This Row],[CC]:[IDC]]) - Tabla14[[#This Row],[IRC]]</f>
        <v>12</v>
      </c>
      <c r="Q46" s="21" t="str">
        <f t="shared" si="3"/>
        <v>Alto</v>
      </c>
      <c r="R46" s="23">
        <f>1 - ((Tabla14[[#This Row],[TPFM]]- $N$52) / ($N$51 - $N$52))</f>
        <v>0.90780141843971629</v>
      </c>
      <c r="S46" s="23">
        <v>0.05</v>
      </c>
      <c r="T46" s="23">
        <v>0</v>
      </c>
      <c r="U46" s="23">
        <f>SUM(Tabla14[[#This Row],[IPTFM]:[Comentarios2]]) / 3</f>
        <v>0.31926713947990543</v>
      </c>
      <c r="V46" s="21">
        <f>Tabla14[[#This Row],[CC]]/10</f>
        <v>0.3</v>
      </c>
      <c r="W46" s="23">
        <f xml:space="preserve"> (Tabla14[[#This Row],[ICLC]] + (1 - Tabla14[[#This Row],[ICC]])) / 2</f>
        <v>0.50963356973995266</v>
      </c>
      <c r="X46" s="21" t="str">
        <f t="shared" si="2"/>
        <v>Alto</v>
      </c>
      <c r="Y46" s="21">
        <v>1</v>
      </c>
      <c r="Z46" s="80" t="str">
        <f t="shared" si="0"/>
        <v>Alto</v>
      </c>
      <c r="AA46" s="23">
        <f>Tabla14[[#This Row],[Valor general]]-Tabla14[[#This Row],[Valor general2]]-Tabla14[[#This Row],[INN]]</f>
        <v>10.490366430260048</v>
      </c>
      <c r="AB46" s="21" t="str">
        <f>IF(Tabla14[[#This Row],[Valor general de PC]]&lt; $AA$51, "Alto", IF(Tabla14[[#This Row],[Valor general de PC]]&lt; $AA$53, "Medio", "Bajo"))</f>
        <v>Alto</v>
      </c>
    </row>
    <row r="47" spans="1:28" ht="15.75" x14ac:dyDescent="0.25">
      <c r="A47" s="31">
        <v>2024800621</v>
      </c>
      <c r="B47" s="31"/>
      <c r="C47" s="31"/>
      <c r="D47" s="31"/>
      <c r="E47" s="32" t="s">
        <v>44</v>
      </c>
      <c r="F47" s="32" t="s">
        <v>115</v>
      </c>
      <c r="G47" s="32">
        <v>25</v>
      </c>
      <c r="H47" s="32">
        <v>2</v>
      </c>
      <c r="I47" s="32">
        <v>1</v>
      </c>
      <c r="J47" s="32">
        <v>0</v>
      </c>
      <c r="K47" s="32">
        <v>0</v>
      </c>
      <c r="L47" s="33">
        <f>Tabla14[[#This Row],[ERL]]+Tabla14[[#This Row],[IRL]]</f>
        <v>0</v>
      </c>
      <c r="M47" s="32">
        <v>7</v>
      </c>
      <c r="N47" s="32">
        <f>Tabla14[[#This Row],[LoCode]]/Tabla14[[#This Row],[NoFunctions]]</f>
        <v>25</v>
      </c>
      <c r="O47" s="33">
        <v>0.56000000000000005</v>
      </c>
      <c r="P47" s="33">
        <f>SUM(Tabla14[[#This Row],[CC]:[IDC]]) - Tabla14[[#This Row],[IRC]]</f>
        <v>32.56</v>
      </c>
      <c r="Q47" s="32" t="str">
        <f t="shared" si="3"/>
        <v>Medio</v>
      </c>
      <c r="R47" s="33">
        <f>1 - ((Tabla14[[#This Row],[TPFM]]- $N$52) / ($N$51 - $N$52))</f>
        <v>0.45390070921985815</v>
      </c>
      <c r="S47" s="33">
        <v>0.06</v>
      </c>
      <c r="T47" s="33">
        <v>0.12</v>
      </c>
      <c r="U47" s="33">
        <f>SUM(Tabla14[[#This Row],[IPTFM]:[Comentarios2]]) / 3</f>
        <v>0.21130023640661941</v>
      </c>
      <c r="V47" s="32">
        <f>Tabla14[[#This Row],[CC]]/10</f>
        <v>0.7</v>
      </c>
      <c r="W47" s="33">
        <f xml:space="preserve"> (Tabla14[[#This Row],[ICLC]] + (1 - Tabla14[[#This Row],[ICC]])) / 2</f>
        <v>0.25565011820330974</v>
      </c>
      <c r="X47" s="32" t="str">
        <f t="shared" si="2"/>
        <v>Medio</v>
      </c>
      <c r="Y47" s="32">
        <v>1</v>
      </c>
      <c r="Z47" s="80" t="str">
        <f t="shared" si="0"/>
        <v>Alto</v>
      </c>
      <c r="AA47" s="33">
        <f>Tabla14[[#This Row],[Valor general]]-Tabla14[[#This Row],[Valor general2]]-Tabla14[[#This Row],[INN]]</f>
        <v>31.304349881796689</v>
      </c>
      <c r="AB47" s="32" t="str">
        <f>IF(Tabla14[[#This Row],[Valor general de PC]]&lt; $AA$51, "Alto", IF(Tabla14[[#This Row],[Valor general de PC]]&lt; $AA$53, "Medio", "Bajo"))</f>
        <v>Medio</v>
      </c>
    </row>
    <row r="48" spans="1:28" ht="15.75" x14ac:dyDescent="0.25">
      <c r="A48" s="20">
        <v>2024800990</v>
      </c>
      <c r="B48" s="20"/>
      <c r="C48" s="20"/>
      <c r="D48" s="20"/>
      <c r="E48" s="21" t="s">
        <v>42</v>
      </c>
      <c r="F48" s="22" t="s">
        <v>93</v>
      </c>
      <c r="G48" s="21">
        <v>33</v>
      </c>
      <c r="H48" s="21">
        <v>0</v>
      </c>
      <c r="I48" s="21">
        <v>1</v>
      </c>
      <c r="J48" s="21">
        <v>0</v>
      </c>
      <c r="K48" s="21">
        <v>0</v>
      </c>
      <c r="L48" s="23">
        <f>Tabla14[[#This Row],[ERL]]+Tabla14[[#This Row],[IRL]]</f>
        <v>0</v>
      </c>
      <c r="M48" s="21">
        <v>13</v>
      </c>
      <c r="N48" s="21">
        <f>Tabla14[[#This Row],[LoCode]]/Tabla14[[#This Row],[NoFunctions]]</f>
        <v>33</v>
      </c>
      <c r="O48" s="23">
        <v>0.73</v>
      </c>
      <c r="P48" s="23">
        <f>SUM(Tabla14[[#This Row],[CC]:[IDC]]) - Tabla14[[#This Row],[IRC]]</f>
        <v>46.73</v>
      </c>
      <c r="Q48" s="21" t="str">
        <f t="shared" si="3"/>
        <v>Bajo</v>
      </c>
      <c r="R48" s="23">
        <f>1 - ((Tabla14[[#This Row],[TPFM]]- $N$52) / ($N$51 - $N$52))</f>
        <v>0.22695035460992907</v>
      </c>
      <c r="S48" s="23">
        <v>0.08</v>
      </c>
      <c r="T48" s="23">
        <v>0</v>
      </c>
      <c r="U48" s="23">
        <f>SUM(Tabla14[[#This Row],[IPTFM]:[Comentarios2]]) / 3</f>
        <v>0.10231678486997636</v>
      </c>
      <c r="V48" s="21">
        <f>Tabla14[[#This Row],[CC]]/10</f>
        <v>1.3</v>
      </c>
      <c r="W48" s="23">
        <f xml:space="preserve"> (Tabla14[[#This Row],[ICLC]] + (1 - Tabla14[[#This Row],[ICC]])) / 2</f>
        <v>-9.8841607565011841E-2</v>
      </c>
      <c r="X48" s="21" t="str">
        <f t="shared" si="2"/>
        <v>Bajo</v>
      </c>
      <c r="Y48" s="21">
        <v>1</v>
      </c>
      <c r="Z48" s="80" t="str">
        <f t="shared" si="0"/>
        <v>Alto</v>
      </c>
      <c r="AA48" s="23">
        <f>Tabla14[[#This Row],[Valor general]]-Tabla14[[#This Row],[Valor general2]]-Tabla14[[#This Row],[INN]]</f>
        <v>45.82884160756501</v>
      </c>
      <c r="AB48" s="21" t="str">
        <f>IF(Tabla14[[#This Row],[Valor general de PC]]&lt; $AA$51, "Alto", IF(Tabla14[[#This Row],[Valor general de PC]]&lt; $AA$53, "Medio", "Bajo"))</f>
        <v>Bajo</v>
      </c>
    </row>
    <row r="49" spans="6:27" x14ac:dyDescent="0.25">
      <c r="S49" s="8"/>
    </row>
    <row r="50" spans="6:27" x14ac:dyDescent="0.25">
      <c r="M50" s="26" t="s">
        <v>13</v>
      </c>
      <c r="N50" s="26" t="s">
        <v>15</v>
      </c>
      <c r="O50" s="26" t="s">
        <v>17</v>
      </c>
      <c r="P50" s="26" t="s">
        <v>6</v>
      </c>
      <c r="S50" s="8"/>
    </row>
    <row r="51" spans="6:27" x14ac:dyDescent="0.25">
      <c r="F51" s="26" t="s">
        <v>57</v>
      </c>
      <c r="G51" s="8">
        <f>QUARTILE((P5,P6,P7,P8,P9,P10,P11,P12,P13,P14,P15,P17,P18,P19,P21,P22,P23,P24,P25,P27,P28,P29,P30,P31,P32,P34,P35,P36,P37,P4,P38,P39,P40,P41,P42,P44,P45,P46,P47,P48,P20), 1)</f>
        <v>18.559999999999999</v>
      </c>
      <c r="L51" s="26" t="s">
        <v>90</v>
      </c>
      <c r="M51">
        <f>MAX((M4:M15,M17:M25,M27:M32,M34:M42,M44:M48))</f>
        <v>15</v>
      </c>
      <c r="N51">
        <f>MAX((N4:N15,N17:N25,N27:N32,N34:N42,N44:N48))</f>
        <v>41</v>
      </c>
      <c r="O51">
        <f>MAX((O4:O15,O17:O25,O27:O32,O34:O42,O44:O48))</f>
        <v>0.77</v>
      </c>
      <c r="P51">
        <f>MAX(G4:G15,G17:G25,G27:G32,G34:G42,G44:G48)</f>
        <v>51</v>
      </c>
      <c r="S51" s="8"/>
      <c r="V51" s="27" t="s">
        <v>57</v>
      </c>
      <c r="W51" s="8">
        <f>QUARTILE((W4:W15,W17:W25,W27:W32,W34:W42,W44:W48), 1)</f>
        <v>7.7553191489361697E-2</v>
      </c>
      <c r="X51" s="27" t="s">
        <v>57</v>
      </c>
      <c r="Y51" s="8">
        <f>QUARTILE((Y4:Y15,Y17:Y25,Y27:Y32,Y34:Y42,Y44:Y48), 1)</f>
        <v>1</v>
      </c>
      <c r="Z51" s="27" t="s">
        <v>57</v>
      </c>
      <c r="AA51" s="8">
        <f>QUARTILE((AA4:AA15,AA17:AA25,AA27:AA32,AA34:AA42,AA44:AA48), 1)</f>
        <v>18.143309692671394</v>
      </c>
    </row>
    <row r="52" spans="6:27" x14ac:dyDescent="0.25">
      <c r="F52" s="26" t="s">
        <v>59</v>
      </c>
      <c r="G52" s="8">
        <f>QUARTILE((P5,P6,P7,P8,P9,P10,P11,P12,P13,P14,P15,P17,P18,P19,P21,P22,P23,P24,P25,P27,P28,P29,P30,P31,P32,P34,P35,P36,P37,P4,P38,P39,P40,P41,P42,P44,P45,P46,P47,P48,P20), 2)</f>
        <v>31.38</v>
      </c>
      <c r="L52" s="26" t="s">
        <v>91</v>
      </c>
      <c r="M52" s="8">
        <f>MIN(M4:M15,M17:M25,M27:M32,M34:M42,M44:M48)</f>
        <v>2.75</v>
      </c>
      <c r="N52" s="8">
        <f>MIN(N4:N15,N17:N25,N27:N32,N34:N42,N44:N48)</f>
        <v>5.75</v>
      </c>
      <c r="O52" s="8">
        <f t="shared" ref="O52" si="4">MIN(O4:O15,O17:O25,O27:O32,O34:O42,O44:O48)</f>
        <v>0</v>
      </c>
      <c r="P52">
        <f>MIN(G4:G15,G17:G25,G27:G32,G34:G42,G44:G48)</f>
        <v>8</v>
      </c>
      <c r="V52" s="27" t="s">
        <v>59</v>
      </c>
      <c r="W52" s="8">
        <f>QUARTILE((W4:W15,W17:W25,W27:W32,W34:W42,W44:W48), 2)</f>
        <v>0.24068557919621753</v>
      </c>
      <c r="X52" s="27" t="s">
        <v>59</v>
      </c>
      <c r="Y52" s="8">
        <f>QUARTILE((Y4:Y15,Y17:Y25,Y27:Y32,Y34:Y42,Y44:Y48), 2)</f>
        <v>1</v>
      </c>
      <c r="Z52" s="27" t="s">
        <v>59</v>
      </c>
      <c r="AA52" s="8">
        <f>QUARTILE((AA4:AA15,AA17:AA25,AA27:AA32,AA34:AA42,AA44:AA48), 2)</f>
        <v>31.206832151300237</v>
      </c>
    </row>
    <row r="53" spans="6:27" x14ac:dyDescent="0.25">
      <c r="F53" s="26" t="s">
        <v>61</v>
      </c>
      <c r="G53" s="8">
        <f>QUARTILE((P5,P6,P7,P8,P9,P10,P11,P12,P13,P14,P15,P17,P18,P19,P21,P22,P23,P24,P25,P27,P28,P29,P30,P31,P32,P34,P35,P36,P37,P4,P38,P39,P40,P41,P42,P44,P45,P46,P47,P48,P20), 3)</f>
        <v>40.33</v>
      </c>
      <c r="L53" s="26" t="s">
        <v>92</v>
      </c>
      <c r="M53" s="8">
        <f>AVERAGE(M4:M15,M17:M25,M27:M32,M34:M42,M44:M48)</f>
        <v>7.9002439024390236</v>
      </c>
      <c r="N53" s="8">
        <f t="shared" ref="N53:O53" si="5">AVERAGE(N4:N15,N17:N25,N27:N32,N34:N42,N44:N48)</f>
        <v>22.258130081300813</v>
      </c>
      <c r="O53" s="8">
        <f t="shared" si="5"/>
        <v>0.48756097560975609</v>
      </c>
      <c r="P53">
        <f>AVERAGE(G4:G15,G17:G25,G27:G32,G34:G42,G44:G48)</f>
        <v>26.26829268292683</v>
      </c>
      <c r="V53" s="27" t="s">
        <v>61</v>
      </c>
      <c r="W53" s="8">
        <f>QUARTILE((W4:W15,W17:W25,W27:W32,W34:W42,W44:W48), 3)</f>
        <v>0.44657210401891256</v>
      </c>
      <c r="X53" s="27" t="s">
        <v>61</v>
      </c>
      <c r="Y53" s="8">
        <f>QUARTILE((Y4:Y15,Y17:Y25,Y27:Y32,Y34:Y42,Y44:Y48), 3)</f>
        <v>1</v>
      </c>
      <c r="Z53" s="27" t="s">
        <v>61</v>
      </c>
      <c r="AA53" s="8">
        <f>QUARTILE((AA4:AA15,AA17:AA25,AA27:AA32,AA34:AA42,AA44:AA48), 3)</f>
        <v>40.261323877068556</v>
      </c>
    </row>
    <row r="54" spans="6:27" x14ac:dyDescent="0.25">
      <c r="F54" s="26" t="s">
        <v>63</v>
      </c>
      <c r="G54" s="8">
        <f>AVERAGE((P4:P15,P17:P25,P27:P32,P34:P42,P44:P48))</f>
        <v>30.639790494058786</v>
      </c>
      <c r="L54" s="26" t="s">
        <v>64</v>
      </c>
      <c r="M54">
        <f>STDEV(M4:M15,M17:M25,M27:M32,M34:M42,M44:M48)</f>
        <v>3.3883627962519589</v>
      </c>
      <c r="N54">
        <f t="shared" ref="N54:O54" si="6">STDEV(N4:N15,N17:N25,N27:N32,N34:N42,N44:N48)</f>
        <v>9.7786226037770998</v>
      </c>
      <c r="O54">
        <f t="shared" si="6"/>
        <v>0.19503564402186696</v>
      </c>
      <c r="P54">
        <f>STDEV(G4:G15,G17:G25,G27:G32,G34:G42,G44:G48)</f>
        <v>10.027523099559291</v>
      </c>
      <c r="V54" s="27" t="s">
        <v>63</v>
      </c>
      <c r="W54" s="8">
        <f>AVERAGE((W4:W15,W17:W25,W27:W32,W34:W42,W44:W48))</f>
        <v>0.22158346599346354</v>
      </c>
      <c r="X54" s="27" t="s">
        <v>63</v>
      </c>
      <c r="Y54" s="8">
        <f>AVERAGE(Y4:Y15,Y17:Y25,Y27:Y32,Y34:Y42,Y44:Y48)</f>
        <v>0.94545454545454533</v>
      </c>
      <c r="Z54" s="27" t="s">
        <v>63</v>
      </c>
      <c r="AA54" s="8">
        <f>AVERAGE(AA4:AA15,AA17:AA25,AA27:AA32,AA34:AA42,AA44:AA48)</f>
        <v>29.9108899548946</v>
      </c>
    </row>
    <row r="55" spans="6:27" x14ac:dyDescent="0.25">
      <c r="F55" s="26" t="s">
        <v>65</v>
      </c>
      <c r="G55" s="8">
        <f>STDEV((P5,P6,P7,P8,P9,P10,P11,P12,P13,P14,P15,P17,P18,P19,P21,P22,P23,P24,P25,P27,P28,P29,P30,P31,P32,P34,P35,P36,P37,P4,P38,P39,P40,P41,P42,P44,P45,P46,P47,P48,P20))</f>
        <v>13.020111645002146</v>
      </c>
      <c r="V55" s="27" t="s">
        <v>65</v>
      </c>
      <c r="W55" s="8">
        <f>STDEV((W4:W15,W17:W25,W27:W32,W34:W42,W44:W48))</f>
        <v>0.22336375401937097</v>
      </c>
      <c r="X55" s="27" t="s">
        <v>65</v>
      </c>
      <c r="Y55" s="8">
        <f>STDEV(Y4:Y15,Y17:Y25,Y27:Y32,Y34:Y42,Y44:Y48)</f>
        <v>0.21340163949759144</v>
      </c>
      <c r="Z55" s="27" t="s">
        <v>65</v>
      </c>
      <c r="AA55" s="8">
        <f>STDEV(AA4:AA15,AA17:AA25,AA27:AA32,AA34:AA42,AA44:AA48)</f>
        <v>13.216935295729566</v>
      </c>
    </row>
    <row r="56" spans="6:27" x14ac:dyDescent="0.25">
      <c r="F56" s="26" t="s">
        <v>66</v>
      </c>
      <c r="G56" s="8">
        <f>G55/G54</f>
        <v>0.42494127521945074</v>
      </c>
      <c r="L56" s="60"/>
      <c r="M56" s="61" t="s">
        <v>67</v>
      </c>
      <c r="N56" s="61" t="s">
        <v>68</v>
      </c>
      <c r="O56" s="61" t="s">
        <v>69</v>
      </c>
      <c r="P56" s="62"/>
      <c r="Q56" s="62">
        <f t="shared" ref="Q56:Q67" si="7">IF(EXACT(Q4,"Alto"),3,IF(EXACT(Q4,"Medio"),2,IF(EXACT(Q4,"Bajo"),1,"Vacio")))</f>
        <v>2</v>
      </c>
      <c r="R56" s="62">
        <v>28.63</v>
      </c>
      <c r="S56" s="72" t="str">
        <f t="shared" ref="S56:S96" si="8">IF(Q56= 3,"Alto",IF(Q56=2,"Medio","Bajo"))</f>
        <v>Medio</v>
      </c>
      <c r="V56" s="27" t="s">
        <v>66</v>
      </c>
      <c r="W56" s="8">
        <f>W55/W54</f>
        <v>1.0080343901920912</v>
      </c>
      <c r="X56" s="27" t="s">
        <v>66</v>
      </c>
      <c r="Y56" s="8">
        <f>Y55/Y54</f>
        <v>0.22571327254552945</v>
      </c>
      <c r="Z56" s="27" t="s">
        <v>66</v>
      </c>
      <c r="AA56" s="8">
        <f>AA55/AA54</f>
        <v>0.44187703260118999</v>
      </c>
    </row>
    <row r="57" spans="6:27" x14ac:dyDescent="0.25">
      <c r="L57" s="65" t="s">
        <v>71</v>
      </c>
      <c r="M57" s="8">
        <f>COUNTIF($Q$4:$Q$15, M56) + COUNTIF($Q$17:$Q$25,M56) + COUNTIF($Q$27:$Q$32,M56) + COUNTIF($Q$34:$Q$42,M56) + COUNTIF($Q$44:$Q$48,M56)</f>
        <v>10</v>
      </c>
      <c r="N57" s="8">
        <f>COUNTIF($Q$4:$Q$15, N56) + COUNTIF($Q$17:$Q$25,N56) + COUNTIF($Q$27:$Q$32,N56) + COUNTIF($Q$34:$Q$42,N56) + COUNTIF($Q$44:$Q$48,N56)</f>
        <v>20</v>
      </c>
      <c r="O57" s="8">
        <f>COUNTIF($Q$4:$Q$15, O56) + COUNTIF($Q$17:$Q$25,O56) + COUNTIF($Q$27:$Q$32,O56) + COUNTIF($Q$34:$Q$42,O56) + COUNTIF($Q$44:$Q$48,O56)</f>
        <v>11</v>
      </c>
      <c r="Q57">
        <f t="shared" si="7"/>
        <v>2</v>
      </c>
      <c r="R57">
        <v>29.74</v>
      </c>
      <c r="S57" s="73" t="str">
        <f t="shared" si="8"/>
        <v>Medio</v>
      </c>
    </row>
    <row r="58" spans="6:27" x14ac:dyDescent="0.25">
      <c r="L58" s="65" t="s">
        <v>73</v>
      </c>
      <c r="M58" s="8">
        <f>CORREL(R56:R96, Q56:Q96)</f>
        <v>-0.94879187271521048</v>
      </c>
      <c r="N58" s="8"/>
      <c r="O58" s="8"/>
      <c r="Q58">
        <f t="shared" si="7"/>
        <v>3</v>
      </c>
      <c r="R58">
        <v>12.71</v>
      </c>
      <c r="S58" s="73" t="str">
        <f t="shared" si="8"/>
        <v>Alto</v>
      </c>
    </row>
    <row r="59" spans="6:27" x14ac:dyDescent="0.25">
      <c r="L59" s="65" t="s">
        <v>81</v>
      </c>
      <c r="M59" s="8" cm="1">
        <f t="array" ref="M59">SUMPRODUCT(($S$56:$S$96=M56)*($R$56:$R$96)) / M57</f>
        <v>12.771333333333335</v>
      </c>
      <c r="N59" s="8" cm="1">
        <f t="array" ref="N59">SUMPRODUCT(($S$56:$S$96=N56)*($R$56:$R$96)) / N57</f>
        <v>30.616903846153843</v>
      </c>
      <c r="O59" s="8" cm="1">
        <f t="array" ref="O59">SUMPRODUCT(($S$56:$S$96=O56)*($R$56:$R$96)) / O57</f>
        <v>46.925454545454542</v>
      </c>
      <c r="Q59">
        <f t="shared" si="7"/>
        <v>2</v>
      </c>
      <c r="R59">
        <v>32.72</v>
      </c>
      <c r="S59" s="73" t="str">
        <f t="shared" si="8"/>
        <v>Medio</v>
      </c>
    </row>
    <row r="60" spans="6:27" x14ac:dyDescent="0.25">
      <c r="L60" s="75"/>
      <c r="Q60">
        <f t="shared" si="7"/>
        <v>2</v>
      </c>
      <c r="R60">
        <v>36.76</v>
      </c>
      <c r="S60" s="73" t="str">
        <f t="shared" si="8"/>
        <v>Medio</v>
      </c>
    </row>
    <row r="61" spans="6:27" x14ac:dyDescent="0.25">
      <c r="L61" s="75"/>
      <c r="Q61">
        <f t="shared" si="7"/>
        <v>1</v>
      </c>
      <c r="R61">
        <v>44.77</v>
      </c>
      <c r="S61" s="73" t="str">
        <f t="shared" si="8"/>
        <v>Bajo</v>
      </c>
    </row>
    <row r="62" spans="6:27" x14ac:dyDescent="0.25">
      <c r="L62" s="75"/>
      <c r="Q62">
        <f t="shared" si="7"/>
        <v>2</v>
      </c>
      <c r="R62">
        <v>39.71</v>
      </c>
      <c r="S62" s="73" t="str">
        <f t="shared" si="8"/>
        <v>Medio</v>
      </c>
    </row>
    <row r="63" spans="6:27" x14ac:dyDescent="0.25">
      <c r="L63" s="75"/>
      <c r="Q63">
        <f t="shared" si="7"/>
        <v>2</v>
      </c>
      <c r="R63">
        <v>35.21</v>
      </c>
      <c r="S63" s="73" t="str">
        <f t="shared" si="8"/>
        <v>Medio</v>
      </c>
    </row>
    <row r="64" spans="6:27" x14ac:dyDescent="0.25">
      <c r="L64" s="75"/>
      <c r="Q64">
        <f t="shared" si="7"/>
        <v>2</v>
      </c>
      <c r="R64">
        <v>31.38</v>
      </c>
      <c r="S64" s="73" t="str">
        <f t="shared" si="8"/>
        <v>Medio</v>
      </c>
    </row>
    <row r="65" spans="12:19" x14ac:dyDescent="0.25">
      <c r="L65" s="75"/>
      <c r="Q65">
        <f t="shared" si="7"/>
        <v>2</v>
      </c>
      <c r="R65">
        <v>29.72</v>
      </c>
      <c r="S65" s="73" t="str">
        <f t="shared" si="8"/>
        <v>Medio</v>
      </c>
    </row>
    <row r="66" spans="12:19" x14ac:dyDescent="0.25">
      <c r="L66" s="75"/>
      <c r="Q66">
        <f t="shared" si="7"/>
        <v>3</v>
      </c>
      <c r="R66">
        <v>14.44</v>
      </c>
      <c r="S66" s="73" t="str">
        <f t="shared" si="8"/>
        <v>Alto</v>
      </c>
    </row>
    <row r="67" spans="12:19" x14ac:dyDescent="0.25">
      <c r="L67" s="75"/>
      <c r="Q67">
        <f t="shared" si="7"/>
        <v>1</v>
      </c>
      <c r="R67">
        <v>46.76</v>
      </c>
      <c r="S67" s="73" t="str">
        <f t="shared" si="8"/>
        <v>Bajo</v>
      </c>
    </row>
    <row r="68" spans="12:19" x14ac:dyDescent="0.25">
      <c r="L68" s="75"/>
      <c r="Q68">
        <f t="shared" ref="Q68:Q76" si="9">IF(EXACT(Q17,"Alto"),3,IF(EXACT(Q17,"Medio"),2,IF(EXACT(Q17,"Bajo"),1,"Vacio")))</f>
        <v>2</v>
      </c>
      <c r="R68">
        <v>26.783076923076923</v>
      </c>
      <c r="S68" s="73" t="str">
        <f t="shared" si="8"/>
        <v>Medio</v>
      </c>
    </row>
    <row r="69" spans="12:19" x14ac:dyDescent="0.25">
      <c r="L69" s="75"/>
      <c r="Q69">
        <f t="shared" si="9"/>
        <v>3</v>
      </c>
      <c r="R69">
        <v>12.193333333333333</v>
      </c>
      <c r="S69" s="73" t="str">
        <f t="shared" si="8"/>
        <v>Alto</v>
      </c>
    </row>
    <row r="70" spans="12:19" x14ac:dyDescent="0.25">
      <c r="L70" s="75"/>
      <c r="Q70">
        <f t="shared" si="9"/>
        <v>3</v>
      </c>
      <c r="R70">
        <v>12.78</v>
      </c>
      <c r="S70" s="73" t="str">
        <f t="shared" si="8"/>
        <v>Alto</v>
      </c>
    </row>
    <row r="71" spans="12:19" x14ac:dyDescent="0.25">
      <c r="L71" s="75"/>
      <c r="Q71">
        <f t="shared" si="9"/>
        <v>2</v>
      </c>
      <c r="R71">
        <v>31.36</v>
      </c>
      <c r="S71" s="73" t="str">
        <f t="shared" si="8"/>
        <v>Medio</v>
      </c>
    </row>
    <row r="72" spans="12:19" x14ac:dyDescent="0.25">
      <c r="L72" s="75"/>
      <c r="Q72">
        <f t="shared" si="9"/>
        <v>3</v>
      </c>
      <c r="R72">
        <v>15.31</v>
      </c>
      <c r="S72" s="73" t="str">
        <f t="shared" si="8"/>
        <v>Alto</v>
      </c>
    </row>
    <row r="73" spans="12:19" x14ac:dyDescent="0.25">
      <c r="L73" s="75"/>
      <c r="Q73">
        <f t="shared" si="9"/>
        <v>1</v>
      </c>
      <c r="R73">
        <v>52.54</v>
      </c>
      <c r="S73" s="73" t="str">
        <f t="shared" si="8"/>
        <v>Bajo</v>
      </c>
    </row>
    <row r="74" spans="12:19" x14ac:dyDescent="0.25">
      <c r="L74" s="75"/>
      <c r="Q74">
        <f t="shared" si="9"/>
        <v>2</v>
      </c>
      <c r="R74">
        <v>27.425000000000001</v>
      </c>
      <c r="S74" s="73" t="str">
        <f t="shared" si="8"/>
        <v>Medio</v>
      </c>
    </row>
    <row r="75" spans="12:19" x14ac:dyDescent="0.25">
      <c r="L75" s="75"/>
      <c r="Q75">
        <f t="shared" si="9"/>
        <v>2</v>
      </c>
      <c r="R75">
        <v>26.43</v>
      </c>
      <c r="S75" s="73" t="str">
        <f t="shared" si="8"/>
        <v>Medio</v>
      </c>
    </row>
    <row r="76" spans="12:19" x14ac:dyDescent="0.25">
      <c r="L76" s="75"/>
      <c r="Q76">
        <f t="shared" si="9"/>
        <v>2</v>
      </c>
      <c r="R76">
        <v>23.19</v>
      </c>
      <c r="S76" s="73" t="str">
        <f t="shared" si="8"/>
        <v>Medio</v>
      </c>
    </row>
    <row r="77" spans="12:19" x14ac:dyDescent="0.25">
      <c r="L77" s="75"/>
      <c r="Q77">
        <f t="shared" ref="Q77:Q82" si="10">IF(EXACT(Q27,"Alto"),3,IF(EXACT(Q27,"Medio"),2,IF(EXACT(Q27,"Bajo"),1,"Vacio")))</f>
        <v>2</v>
      </c>
      <c r="R77">
        <v>33.630000000000003</v>
      </c>
      <c r="S77" s="73" t="str">
        <f t="shared" si="8"/>
        <v>Medio</v>
      </c>
    </row>
    <row r="78" spans="12:19" x14ac:dyDescent="0.25">
      <c r="L78" s="75"/>
      <c r="Q78">
        <f t="shared" si="10"/>
        <v>3</v>
      </c>
      <c r="R78">
        <v>8.8000000000000007</v>
      </c>
      <c r="S78" s="73" t="str">
        <f t="shared" si="8"/>
        <v>Alto</v>
      </c>
    </row>
    <row r="79" spans="12:19" x14ac:dyDescent="0.25">
      <c r="L79" s="75"/>
      <c r="Q79">
        <f t="shared" si="10"/>
        <v>2</v>
      </c>
      <c r="R79">
        <v>32.74</v>
      </c>
      <c r="S79" s="73" t="str">
        <f t="shared" si="8"/>
        <v>Medio</v>
      </c>
    </row>
    <row r="80" spans="12:19" x14ac:dyDescent="0.25">
      <c r="L80" s="75"/>
      <c r="Q80">
        <f t="shared" si="10"/>
        <v>1</v>
      </c>
      <c r="R80">
        <v>44.4</v>
      </c>
      <c r="S80" s="73" t="str">
        <f t="shared" si="8"/>
        <v>Bajo</v>
      </c>
    </row>
    <row r="81" spans="12:19" x14ac:dyDescent="0.25">
      <c r="L81" s="75"/>
      <c r="Q81">
        <f t="shared" si="10"/>
        <v>1</v>
      </c>
      <c r="R81">
        <v>50.74</v>
      </c>
      <c r="S81" s="73" t="str">
        <f t="shared" si="8"/>
        <v>Bajo</v>
      </c>
    </row>
    <row r="82" spans="12:19" x14ac:dyDescent="0.25">
      <c r="L82" s="75"/>
      <c r="Q82">
        <f t="shared" si="10"/>
        <v>1</v>
      </c>
      <c r="R82">
        <v>43.47</v>
      </c>
      <c r="S82" s="73" t="str">
        <f t="shared" si="8"/>
        <v>Bajo</v>
      </c>
    </row>
    <row r="83" spans="12:19" x14ac:dyDescent="0.25">
      <c r="L83" s="75"/>
      <c r="Q83">
        <f t="shared" ref="Q83:Q91" si="11">IF(EXACT(Q34,"Alto"),3,IF(EXACT(Q34,"Medio"),2,IF(EXACT(Q34,"Bajo"),1,"Vacio")))</f>
        <v>2</v>
      </c>
      <c r="R83">
        <v>34.32</v>
      </c>
      <c r="S83" s="73" t="str">
        <f t="shared" si="8"/>
        <v>Medio</v>
      </c>
    </row>
    <row r="84" spans="12:19" x14ac:dyDescent="0.25">
      <c r="L84" s="75"/>
      <c r="Q84">
        <f t="shared" si="11"/>
        <v>1</v>
      </c>
      <c r="R84">
        <v>40.33</v>
      </c>
      <c r="S84" s="73" t="str">
        <f t="shared" si="8"/>
        <v>Bajo</v>
      </c>
    </row>
    <row r="85" spans="12:19" x14ac:dyDescent="0.25">
      <c r="L85" s="75"/>
      <c r="Q85">
        <f t="shared" si="11"/>
        <v>1</v>
      </c>
      <c r="R85">
        <v>50.39</v>
      </c>
      <c r="S85" s="73" t="str">
        <f t="shared" si="8"/>
        <v>Bajo</v>
      </c>
    </row>
    <row r="86" spans="12:19" x14ac:dyDescent="0.25">
      <c r="L86" s="75"/>
      <c r="Q86">
        <f t="shared" si="11"/>
        <v>2</v>
      </c>
      <c r="R86">
        <v>26.97</v>
      </c>
      <c r="S86" s="73" t="str">
        <f t="shared" si="8"/>
        <v>Medio</v>
      </c>
    </row>
    <row r="87" spans="12:19" x14ac:dyDescent="0.25">
      <c r="L87" s="75"/>
      <c r="Q87">
        <f t="shared" si="11"/>
        <v>3</v>
      </c>
      <c r="R87">
        <v>13.22</v>
      </c>
      <c r="S87" s="73" t="str">
        <f t="shared" si="8"/>
        <v>Alto</v>
      </c>
    </row>
    <row r="88" spans="12:19" x14ac:dyDescent="0.25">
      <c r="L88" s="75"/>
      <c r="Q88">
        <f t="shared" si="11"/>
        <v>1</v>
      </c>
      <c r="R88">
        <v>42.55</v>
      </c>
      <c r="S88" s="73" t="str">
        <f t="shared" si="8"/>
        <v>Bajo</v>
      </c>
    </row>
    <row r="89" spans="12:19" x14ac:dyDescent="0.25">
      <c r="L89" s="75"/>
      <c r="Q89">
        <f t="shared" si="11"/>
        <v>1</v>
      </c>
      <c r="R89">
        <v>53.5</v>
      </c>
      <c r="S89" s="73" t="str">
        <f t="shared" si="8"/>
        <v>Bajo</v>
      </c>
    </row>
    <row r="90" spans="12:19" x14ac:dyDescent="0.25">
      <c r="L90" s="75"/>
      <c r="Q90">
        <f t="shared" si="11"/>
        <v>2</v>
      </c>
      <c r="R90">
        <v>34.5</v>
      </c>
      <c r="S90" s="73" t="str">
        <f t="shared" si="8"/>
        <v>Medio</v>
      </c>
    </row>
    <row r="91" spans="12:19" x14ac:dyDescent="0.25">
      <c r="L91" s="75"/>
      <c r="Q91">
        <f t="shared" si="11"/>
        <v>2</v>
      </c>
      <c r="R91">
        <v>18.559999999999999</v>
      </c>
      <c r="S91" s="73" t="str">
        <f t="shared" si="8"/>
        <v>Medio</v>
      </c>
    </row>
    <row r="92" spans="12:19" x14ac:dyDescent="0.25">
      <c r="L92" s="75"/>
      <c r="Q92">
        <f>IF(EXACT(Q44,"Alto"),3,IF(EXACT(Q44,"Medio"),2,IF(EXACT(Q44,"Bajo"),1,"Vacio")))</f>
        <v>3</v>
      </c>
      <c r="R92">
        <v>14.200000000000001</v>
      </c>
      <c r="S92" s="73" t="str">
        <f t="shared" si="8"/>
        <v>Alto</v>
      </c>
    </row>
    <row r="93" spans="12:19" x14ac:dyDescent="0.25">
      <c r="L93" s="75"/>
      <c r="Q93">
        <f>IF(EXACT(Q45,"Alto"),3,IF(EXACT(Q45,"Medio"),2,IF(EXACT(Q45,"Bajo"),1,"Vacio")))</f>
        <v>3</v>
      </c>
      <c r="R93">
        <v>12.06</v>
      </c>
      <c r="S93" s="73" t="str">
        <f t="shared" si="8"/>
        <v>Alto</v>
      </c>
    </row>
    <row r="94" spans="12:19" x14ac:dyDescent="0.25">
      <c r="L94" s="75"/>
      <c r="Q94">
        <f>IF(EXACT(Q46,"Alto"),3,IF(EXACT(Q46,"Medio"),2,IF(EXACT(Q46,"Bajo"),1,"Vacio")))</f>
        <v>3</v>
      </c>
      <c r="R94">
        <v>12</v>
      </c>
      <c r="S94" s="73" t="str">
        <f t="shared" si="8"/>
        <v>Alto</v>
      </c>
    </row>
    <row r="95" spans="12:19" x14ac:dyDescent="0.25">
      <c r="L95" s="75"/>
      <c r="Q95">
        <f>IF(EXACT(Q47,"Alto"),3,IF(EXACT(Q47,"Medio"),2,IF(EXACT(Q47,"Bajo"),1,"Vacio")))</f>
        <v>2</v>
      </c>
      <c r="R95">
        <v>32.56</v>
      </c>
      <c r="S95" s="73" t="str">
        <f t="shared" si="8"/>
        <v>Medio</v>
      </c>
    </row>
    <row r="96" spans="12:19" x14ac:dyDescent="0.25">
      <c r="L96" s="76"/>
      <c r="M96" s="70"/>
      <c r="N96" s="70"/>
      <c r="O96" s="70"/>
      <c r="P96" s="70"/>
      <c r="Q96" s="70">
        <f>IF(EXACT(Q48,"Alto"),3,IF(EXACT(Q48,"Medio"),2,IF(EXACT(Q48,"Bajo"),1,"Vacio")))</f>
        <v>1</v>
      </c>
      <c r="R96" s="70">
        <v>46.73</v>
      </c>
      <c r="S96" s="74" t="str">
        <f t="shared" si="8"/>
        <v>Bajo</v>
      </c>
    </row>
  </sheetData>
  <mergeCells count="4">
    <mergeCell ref="J1:Q1"/>
    <mergeCell ref="R1:X1"/>
    <mergeCell ref="Y1:Z1"/>
    <mergeCell ref="AA1:AB1"/>
  </mergeCells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F839-500F-48D3-B26C-1D22F244C594}">
  <dimension ref="A1:AB86"/>
  <sheetViews>
    <sheetView workbookViewId="0">
      <selection activeCell="A19" sqref="A19"/>
    </sheetView>
  </sheetViews>
  <sheetFormatPr baseColWidth="10" defaultColWidth="8.85546875" defaultRowHeight="15" x14ac:dyDescent="0.25"/>
  <cols>
    <col min="1" max="4" width="15.28515625" customWidth="1"/>
    <col min="5" max="5" width="12" bestFit="1" customWidth="1"/>
    <col min="6" max="6" width="36.42578125" bestFit="1" customWidth="1"/>
    <col min="7" max="7" width="8.7109375" bestFit="1" customWidth="1"/>
    <col min="8" max="8" width="14.28515625" bestFit="1" customWidth="1"/>
    <col min="9" max="9" width="18.28515625" customWidth="1"/>
    <col min="10" max="10" width="9" customWidth="1"/>
    <col min="11" max="11" width="8.42578125" customWidth="1"/>
    <col min="12" max="12" width="9.140625" customWidth="1"/>
    <col min="13" max="13" width="7.42578125" customWidth="1"/>
    <col min="14" max="14" width="7.42578125" style="8" customWidth="1"/>
    <col min="15" max="15" width="7.28515625" customWidth="1"/>
    <col min="16" max="16" width="10.42578125" style="8" customWidth="1"/>
    <col min="17" max="17" width="11.85546875" customWidth="1"/>
    <col min="18" max="18" width="8" bestFit="1" customWidth="1"/>
    <col min="19" max="19" width="28.42578125" style="8" customWidth="1"/>
    <col min="20" max="20" width="13.7109375" style="8" bestFit="1" customWidth="1"/>
    <col min="21" max="21" width="8.85546875" style="8"/>
    <col min="22" max="22" width="17.140625" style="8" customWidth="1"/>
    <col min="23" max="23" width="13.42578125" style="8" customWidth="1"/>
    <col min="24" max="24" width="12.28515625" bestFit="1" customWidth="1"/>
    <col min="25" max="25" width="8.85546875" style="8"/>
    <col min="26" max="26" width="14.28515625" customWidth="1"/>
    <col min="27" max="27" width="20.140625" bestFit="1" customWidth="1"/>
  </cols>
  <sheetData>
    <row r="1" spans="1:28" x14ac:dyDescent="0.25">
      <c r="J1" s="90" t="s">
        <v>0</v>
      </c>
      <c r="K1" s="90"/>
      <c r="L1" s="90"/>
      <c r="M1" s="90"/>
      <c r="N1" s="90"/>
      <c r="O1" s="90"/>
      <c r="P1" s="90"/>
      <c r="Q1" s="90"/>
      <c r="R1" s="91" t="s">
        <v>1</v>
      </c>
      <c r="S1" s="91"/>
      <c r="T1" s="91"/>
      <c r="U1" s="91"/>
      <c r="V1" s="91"/>
      <c r="W1" s="91"/>
      <c r="X1" s="91"/>
      <c r="Y1" s="92" t="s">
        <v>2</v>
      </c>
      <c r="Z1" s="92"/>
      <c r="AA1" s="93"/>
      <c r="AB1" s="93"/>
    </row>
    <row r="2" spans="1:28" ht="47.25" x14ac:dyDescent="0.25">
      <c r="A2" s="15" t="s">
        <v>3</v>
      </c>
      <c r="B2" s="89" t="s">
        <v>137</v>
      </c>
      <c r="C2" s="89" t="s">
        <v>139</v>
      </c>
      <c r="D2" s="89" t="s">
        <v>138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8" t="s">
        <v>9</v>
      </c>
      <c r="K2" s="15" t="s">
        <v>10</v>
      </c>
      <c r="L2" s="18" t="s">
        <v>11</v>
      </c>
      <c r="M2" s="18" t="s">
        <v>13</v>
      </c>
      <c r="N2" s="18" t="s">
        <v>15</v>
      </c>
      <c r="O2" s="18" t="s">
        <v>17</v>
      </c>
      <c r="P2" s="18" t="s">
        <v>28</v>
      </c>
      <c r="Q2" s="15" t="s">
        <v>29</v>
      </c>
      <c r="R2" s="18" t="s">
        <v>82</v>
      </c>
      <c r="S2" s="18" t="s">
        <v>31</v>
      </c>
      <c r="T2" s="18" t="s">
        <v>32</v>
      </c>
      <c r="U2" s="18" t="s">
        <v>33</v>
      </c>
      <c r="V2" s="18" t="s">
        <v>34</v>
      </c>
      <c r="W2" s="18" t="s">
        <v>35</v>
      </c>
      <c r="X2" s="15" t="s">
        <v>36</v>
      </c>
      <c r="Y2" s="18" t="s">
        <v>37</v>
      </c>
      <c r="Z2" s="15" t="s">
        <v>38</v>
      </c>
      <c r="AA2" s="15" t="s">
        <v>39</v>
      </c>
      <c r="AB2" s="15" t="s">
        <v>40</v>
      </c>
    </row>
    <row r="3" spans="1:28" x14ac:dyDescent="0.25">
      <c r="A3" s="86" t="s">
        <v>116</v>
      </c>
      <c r="B3" s="86"/>
      <c r="C3" s="86"/>
      <c r="D3" s="86"/>
      <c r="E3" s="86"/>
      <c r="F3" s="86"/>
      <c r="G3" s="86">
        <v>9</v>
      </c>
      <c r="H3" s="86">
        <v>0</v>
      </c>
      <c r="I3" s="86">
        <v>1</v>
      </c>
      <c r="J3" s="87">
        <v>0</v>
      </c>
      <c r="K3" s="86">
        <v>0</v>
      </c>
      <c r="L3" s="87"/>
      <c r="M3" s="87">
        <v>5</v>
      </c>
      <c r="N3" s="87">
        <f>G3/I3</f>
        <v>9</v>
      </c>
      <c r="O3" s="87">
        <v>0.44</v>
      </c>
      <c r="P3" s="87">
        <f>SUM(M3:O3) - L3</f>
        <v>14.44</v>
      </c>
      <c r="Q3" s="86" t="str">
        <f>IF(P3 &lt; $G$51, "Alto", IF(P3 &lt; $G$53, "Medio", "Bajo"))</f>
        <v>Medio</v>
      </c>
      <c r="R3" s="87">
        <f>1-((N3-$N$52)/($N$51-$N$52))</f>
        <v>0.76315789473684215</v>
      </c>
      <c r="S3" s="87">
        <v>0.02</v>
      </c>
      <c r="T3" s="87">
        <v>0</v>
      </c>
      <c r="U3" s="87">
        <f>SUM(R3:T3)/3</f>
        <v>0.26105263157894737</v>
      </c>
      <c r="V3" s="87">
        <f>M3/$T$55</f>
        <v>0.5</v>
      </c>
      <c r="W3" s="87">
        <f>(U3+(1-V3))/2</f>
        <v>0.38052631578947371</v>
      </c>
      <c r="X3" s="86" t="str">
        <f>IF(W3 &lt; $W$51, "Bajo", IF(W3 &lt; $W$53, "Medio", "Alto"))</f>
        <v>Medio</v>
      </c>
      <c r="Y3" s="87">
        <v>1</v>
      </c>
      <c r="Z3" s="86" t="str">
        <f>IF(Y3 &lt; $Y$51, "Bajo", IF(Y3 &gt;= $Y$53, "Alto", "Medio"))</f>
        <v>Alto</v>
      </c>
      <c r="AA3" s="87">
        <f>P3-W3-Y3</f>
        <v>13.059473684210525</v>
      </c>
      <c r="AB3" s="86" t="str">
        <f>IF(AA3&lt; $AA$51, "Alto", IF(AA3&lt; $AA$53, "Medio", "Bajo"))</f>
        <v>Medio</v>
      </c>
    </row>
    <row r="4" spans="1:28" x14ac:dyDescent="0.25">
      <c r="A4" s="31">
        <v>2024800158</v>
      </c>
      <c r="B4" s="31"/>
      <c r="C4" s="31"/>
      <c r="D4" s="31"/>
      <c r="E4" s="32" t="s">
        <v>42</v>
      </c>
      <c r="F4" s="32" t="s">
        <v>117</v>
      </c>
      <c r="G4" s="32">
        <v>8</v>
      </c>
      <c r="H4" s="32">
        <v>1</v>
      </c>
      <c r="I4" s="32">
        <v>1</v>
      </c>
      <c r="J4" s="32">
        <v>0</v>
      </c>
      <c r="K4" s="32">
        <f>3/G4</f>
        <v>0.375</v>
      </c>
      <c r="L4" s="32">
        <f>J4+K4</f>
        <v>0.375</v>
      </c>
      <c r="M4" s="32">
        <v>4</v>
      </c>
      <c r="N4" s="33">
        <f>G4/I4</f>
        <v>8</v>
      </c>
      <c r="O4" s="32">
        <v>0.5</v>
      </c>
      <c r="P4" s="33">
        <f>SUM(M4:O4) - L4</f>
        <v>12.125</v>
      </c>
      <c r="Q4" s="32" t="str">
        <f>IF(P4 &lt; $G$51, "Alto", IF(P4 &lt; $G$53, "Medio", "Bajo"))</f>
        <v>Alto</v>
      </c>
      <c r="R4" s="33">
        <f>1-((N4-$N$52)/($N$51-$N$52))</f>
        <v>0.78947368421052633</v>
      </c>
      <c r="S4" s="33">
        <v>0.02</v>
      </c>
      <c r="T4" s="33">
        <v>0.02</v>
      </c>
      <c r="U4" s="33">
        <f>SUM(R4:T4)/3</f>
        <v>0.27649122807017545</v>
      </c>
      <c r="V4" s="33">
        <f>M4/$T$55</f>
        <v>0.4</v>
      </c>
      <c r="W4" s="33">
        <f>(U4+(1-V4))/2</f>
        <v>0.43824561403508772</v>
      </c>
      <c r="X4" s="32" t="str">
        <f>IF(W4 &lt; $W$51, "Bajo", IF(W4 &lt; $W$53, "Medio", "Alto"))</f>
        <v>Alto</v>
      </c>
      <c r="Y4" s="33">
        <v>1</v>
      </c>
      <c r="Z4" s="32" t="str">
        <f>IF(Y4 &lt; $Y$51, "Bajo", IF(Y4 &gt;= $Y$53, "Alto", "Medio"))</f>
        <v>Alto</v>
      </c>
      <c r="AA4" s="33">
        <f>P4-W4-Y4</f>
        <v>10.686754385964912</v>
      </c>
      <c r="AB4" s="32" t="str">
        <f>IF(AA4&lt; $AA$51, "Alto", IF(AA4&lt; $AA$53, "Medio", "Bajo"))</f>
        <v>Alto</v>
      </c>
    </row>
    <row r="5" spans="1:28" hidden="1" x14ac:dyDescent="0.25">
      <c r="A5" s="13">
        <v>2016220461</v>
      </c>
      <c r="B5" s="13"/>
      <c r="C5" s="13"/>
      <c r="D5" s="13"/>
      <c r="AB5" s="32" t="str">
        <f t="shared" ref="AB5:AB48" si="0">IF(AA5&lt; $AA$51, "Alto", IF(AA5&lt; $AA$53, "Medio", "Bajo"))</f>
        <v>Alto</v>
      </c>
    </row>
    <row r="6" spans="1:28" s="7" customFormat="1" x14ac:dyDescent="0.25">
      <c r="A6" s="20">
        <v>2020184824</v>
      </c>
      <c r="B6" s="20"/>
      <c r="C6" s="20"/>
      <c r="D6" s="20"/>
      <c r="E6" s="21" t="s">
        <v>42</v>
      </c>
      <c r="F6" s="21"/>
      <c r="G6" s="21">
        <v>11</v>
      </c>
      <c r="H6" s="21">
        <v>2</v>
      </c>
      <c r="I6" s="21">
        <v>1</v>
      </c>
      <c r="J6" s="21">
        <v>0</v>
      </c>
      <c r="K6" s="21">
        <v>0</v>
      </c>
      <c r="L6" s="21">
        <f t="shared" ref="L6:L20" si="1">J6+K6</f>
        <v>0</v>
      </c>
      <c r="M6" s="21">
        <v>4</v>
      </c>
      <c r="N6" s="23">
        <f t="shared" ref="N6:N20" si="2">G6/I6</f>
        <v>11</v>
      </c>
      <c r="O6" s="21">
        <v>0.33</v>
      </c>
      <c r="P6" s="23">
        <f>SUM(M6:O6)-L6</f>
        <v>15.33</v>
      </c>
      <c r="Q6" s="21" t="str">
        <f t="shared" ref="Q6:Q48" si="3">IF(P6 &lt; $G$51, "Alto", IF(P6 &lt; $G$53, "Medio", "Bajo"))</f>
        <v>Medio</v>
      </c>
      <c r="R6" s="23">
        <f t="shared" ref="R6:R48" si="4">1-((N6-$N$52)/($N$51-$N$52))</f>
        <v>0.71052631578947367</v>
      </c>
      <c r="S6" s="23">
        <v>2.564E-2</v>
      </c>
      <c r="T6" s="23">
        <v>4.1599999999999998E-2</v>
      </c>
      <c r="U6" s="23">
        <f t="shared" ref="U6:U20" si="5">SUM(R6:T6)/3</f>
        <v>0.25925543859649119</v>
      </c>
      <c r="V6" s="23">
        <f t="shared" ref="V6:V35" si="6">M6/$T$55</f>
        <v>0.4</v>
      </c>
      <c r="W6" s="23">
        <f>(U6+(1-V6))/2</f>
        <v>0.42962771929824561</v>
      </c>
      <c r="X6" s="21" t="str">
        <f t="shared" ref="X6:X48" si="7">IF(W6 &lt; $W$51, "Bajo", IF(W6 &lt; $W$53, "Medio", "Alto"))</f>
        <v>Medio</v>
      </c>
      <c r="Y6" s="23">
        <v>1</v>
      </c>
      <c r="Z6" s="21" t="str">
        <f t="shared" ref="Z6:Z48" si="8">IF(Y6 &lt; $Y$51, "Bajo", IF(Y6 &gt;= $Y$53, "Alto", "Medio"))</f>
        <v>Alto</v>
      </c>
      <c r="AA6" s="23">
        <f>P6-W6-Y6</f>
        <v>13.900372280701754</v>
      </c>
      <c r="AB6" s="21" t="str">
        <f t="shared" si="0"/>
        <v>Medio</v>
      </c>
    </row>
    <row r="7" spans="1:28" s="5" customFormat="1" x14ac:dyDescent="0.25">
      <c r="A7" s="31">
        <v>2022000033</v>
      </c>
      <c r="B7" s="31"/>
      <c r="C7" s="31"/>
      <c r="D7" s="31"/>
      <c r="E7" s="32" t="s">
        <v>44</v>
      </c>
      <c r="F7" s="32" t="s">
        <v>118</v>
      </c>
      <c r="G7" s="32">
        <v>21</v>
      </c>
      <c r="H7" s="32">
        <v>3</v>
      </c>
      <c r="I7" s="32">
        <v>2</v>
      </c>
      <c r="J7" s="32">
        <v>0</v>
      </c>
      <c r="K7" s="33">
        <f>2/G7</f>
        <v>9.5238095238095233E-2</v>
      </c>
      <c r="L7" s="32">
        <f t="shared" si="1"/>
        <v>9.5238095238095233E-2</v>
      </c>
      <c r="M7" s="32">
        <v>3.5</v>
      </c>
      <c r="N7" s="33">
        <f t="shared" si="2"/>
        <v>10.5</v>
      </c>
      <c r="O7" s="32">
        <v>0.19</v>
      </c>
      <c r="P7" s="33">
        <f t="shared" ref="P7:P21" si="9">SUM(M7:O7)-L7</f>
        <v>14.094761904761905</v>
      </c>
      <c r="Q7" s="32" t="str">
        <f t="shared" si="3"/>
        <v>Alto</v>
      </c>
      <c r="R7" s="33">
        <f>1-((N7-$N$52)/($N$51-$N$52))</f>
        <v>0.72368421052631571</v>
      </c>
      <c r="S7" s="33">
        <v>4.8779999999999997E-2</v>
      </c>
      <c r="T7" s="33">
        <v>0</v>
      </c>
      <c r="U7" s="33">
        <f t="shared" si="5"/>
        <v>0.25748807017543857</v>
      </c>
      <c r="V7" s="33">
        <f t="shared" si="6"/>
        <v>0.35</v>
      </c>
      <c r="W7" s="33">
        <f t="shared" ref="W7:W20" si="10">(U7+(1-V7))/2</f>
        <v>0.45374403508771932</v>
      </c>
      <c r="X7" s="32" t="str">
        <f t="shared" si="7"/>
        <v>Alto</v>
      </c>
      <c r="Y7" s="33">
        <v>1</v>
      </c>
      <c r="Z7" s="32" t="str">
        <f t="shared" si="8"/>
        <v>Alto</v>
      </c>
      <c r="AA7" s="33">
        <f t="shared" ref="AA7:AA48" si="11">P7-W7-Y7</f>
        <v>12.641017869674185</v>
      </c>
      <c r="AB7" s="32" t="str">
        <f t="shared" si="0"/>
        <v>Medio</v>
      </c>
    </row>
    <row r="8" spans="1:28" s="5" customFormat="1" x14ac:dyDescent="0.25">
      <c r="A8" s="20">
        <v>2022146515</v>
      </c>
      <c r="B8" s="20"/>
      <c r="C8" s="20"/>
      <c r="D8" s="20"/>
      <c r="E8" s="21" t="s">
        <v>44</v>
      </c>
      <c r="F8" s="21" t="s">
        <v>119</v>
      </c>
      <c r="G8" s="21">
        <v>18</v>
      </c>
      <c r="H8" s="21">
        <v>2</v>
      </c>
      <c r="I8" s="21">
        <v>1</v>
      </c>
      <c r="J8" s="21">
        <v>0</v>
      </c>
      <c r="K8" s="21">
        <v>0</v>
      </c>
      <c r="L8" s="21">
        <f t="shared" si="1"/>
        <v>0</v>
      </c>
      <c r="M8" s="21">
        <v>0</v>
      </c>
      <c r="N8" s="23">
        <f t="shared" si="2"/>
        <v>18</v>
      </c>
      <c r="O8" s="21">
        <v>0.55559999999999998</v>
      </c>
      <c r="P8" s="23">
        <f t="shared" si="9"/>
        <v>18.555599999999998</v>
      </c>
      <c r="Q8" s="21" t="str">
        <f t="shared" si="3"/>
        <v>Medio</v>
      </c>
      <c r="R8" s="23">
        <f t="shared" si="4"/>
        <v>0.52631578947368429</v>
      </c>
      <c r="S8" s="23">
        <v>2.7E-2</v>
      </c>
      <c r="T8" s="23">
        <v>2.7E-2</v>
      </c>
      <c r="U8" s="23">
        <f t="shared" si="5"/>
        <v>0.1934385964912281</v>
      </c>
      <c r="V8" s="23">
        <f t="shared" si="6"/>
        <v>0</v>
      </c>
      <c r="W8" s="23">
        <f t="shared" si="10"/>
        <v>0.59671929824561409</v>
      </c>
      <c r="X8" s="21" t="str">
        <f t="shared" si="7"/>
        <v>Alto</v>
      </c>
      <c r="Y8" s="23">
        <v>0.5</v>
      </c>
      <c r="Z8" s="21" t="str">
        <f t="shared" si="8"/>
        <v>Bajo</v>
      </c>
      <c r="AA8" s="23">
        <f t="shared" si="11"/>
        <v>17.458880701754385</v>
      </c>
      <c r="AB8" s="21" t="str">
        <f t="shared" si="0"/>
        <v>Medio</v>
      </c>
    </row>
    <row r="9" spans="1:28" hidden="1" x14ac:dyDescent="0.25">
      <c r="A9" s="31">
        <v>2022163260</v>
      </c>
      <c r="B9" s="31"/>
      <c r="C9" s="31"/>
      <c r="D9" s="31"/>
      <c r="L9" s="7">
        <f t="shared" si="1"/>
        <v>0</v>
      </c>
      <c r="N9" s="11" t="e">
        <f t="shared" si="2"/>
        <v>#DIV/0!</v>
      </c>
      <c r="P9" s="11" t="e">
        <f t="shared" si="9"/>
        <v>#DIV/0!</v>
      </c>
      <c r="Q9" s="7" t="e">
        <f t="shared" si="3"/>
        <v>#DIV/0!</v>
      </c>
      <c r="R9" s="11" t="e">
        <f t="shared" si="4"/>
        <v>#DIV/0!</v>
      </c>
      <c r="U9" s="11" t="e">
        <f t="shared" si="5"/>
        <v>#DIV/0!</v>
      </c>
      <c r="V9" s="11">
        <f t="shared" si="6"/>
        <v>0</v>
      </c>
      <c r="W9" s="11" t="e">
        <f t="shared" si="10"/>
        <v>#DIV/0!</v>
      </c>
      <c r="X9" s="7" t="e">
        <f t="shared" si="7"/>
        <v>#DIV/0!</v>
      </c>
      <c r="Z9" s="7" t="str">
        <f t="shared" si="8"/>
        <v>Bajo</v>
      </c>
      <c r="AA9" s="23" t="e">
        <f t="shared" si="11"/>
        <v>#DIV/0!</v>
      </c>
      <c r="AB9" s="32" t="e">
        <f t="shared" si="0"/>
        <v>#DIV/0!</v>
      </c>
    </row>
    <row r="10" spans="1:28" hidden="1" x14ac:dyDescent="0.25">
      <c r="A10" s="2">
        <v>2023066681</v>
      </c>
      <c r="B10" s="2"/>
      <c r="C10" s="2"/>
      <c r="D10" s="2"/>
      <c r="L10" s="7">
        <f t="shared" si="1"/>
        <v>0</v>
      </c>
      <c r="N10" s="11" t="e">
        <f t="shared" si="2"/>
        <v>#DIV/0!</v>
      </c>
      <c r="P10" s="11" t="e">
        <f t="shared" si="9"/>
        <v>#DIV/0!</v>
      </c>
      <c r="Q10" s="7" t="e">
        <f t="shared" si="3"/>
        <v>#DIV/0!</v>
      </c>
      <c r="R10" s="11" t="e">
        <f t="shared" si="4"/>
        <v>#DIV/0!</v>
      </c>
      <c r="U10" s="11" t="e">
        <f t="shared" si="5"/>
        <v>#DIV/0!</v>
      </c>
      <c r="V10" s="11">
        <f t="shared" si="6"/>
        <v>0</v>
      </c>
      <c r="W10" s="11" t="e">
        <f t="shared" si="10"/>
        <v>#DIV/0!</v>
      </c>
      <c r="X10" s="7" t="e">
        <f t="shared" si="7"/>
        <v>#DIV/0!</v>
      </c>
      <c r="Z10" s="7" t="str">
        <f t="shared" si="8"/>
        <v>Bajo</v>
      </c>
      <c r="AA10" s="23" t="e">
        <f t="shared" si="11"/>
        <v>#DIV/0!</v>
      </c>
      <c r="AB10" s="32" t="e">
        <f t="shared" si="0"/>
        <v>#DIV/0!</v>
      </c>
    </row>
    <row r="11" spans="1:28" s="24" customFormat="1" hidden="1" x14ac:dyDescent="0.25">
      <c r="A11" s="41">
        <v>2023112646</v>
      </c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>
        <f t="shared" si="1"/>
        <v>0</v>
      </c>
      <c r="M11" s="42"/>
      <c r="N11" s="43"/>
      <c r="O11" s="42"/>
      <c r="P11" s="43">
        <f t="shared" si="9"/>
        <v>0</v>
      </c>
      <c r="Q11" s="42" t="str">
        <f t="shared" si="3"/>
        <v>Alto</v>
      </c>
      <c r="R11" s="43">
        <f t="shared" si="4"/>
        <v>1</v>
      </c>
      <c r="S11" s="43"/>
      <c r="T11" s="43"/>
      <c r="U11" s="43">
        <f t="shared" si="5"/>
        <v>0.33333333333333331</v>
      </c>
      <c r="V11" s="43">
        <f t="shared" si="6"/>
        <v>0</v>
      </c>
      <c r="W11" s="43">
        <f t="shared" si="10"/>
        <v>0.66666666666666663</v>
      </c>
      <c r="X11" s="42" t="str">
        <f t="shared" si="7"/>
        <v>Alto</v>
      </c>
      <c r="Y11" s="43"/>
      <c r="Z11" s="42" t="str">
        <f t="shared" si="8"/>
        <v>Bajo</v>
      </c>
      <c r="AA11" s="23">
        <f t="shared" si="11"/>
        <v>-0.66666666666666663</v>
      </c>
      <c r="AB11" s="32" t="str">
        <f t="shared" si="0"/>
        <v>Alto</v>
      </c>
    </row>
    <row r="12" spans="1:28" hidden="1" x14ac:dyDescent="0.25">
      <c r="A12" s="2">
        <v>2023147244</v>
      </c>
      <c r="B12" s="2"/>
      <c r="C12" s="2"/>
      <c r="D12" s="2"/>
      <c r="L12" s="7">
        <f t="shared" si="1"/>
        <v>0</v>
      </c>
      <c r="N12" s="11" t="e">
        <f t="shared" si="2"/>
        <v>#DIV/0!</v>
      </c>
      <c r="P12" s="11" t="e">
        <f t="shared" si="9"/>
        <v>#DIV/0!</v>
      </c>
      <c r="Q12" s="7" t="e">
        <f t="shared" si="3"/>
        <v>#DIV/0!</v>
      </c>
      <c r="R12" s="11" t="e">
        <f t="shared" si="4"/>
        <v>#DIV/0!</v>
      </c>
      <c r="U12" s="11" t="e">
        <f t="shared" si="5"/>
        <v>#DIV/0!</v>
      </c>
      <c r="V12" s="11">
        <f t="shared" si="6"/>
        <v>0</v>
      </c>
      <c r="W12" s="11" t="e">
        <f t="shared" si="10"/>
        <v>#DIV/0!</v>
      </c>
      <c r="X12" s="7" t="e">
        <f t="shared" si="7"/>
        <v>#DIV/0!</v>
      </c>
      <c r="Z12" s="7" t="str">
        <f t="shared" si="8"/>
        <v>Bajo</v>
      </c>
      <c r="AA12" s="23" t="e">
        <f t="shared" si="11"/>
        <v>#DIV/0!</v>
      </c>
      <c r="AB12" s="32" t="e">
        <f t="shared" si="0"/>
        <v>#DIV/0!</v>
      </c>
    </row>
    <row r="13" spans="1:28" s="5" customFormat="1" x14ac:dyDescent="0.25">
      <c r="A13" s="31">
        <v>2023152721</v>
      </c>
      <c r="B13" s="31"/>
      <c r="C13" s="31"/>
      <c r="D13" s="31"/>
      <c r="E13" s="32" t="s">
        <v>44</v>
      </c>
      <c r="F13" s="32" t="s">
        <v>120</v>
      </c>
      <c r="G13" s="32">
        <v>35</v>
      </c>
      <c r="H13" s="32">
        <v>0</v>
      </c>
      <c r="I13" s="32">
        <v>4</v>
      </c>
      <c r="J13" s="32">
        <v>0</v>
      </c>
      <c r="K13" s="32">
        <f>3/G13</f>
        <v>8.5714285714285715E-2</v>
      </c>
      <c r="L13" s="32">
        <f t="shared" si="1"/>
        <v>8.5714285714285715E-2</v>
      </c>
      <c r="M13" s="32">
        <v>3.25</v>
      </c>
      <c r="N13" s="33">
        <f t="shared" si="2"/>
        <v>8.75</v>
      </c>
      <c r="O13" s="32">
        <v>0.34289999999999998</v>
      </c>
      <c r="P13" s="33">
        <f t="shared" si="9"/>
        <v>12.257185714285715</v>
      </c>
      <c r="Q13" s="32" t="str">
        <f t="shared" si="3"/>
        <v>Alto</v>
      </c>
      <c r="R13" s="33">
        <f t="shared" si="4"/>
        <v>0.76973684210526316</v>
      </c>
      <c r="S13" s="33">
        <v>6.5000000000000002E-2</v>
      </c>
      <c r="T13" s="33">
        <v>0</v>
      </c>
      <c r="U13" s="33">
        <f t="shared" si="5"/>
        <v>0.27824561403508774</v>
      </c>
      <c r="V13" s="33">
        <f t="shared" si="6"/>
        <v>0.32500000000000001</v>
      </c>
      <c r="W13" s="33">
        <f t="shared" si="10"/>
        <v>0.47662280701754389</v>
      </c>
      <c r="X13" s="32" t="str">
        <f t="shared" si="7"/>
        <v>Alto</v>
      </c>
      <c r="Y13" s="33">
        <v>0.92859999999999998</v>
      </c>
      <c r="Z13" s="32" t="str">
        <f t="shared" si="8"/>
        <v>Medio</v>
      </c>
      <c r="AA13" s="33">
        <f t="shared" si="11"/>
        <v>10.851962907268172</v>
      </c>
      <c r="AB13" s="32" t="str">
        <f t="shared" si="0"/>
        <v>Alto</v>
      </c>
    </row>
    <row r="14" spans="1:28" s="5" customFormat="1" x14ac:dyDescent="0.25">
      <c r="A14" s="20">
        <v>2024063271</v>
      </c>
      <c r="B14" s="20"/>
      <c r="C14" s="20"/>
      <c r="D14" s="20"/>
      <c r="E14" s="21" t="s">
        <v>44</v>
      </c>
      <c r="F14" s="21" t="s">
        <v>120</v>
      </c>
      <c r="G14" s="21">
        <v>22</v>
      </c>
      <c r="H14" s="21">
        <v>0</v>
      </c>
      <c r="I14" s="21">
        <v>1</v>
      </c>
      <c r="J14" s="21">
        <v>0</v>
      </c>
      <c r="K14" s="21">
        <f>1/G14</f>
        <v>4.5454545454545456E-2</v>
      </c>
      <c r="L14" s="21">
        <f t="shared" si="1"/>
        <v>4.5454545454545456E-2</v>
      </c>
      <c r="M14" s="21">
        <v>6</v>
      </c>
      <c r="N14" s="23">
        <f t="shared" si="2"/>
        <v>22</v>
      </c>
      <c r="O14" s="21">
        <v>0.31819999999999998</v>
      </c>
      <c r="P14" s="23">
        <f t="shared" si="9"/>
        <v>28.272745454545454</v>
      </c>
      <c r="Q14" s="21" t="str">
        <f t="shared" si="3"/>
        <v>Medio</v>
      </c>
      <c r="R14" s="23">
        <f t="shared" si="4"/>
        <v>0.42105263157894735</v>
      </c>
      <c r="S14" s="23">
        <v>0.10199999999999999</v>
      </c>
      <c r="T14" s="23">
        <v>0</v>
      </c>
      <c r="U14" s="23">
        <f t="shared" si="5"/>
        <v>0.17435087719298245</v>
      </c>
      <c r="V14" s="23">
        <f t="shared" si="6"/>
        <v>0.6</v>
      </c>
      <c r="W14" s="23">
        <f t="shared" si="10"/>
        <v>0.28717543859649125</v>
      </c>
      <c r="X14" s="21" t="str">
        <f t="shared" si="7"/>
        <v>Medio</v>
      </c>
      <c r="Y14" s="23">
        <v>0.85709999999999997</v>
      </c>
      <c r="Z14" s="21" t="str">
        <f t="shared" si="8"/>
        <v>Bajo</v>
      </c>
      <c r="AA14" s="23">
        <f t="shared" si="11"/>
        <v>27.128470015948963</v>
      </c>
      <c r="AB14" s="21" t="str">
        <f t="shared" si="0"/>
        <v>Medio</v>
      </c>
    </row>
    <row r="15" spans="1:28" s="5" customFormat="1" x14ac:dyDescent="0.25">
      <c r="A15" s="31">
        <v>2024066829</v>
      </c>
      <c r="B15" s="31"/>
      <c r="C15" s="31"/>
      <c r="D15" s="31"/>
      <c r="E15" s="32" t="s">
        <v>44</v>
      </c>
      <c r="F15" s="32" t="s">
        <v>120</v>
      </c>
      <c r="G15" s="32">
        <v>19</v>
      </c>
      <c r="H15" s="32">
        <v>1</v>
      </c>
      <c r="I15" s="32">
        <v>1</v>
      </c>
      <c r="J15" s="32">
        <v>0</v>
      </c>
      <c r="K15" s="32">
        <v>0</v>
      </c>
      <c r="L15" s="32">
        <f t="shared" si="1"/>
        <v>0</v>
      </c>
      <c r="M15" s="32">
        <v>7</v>
      </c>
      <c r="N15" s="33">
        <f t="shared" si="2"/>
        <v>19</v>
      </c>
      <c r="O15" s="32">
        <v>0.73680000000000001</v>
      </c>
      <c r="P15" s="33">
        <f t="shared" si="9"/>
        <v>26.736799999999999</v>
      </c>
      <c r="Q15" s="32" t="str">
        <f t="shared" si="3"/>
        <v>Medio</v>
      </c>
      <c r="R15" s="33">
        <f t="shared" si="4"/>
        <v>0.5</v>
      </c>
      <c r="S15" s="33">
        <v>5.1999999999999998E-2</v>
      </c>
      <c r="T15" s="33">
        <v>0</v>
      </c>
      <c r="U15" s="33">
        <f t="shared" si="5"/>
        <v>0.18400000000000002</v>
      </c>
      <c r="V15" s="33">
        <f t="shared" si="6"/>
        <v>0.7</v>
      </c>
      <c r="W15" s="33">
        <f t="shared" si="10"/>
        <v>0.24200000000000005</v>
      </c>
      <c r="X15" s="32" t="str">
        <f t="shared" si="7"/>
        <v>Medio</v>
      </c>
      <c r="Y15" s="33">
        <v>0.83330000000000004</v>
      </c>
      <c r="Z15" s="32" t="str">
        <f t="shared" si="8"/>
        <v>Bajo</v>
      </c>
      <c r="AA15" s="33">
        <f t="shared" si="11"/>
        <v>25.661499999999997</v>
      </c>
      <c r="AB15" s="32" t="str">
        <f t="shared" si="0"/>
        <v>Medio</v>
      </c>
    </row>
    <row r="16" spans="1:28" s="24" customFormat="1" x14ac:dyDescent="0.25">
      <c r="A16" s="20">
        <v>2024070969</v>
      </c>
      <c r="B16" s="20"/>
      <c r="C16" s="20"/>
      <c r="D16" s="20"/>
      <c r="E16" s="21" t="s">
        <v>44</v>
      </c>
      <c r="F16" s="21" t="s">
        <v>121</v>
      </c>
      <c r="G16" s="21">
        <v>22</v>
      </c>
      <c r="H16" s="21">
        <v>1</v>
      </c>
      <c r="I16" s="21">
        <v>1</v>
      </c>
      <c r="J16" s="21">
        <v>0</v>
      </c>
      <c r="K16" s="21">
        <v>0</v>
      </c>
      <c r="L16" s="21">
        <f t="shared" si="1"/>
        <v>0</v>
      </c>
      <c r="M16" s="21">
        <v>8</v>
      </c>
      <c r="N16" s="23">
        <f>(G16/I16)</f>
        <v>22</v>
      </c>
      <c r="O16" s="21">
        <v>0.33</v>
      </c>
      <c r="P16" s="23">
        <f t="shared" si="9"/>
        <v>30.33</v>
      </c>
      <c r="Q16" s="21" t="str">
        <f t="shared" si="3"/>
        <v>Bajo</v>
      </c>
      <c r="R16" s="23">
        <f t="shared" si="4"/>
        <v>0.42105263157894735</v>
      </c>
      <c r="S16" s="23">
        <v>7.0000000000000007E-2</v>
      </c>
      <c r="T16" s="23">
        <v>0</v>
      </c>
      <c r="U16" s="23">
        <f t="shared" si="5"/>
        <v>0.16368421052631579</v>
      </c>
      <c r="V16" s="23">
        <f t="shared" si="6"/>
        <v>0.8</v>
      </c>
      <c r="W16" s="23">
        <f t="shared" si="10"/>
        <v>0.18184210526315786</v>
      </c>
      <c r="X16" s="21" t="str">
        <f t="shared" si="7"/>
        <v>Bajo</v>
      </c>
      <c r="Y16" s="23"/>
      <c r="Z16" s="21" t="str">
        <f t="shared" si="8"/>
        <v>Bajo</v>
      </c>
      <c r="AA16" s="23">
        <f t="shared" si="11"/>
        <v>30.14815789473684</v>
      </c>
      <c r="AB16" s="21" t="str">
        <f t="shared" si="0"/>
        <v>Bajo</v>
      </c>
    </row>
    <row r="17" spans="1:28" s="5" customFormat="1" ht="30" x14ac:dyDescent="0.25">
      <c r="A17" s="31">
        <v>2024071983</v>
      </c>
      <c r="B17" s="31"/>
      <c r="C17" s="31"/>
      <c r="D17" s="31"/>
      <c r="E17" s="32" t="s">
        <v>44</v>
      </c>
      <c r="F17" s="34" t="s">
        <v>122</v>
      </c>
      <c r="G17" s="32">
        <v>4</v>
      </c>
      <c r="H17" s="32">
        <v>0</v>
      </c>
      <c r="I17" s="32">
        <v>1</v>
      </c>
      <c r="J17" s="32">
        <v>0</v>
      </c>
      <c r="K17" s="32">
        <v>0</v>
      </c>
      <c r="L17" s="32">
        <f>J17+K17</f>
        <v>0</v>
      </c>
      <c r="M17" s="32">
        <v>1</v>
      </c>
      <c r="N17" s="33">
        <f t="shared" si="2"/>
        <v>4</v>
      </c>
      <c r="O17" s="32">
        <v>0</v>
      </c>
      <c r="P17" s="33">
        <f>SUM(M17:O17)-K17</f>
        <v>5</v>
      </c>
      <c r="Q17" s="32" t="str">
        <f t="shared" si="3"/>
        <v>Alto</v>
      </c>
      <c r="R17" s="33">
        <f t="shared" si="4"/>
        <v>0.89473684210526316</v>
      </c>
      <c r="S17" s="33">
        <v>5.3999999999999999E-2</v>
      </c>
      <c r="T17" s="33">
        <v>0</v>
      </c>
      <c r="U17" s="33">
        <f t="shared" si="5"/>
        <v>0.31624561403508772</v>
      </c>
      <c r="V17" s="33">
        <f t="shared" si="6"/>
        <v>0.1</v>
      </c>
      <c r="W17" s="33">
        <f t="shared" si="10"/>
        <v>0.60812280701754384</v>
      </c>
      <c r="X17" s="32" t="str">
        <f t="shared" si="7"/>
        <v>Alto</v>
      </c>
      <c r="Y17" s="33">
        <v>1</v>
      </c>
      <c r="Z17" s="32" t="str">
        <f t="shared" si="8"/>
        <v>Alto</v>
      </c>
      <c r="AA17" s="33">
        <f t="shared" si="11"/>
        <v>3.3918771929824558</v>
      </c>
      <c r="AB17" s="32" t="str">
        <f t="shared" si="0"/>
        <v>Alto</v>
      </c>
    </row>
    <row r="18" spans="1:28" hidden="1" x14ac:dyDescent="0.25">
      <c r="A18" s="2">
        <v>2024082949</v>
      </c>
      <c r="B18" s="2"/>
      <c r="C18" s="2"/>
      <c r="D18" s="2"/>
      <c r="L18" s="7">
        <f t="shared" si="1"/>
        <v>0</v>
      </c>
      <c r="N18" s="11" t="e">
        <f t="shared" si="2"/>
        <v>#DIV/0!</v>
      </c>
      <c r="P18" s="11" t="e">
        <f t="shared" si="9"/>
        <v>#DIV/0!</v>
      </c>
      <c r="Q18" s="7" t="e">
        <f t="shared" si="3"/>
        <v>#DIV/0!</v>
      </c>
      <c r="R18" s="11" t="e">
        <f t="shared" si="4"/>
        <v>#DIV/0!</v>
      </c>
      <c r="U18" s="11" t="e">
        <f t="shared" si="5"/>
        <v>#DIV/0!</v>
      </c>
      <c r="V18" s="11">
        <f t="shared" si="6"/>
        <v>0</v>
      </c>
      <c r="W18" s="11" t="e">
        <f t="shared" si="10"/>
        <v>#DIV/0!</v>
      </c>
      <c r="X18" s="7" t="e">
        <f t="shared" si="7"/>
        <v>#DIV/0!</v>
      </c>
      <c r="Z18" s="7" t="str">
        <f t="shared" si="8"/>
        <v>Bajo</v>
      </c>
      <c r="AA18" s="23" t="e">
        <f t="shared" si="11"/>
        <v>#DIV/0!</v>
      </c>
      <c r="AB18" s="32" t="e">
        <f t="shared" si="0"/>
        <v>#DIV/0!</v>
      </c>
    </row>
    <row r="19" spans="1:28" s="14" customFormat="1" ht="30" x14ac:dyDescent="0.25">
      <c r="A19" s="20">
        <v>2024090884</v>
      </c>
      <c r="B19" s="20"/>
      <c r="C19" s="20"/>
      <c r="D19" s="20"/>
      <c r="E19" s="21" t="s">
        <v>46</v>
      </c>
      <c r="F19" s="22" t="s">
        <v>123</v>
      </c>
      <c r="G19" s="21">
        <v>36</v>
      </c>
      <c r="H19" s="21">
        <v>0</v>
      </c>
      <c r="I19" s="21">
        <v>1</v>
      </c>
      <c r="J19" s="21">
        <v>0</v>
      </c>
      <c r="K19" s="23">
        <f>1/G19</f>
        <v>2.7777777777777776E-2</v>
      </c>
      <c r="L19" s="21">
        <f t="shared" si="1"/>
        <v>2.7777777777777776E-2</v>
      </c>
      <c r="M19" s="21">
        <v>8</v>
      </c>
      <c r="N19" s="23">
        <f t="shared" si="2"/>
        <v>36</v>
      </c>
      <c r="O19" s="21">
        <v>0.25</v>
      </c>
      <c r="P19" s="23">
        <f t="shared" si="9"/>
        <v>44.222222222222221</v>
      </c>
      <c r="Q19" s="21" t="str">
        <f t="shared" si="3"/>
        <v>Bajo</v>
      </c>
      <c r="R19" s="23">
        <f t="shared" si="4"/>
        <v>5.2631578947368474E-2</v>
      </c>
      <c r="S19" s="23">
        <v>4.8779999999999997E-2</v>
      </c>
      <c r="T19" s="23">
        <v>0</v>
      </c>
      <c r="U19" s="23">
        <f t="shared" si="5"/>
        <v>3.3803859649122824E-2</v>
      </c>
      <c r="V19" s="23">
        <f t="shared" si="6"/>
        <v>0.8</v>
      </c>
      <c r="W19" s="23">
        <f t="shared" si="10"/>
        <v>0.11690192982456139</v>
      </c>
      <c r="X19" s="21" t="str">
        <f t="shared" si="7"/>
        <v>Bajo</v>
      </c>
      <c r="Y19" s="23">
        <v>1</v>
      </c>
      <c r="Z19" s="21" t="str">
        <f t="shared" si="8"/>
        <v>Alto</v>
      </c>
      <c r="AA19" s="23">
        <f t="shared" si="11"/>
        <v>43.105320292397657</v>
      </c>
      <c r="AB19" s="21" t="str">
        <f t="shared" si="0"/>
        <v>Bajo</v>
      </c>
    </row>
    <row r="20" spans="1:28" s="14" customFormat="1" x14ac:dyDescent="0.25">
      <c r="A20" s="31">
        <v>2024093410</v>
      </c>
      <c r="B20" s="31"/>
      <c r="C20" s="31"/>
      <c r="D20" s="31"/>
      <c r="E20" s="32" t="s">
        <v>46</v>
      </c>
      <c r="F20" s="32" t="s">
        <v>124</v>
      </c>
      <c r="G20" s="32">
        <v>8</v>
      </c>
      <c r="H20" s="32">
        <v>0</v>
      </c>
      <c r="I20" s="32">
        <v>1</v>
      </c>
      <c r="J20" s="32">
        <v>0</v>
      </c>
      <c r="K20" s="32">
        <v>0</v>
      </c>
      <c r="L20" s="32">
        <f t="shared" si="1"/>
        <v>0</v>
      </c>
      <c r="M20" s="32">
        <v>5</v>
      </c>
      <c r="N20" s="33">
        <f t="shared" si="2"/>
        <v>8</v>
      </c>
      <c r="O20" s="32">
        <v>0.375</v>
      </c>
      <c r="P20" s="33">
        <f t="shared" si="9"/>
        <v>13.375</v>
      </c>
      <c r="Q20" s="32" t="str">
        <f t="shared" si="3"/>
        <v>Alto</v>
      </c>
      <c r="R20" s="33">
        <f t="shared" si="4"/>
        <v>0.78947368421052633</v>
      </c>
      <c r="S20" s="33">
        <v>5.45E-2</v>
      </c>
      <c r="T20" s="33">
        <v>0</v>
      </c>
      <c r="U20" s="33">
        <f t="shared" si="5"/>
        <v>0.28132456140350875</v>
      </c>
      <c r="V20" s="33">
        <f t="shared" si="6"/>
        <v>0.5</v>
      </c>
      <c r="W20" s="33">
        <f t="shared" si="10"/>
        <v>0.39066228070175435</v>
      </c>
      <c r="X20" s="32" t="str">
        <f t="shared" si="7"/>
        <v>Medio</v>
      </c>
      <c r="Y20" s="33">
        <v>1</v>
      </c>
      <c r="Z20" s="32" t="str">
        <f t="shared" si="8"/>
        <v>Alto</v>
      </c>
      <c r="AA20" s="33">
        <f t="shared" si="11"/>
        <v>11.984337719298246</v>
      </c>
      <c r="AB20" s="32" t="str">
        <f t="shared" si="0"/>
        <v>Alto</v>
      </c>
    </row>
    <row r="21" spans="1:28" s="5" customFormat="1" x14ac:dyDescent="0.25">
      <c r="A21" s="20">
        <v>2024096731</v>
      </c>
      <c r="B21" s="20"/>
      <c r="C21" s="20"/>
      <c r="D21" s="20"/>
      <c r="E21" s="21" t="s">
        <v>44</v>
      </c>
      <c r="F21" s="21" t="s">
        <v>121</v>
      </c>
      <c r="G21" s="21">
        <v>29</v>
      </c>
      <c r="H21" s="21">
        <v>0</v>
      </c>
      <c r="I21" s="21">
        <v>2</v>
      </c>
      <c r="J21" s="21">
        <v>0</v>
      </c>
      <c r="K21" s="21">
        <f>2/G21</f>
        <v>6.8965517241379309E-2</v>
      </c>
      <c r="L21" s="21">
        <f>J21+K21</f>
        <v>6.8965517241379309E-2</v>
      </c>
      <c r="M21" s="21">
        <v>2.5</v>
      </c>
      <c r="N21" s="23">
        <f t="shared" ref="N21:N26" si="12">G21/I21</f>
        <v>14.5</v>
      </c>
      <c r="O21" s="21">
        <v>0.37930000000000003</v>
      </c>
      <c r="P21" s="23">
        <f t="shared" si="9"/>
        <v>17.31033448275862</v>
      </c>
      <c r="Q21" s="21" t="str">
        <f t="shared" si="3"/>
        <v>Medio</v>
      </c>
      <c r="R21" s="23">
        <f t="shared" si="4"/>
        <v>0.61842105263157898</v>
      </c>
      <c r="S21" s="23">
        <v>9.7000000000000003E-2</v>
      </c>
      <c r="T21" s="23">
        <v>0</v>
      </c>
      <c r="U21" s="23">
        <f>SUM(R21:T21)/3</f>
        <v>0.23847368421052631</v>
      </c>
      <c r="V21" s="23">
        <f t="shared" si="6"/>
        <v>0.25</v>
      </c>
      <c r="W21" s="23">
        <f>(U21+(1-V21))/2</f>
        <v>0.49423684210526314</v>
      </c>
      <c r="X21" s="21" t="str">
        <f t="shared" si="7"/>
        <v>Alto</v>
      </c>
      <c r="Y21" s="23">
        <v>0.90910000000000002</v>
      </c>
      <c r="Z21" s="21" t="str">
        <f t="shared" si="8"/>
        <v>Medio</v>
      </c>
      <c r="AA21" s="23">
        <f t="shared" si="11"/>
        <v>15.906997640653357</v>
      </c>
      <c r="AB21" s="21" t="str">
        <f t="shared" si="0"/>
        <v>Medio</v>
      </c>
    </row>
    <row r="22" spans="1:28" s="5" customFormat="1" x14ac:dyDescent="0.25">
      <c r="A22" s="31">
        <v>2024099007</v>
      </c>
      <c r="B22" s="31"/>
      <c r="C22" s="31"/>
      <c r="D22" s="31"/>
      <c r="E22" s="32" t="s">
        <v>44</v>
      </c>
      <c r="F22" s="32" t="s">
        <v>120</v>
      </c>
      <c r="G22" s="32">
        <v>13</v>
      </c>
      <c r="H22" s="32">
        <v>0</v>
      </c>
      <c r="I22" s="32">
        <v>1</v>
      </c>
      <c r="J22" s="32">
        <v>0</v>
      </c>
      <c r="K22" s="32">
        <v>0</v>
      </c>
      <c r="L22" s="32">
        <f>J22+K22</f>
        <v>0</v>
      </c>
      <c r="M22" s="32">
        <v>8</v>
      </c>
      <c r="N22" s="33">
        <f t="shared" si="12"/>
        <v>13</v>
      </c>
      <c r="O22" s="32">
        <v>0.30769999999999997</v>
      </c>
      <c r="P22" s="33">
        <f>SUM(M22:O22) - L22</f>
        <v>21.307700000000001</v>
      </c>
      <c r="Q22" s="32" t="str">
        <f t="shared" si="3"/>
        <v>Medio</v>
      </c>
      <c r="R22" s="33">
        <f t="shared" si="4"/>
        <v>0.65789473684210531</v>
      </c>
      <c r="S22" s="33">
        <f>0.0303030303030303</f>
        <v>3.03030303030303E-2</v>
      </c>
      <c r="T22" s="33">
        <v>0</v>
      </c>
      <c r="U22" s="33">
        <f t="shared" ref="U22:U33" si="13">SUM(R22:T22)/3</f>
        <v>0.22939925571504519</v>
      </c>
      <c r="V22" s="33">
        <f t="shared" si="6"/>
        <v>0.8</v>
      </c>
      <c r="W22" s="33">
        <f t="shared" ref="W22:W33" si="14">(U22+(1-V22))/2</f>
        <v>0.21469962785752256</v>
      </c>
      <c r="X22" s="32" t="str">
        <f t="shared" si="7"/>
        <v>Medio</v>
      </c>
      <c r="Y22" s="33">
        <v>1</v>
      </c>
      <c r="Z22" s="32" t="str">
        <f t="shared" si="8"/>
        <v>Alto</v>
      </c>
      <c r="AA22" s="33">
        <f t="shared" si="11"/>
        <v>20.093000372142477</v>
      </c>
      <c r="AB22" s="32" t="str">
        <f t="shared" si="0"/>
        <v>Medio</v>
      </c>
    </row>
    <row r="23" spans="1:28" s="5" customFormat="1" x14ac:dyDescent="0.25">
      <c r="A23" s="20">
        <v>2024109692</v>
      </c>
      <c r="B23" s="20"/>
      <c r="C23" s="20"/>
      <c r="D23" s="20"/>
      <c r="E23" s="21" t="s">
        <v>44</v>
      </c>
      <c r="F23" s="21" t="s">
        <v>120</v>
      </c>
      <c r="G23" s="21">
        <v>22</v>
      </c>
      <c r="H23" s="21">
        <v>2</v>
      </c>
      <c r="I23" s="21">
        <v>1</v>
      </c>
      <c r="J23" s="21">
        <v>0</v>
      </c>
      <c r="K23" s="21">
        <v>0</v>
      </c>
      <c r="L23" s="21">
        <v>0</v>
      </c>
      <c r="M23" s="21">
        <v>8</v>
      </c>
      <c r="N23" s="23">
        <f t="shared" si="12"/>
        <v>22</v>
      </c>
      <c r="O23" s="21">
        <v>0.2273</v>
      </c>
      <c r="P23" s="23">
        <f t="shared" ref="P23:P48" si="15">SUM(M23:O23) - L23</f>
        <v>30.2273</v>
      </c>
      <c r="Q23" s="21" t="str">
        <f t="shared" si="3"/>
        <v>Bajo</v>
      </c>
      <c r="R23" s="23">
        <f t="shared" si="4"/>
        <v>0.42105263157894735</v>
      </c>
      <c r="S23" s="23">
        <f>0.054054054054054</f>
        <v>5.4054054054054002E-2</v>
      </c>
      <c r="T23" s="23">
        <v>0</v>
      </c>
      <c r="U23" s="23">
        <f t="shared" si="13"/>
        <v>0.15836889521100045</v>
      </c>
      <c r="V23" s="23">
        <f t="shared" si="6"/>
        <v>0.8</v>
      </c>
      <c r="W23" s="23">
        <f t="shared" si="14"/>
        <v>0.1791844476055002</v>
      </c>
      <c r="X23" s="21" t="str">
        <f t="shared" si="7"/>
        <v>Bajo</v>
      </c>
      <c r="Y23" s="23">
        <v>1</v>
      </c>
      <c r="Z23" s="21" t="str">
        <f t="shared" si="8"/>
        <v>Alto</v>
      </c>
      <c r="AA23" s="23">
        <f t="shared" si="11"/>
        <v>29.048115552394499</v>
      </c>
      <c r="AB23" s="21" t="str">
        <f t="shared" si="0"/>
        <v>Bajo</v>
      </c>
    </row>
    <row r="24" spans="1:28" s="5" customFormat="1" x14ac:dyDescent="0.25">
      <c r="A24" s="31">
        <v>2024112230</v>
      </c>
      <c r="B24" s="31"/>
      <c r="C24" s="31"/>
      <c r="D24" s="31"/>
      <c r="E24" s="32" t="s">
        <v>44</v>
      </c>
      <c r="F24" s="32" t="s">
        <v>120</v>
      </c>
      <c r="G24" s="32">
        <v>14</v>
      </c>
      <c r="H24" s="32">
        <v>0</v>
      </c>
      <c r="I24" s="32">
        <v>1</v>
      </c>
      <c r="J24" s="32">
        <v>0</v>
      </c>
      <c r="K24" s="32">
        <v>0</v>
      </c>
      <c r="L24" s="32">
        <v>0</v>
      </c>
      <c r="M24" s="32">
        <v>4</v>
      </c>
      <c r="N24" s="33">
        <f t="shared" si="12"/>
        <v>14</v>
      </c>
      <c r="O24" s="32">
        <v>0.35709999999999997</v>
      </c>
      <c r="P24" s="33">
        <f t="shared" si="15"/>
        <v>18.357099999999999</v>
      </c>
      <c r="Q24" s="32" t="str">
        <f t="shared" si="3"/>
        <v>Medio</v>
      </c>
      <c r="R24" s="33">
        <f t="shared" si="4"/>
        <v>0.63157894736842102</v>
      </c>
      <c r="S24" s="33">
        <f>0.0571428571428571</f>
        <v>5.7142857142857099E-2</v>
      </c>
      <c r="T24" s="33">
        <v>0</v>
      </c>
      <c r="U24" s="33">
        <f t="shared" si="13"/>
        <v>0.22957393483709268</v>
      </c>
      <c r="V24" s="33">
        <f t="shared" si="6"/>
        <v>0.4</v>
      </c>
      <c r="W24" s="33">
        <f t="shared" si="14"/>
        <v>0.41478696741854632</v>
      </c>
      <c r="X24" s="32" t="str">
        <f t="shared" si="7"/>
        <v>Medio</v>
      </c>
      <c r="Y24" s="33">
        <v>1</v>
      </c>
      <c r="Z24" s="32" t="str">
        <f t="shared" si="8"/>
        <v>Alto</v>
      </c>
      <c r="AA24" s="33">
        <f t="shared" si="11"/>
        <v>16.942313032581453</v>
      </c>
      <c r="AB24" s="32" t="str">
        <f t="shared" si="0"/>
        <v>Medio</v>
      </c>
    </row>
    <row r="25" spans="1:28" s="5" customFormat="1" x14ac:dyDescent="0.25">
      <c r="A25" s="20">
        <v>2024114502</v>
      </c>
      <c r="B25" s="20"/>
      <c r="C25" s="20"/>
      <c r="D25" s="20"/>
      <c r="E25" s="21" t="s">
        <v>44</v>
      </c>
      <c r="F25" s="21" t="s">
        <v>121</v>
      </c>
      <c r="G25" s="21">
        <v>29</v>
      </c>
      <c r="H25" s="21">
        <v>6</v>
      </c>
      <c r="I25" s="21">
        <v>2</v>
      </c>
      <c r="J25" s="21">
        <v>0</v>
      </c>
      <c r="K25" s="21">
        <v>0</v>
      </c>
      <c r="L25" s="21">
        <v>0</v>
      </c>
      <c r="M25" s="21">
        <v>8</v>
      </c>
      <c r="N25" s="23">
        <f t="shared" si="12"/>
        <v>14.5</v>
      </c>
      <c r="O25" s="21">
        <v>0.1875</v>
      </c>
      <c r="P25" s="23">
        <f t="shared" si="15"/>
        <v>22.6875</v>
      </c>
      <c r="Q25" s="21" t="str">
        <f t="shared" si="3"/>
        <v>Medio</v>
      </c>
      <c r="R25" s="23">
        <f t="shared" si="4"/>
        <v>0.61842105263157898</v>
      </c>
      <c r="S25" s="23">
        <v>9.7560975609756101E-2</v>
      </c>
      <c r="T25" s="23">
        <f>0.10204081632653</f>
        <v>0.10204081632653</v>
      </c>
      <c r="U25" s="23">
        <f t="shared" si="13"/>
        <v>0.27267428152262169</v>
      </c>
      <c r="V25" s="23">
        <f t="shared" si="6"/>
        <v>0.8</v>
      </c>
      <c r="W25" s="23">
        <f t="shared" si="14"/>
        <v>0.23633714076131082</v>
      </c>
      <c r="X25" s="21" t="str">
        <f t="shared" si="7"/>
        <v>Medio</v>
      </c>
      <c r="Y25" s="23">
        <v>1</v>
      </c>
      <c r="Z25" s="21" t="str">
        <f t="shared" si="8"/>
        <v>Alto</v>
      </c>
      <c r="AA25" s="23">
        <f t="shared" si="11"/>
        <v>21.451162859238689</v>
      </c>
      <c r="AB25" s="21" t="str">
        <f t="shared" si="0"/>
        <v>Medio</v>
      </c>
    </row>
    <row r="26" spans="1:28" hidden="1" x14ac:dyDescent="0.25">
      <c r="A26" s="19">
        <v>2024132538</v>
      </c>
      <c r="B26" s="19"/>
      <c r="C26" s="19"/>
      <c r="D26" s="19"/>
      <c r="E26" s="16"/>
      <c r="F26" s="16"/>
      <c r="G26" s="16"/>
      <c r="H26" s="16"/>
      <c r="I26" s="16"/>
      <c r="J26" s="16"/>
      <c r="K26" s="16"/>
      <c r="L26" s="16"/>
      <c r="M26" s="16"/>
      <c r="N26" s="17" t="e">
        <f t="shared" si="12"/>
        <v>#DIV/0!</v>
      </c>
      <c r="O26" s="16"/>
      <c r="P26" s="17" t="e">
        <f t="shared" si="15"/>
        <v>#DIV/0!</v>
      </c>
      <c r="Q26" s="16" t="e">
        <f t="shared" si="3"/>
        <v>#DIV/0!</v>
      </c>
      <c r="R26" s="17" t="e">
        <f t="shared" si="4"/>
        <v>#DIV/0!</v>
      </c>
      <c r="S26" s="17"/>
      <c r="T26" s="17"/>
      <c r="U26" s="17" t="e">
        <f t="shared" si="13"/>
        <v>#DIV/0!</v>
      </c>
      <c r="V26" s="17">
        <f t="shared" si="6"/>
        <v>0</v>
      </c>
      <c r="W26" s="17" t="e">
        <f t="shared" si="14"/>
        <v>#DIV/0!</v>
      </c>
      <c r="X26" s="16" t="e">
        <f t="shared" si="7"/>
        <v>#DIV/0!</v>
      </c>
      <c r="Y26" s="17"/>
      <c r="Z26" s="16" t="str">
        <f t="shared" si="8"/>
        <v>Bajo</v>
      </c>
      <c r="AA26" s="23" t="e">
        <f t="shared" si="11"/>
        <v>#DIV/0!</v>
      </c>
      <c r="AB26" s="32" t="e">
        <f t="shared" si="0"/>
        <v>#DIV/0!</v>
      </c>
    </row>
    <row r="27" spans="1:28" s="5" customFormat="1" x14ac:dyDescent="0.25">
      <c r="A27" s="31">
        <v>2024136072</v>
      </c>
      <c r="B27" s="31"/>
      <c r="C27" s="31"/>
      <c r="D27" s="31"/>
      <c r="E27" s="32" t="s">
        <v>44</v>
      </c>
      <c r="F27" s="32" t="s">
        <v>125</v>
      </c>
      <c r="G27" s="32">
        <v>25</v>
      </c>
      <c r="H27" s="32">
        <v>0</v>
      </c>
      <c r="I27" s="32">
        <v>1</v>
      </c>
      <c r="J27" s="32">
        <v>0</v>
      </c>
      <c r="K27" s="32">
        <v>0</v>
      </c>
      <c r="L27" s="32">
        <v>0</v>
      </c>
      <c r="M27" s="32">
        <v>8</v>
      </c>
      <c r="N27" s="33">
        <f t="shared" ref="N27:N31" si="16">G27/I27</f>
        <v>25</v>
      </c>
      <c r="O27" s="32">
        <v>0.2</v>
      </c>
      <c r="P27" s="33">
        <f t="shared" si="15"/>
        <v>33.200000000000003</v>
      </c>
      <c r="Q27" s="32" t="str">
        <f t="shared" si="3"/>
        <v>Bajo</v>
      </c>
      <c r="R27" s="33">
        <f t="shared" si="4"/>
        <v>0.34210526315789469</v>
      </c>
      <c r="S27" s="33">
        <f>0.0789473684210526</f>
        <v>7.8947368421052599E-2</v>
      </c>
      <c r="T27" s="33">
        <v>0</v>
      </c>
      <c r="U27" s="33">
        <f t="shared" si="13"/>
        <v>0.14035087719298242</v>
      </c>
      <c r="V27" s="33">
        <f t="shared" si="6"/>
        <v>0.8</v>
      </c>
      <c r="W27" s="33">
        <f t="shared" si="14"/>
        <v>0.1701754385964912</v>
      </c>
      <c r="X27" s="32" t="str">
        <f t="shared" si="7"/>
        <v>Bajo</v>
      </c>
      <c r="Y27" s="33">
        <v>1</v>
      </c>
      <c r="Z27" s="32" t="str">
        <f t="shared" si="8"/>
        <v>Alto</v>
      </c>
      <c r="AA27" s="33">
        <f t="shared" si="11"/>
        <v>32.029824561403508</v>
      </c>
      <c r="AB27" s="32" t="str">
        <f t="shared" si="0"/>
        <v>Bajo</v>
      </c>
    </row>
    <row r="28" spans="1:28" s="5" customFormat="1" x14ac:dyDescent="0.25">
      <c r="A28" s="20">
        <v>2024138712</v>
      </c>
      <c r="B28" s="20"/>
      <c r="C28" s="20"/>
      <c r="D28" s="20"/>
      <c r="E28" s="21" t="s">
        <v>44</v>
      </c>
      <c r="F28" s="21" t="s">
        <v>119</v>
      </c>
      <c r="G28" s="21">
        <v>15</v>
      </c>
      <c r="H28" s="21">
        <v>1</v>
      </c>
      <c r="I28" s="21">
        <v>3</v>
      </c>
      <c r="J28" s="21">
        <v>0</v>
      </c>
      <c r="K28" s="21">
        <v>0</v>
      </c>
      <c r="L28" s="21">
        <v>0</v>
      </c>
      <c r="M28" s="21">
        <v>7</v>
      </c>
      <c r="N28" s="23">
        <f t="shared" si="16"/>
        <v>5</v>
      </c>
      <c r="O28" s="21">
        <v>0.26669999999999999</v>
      </c>
      <c r="P28" s="23">
        <f t="shared" si="15"/>
        <v>12.2667</v>
      </c>
      <c r="Q28" s="21" t="str">
        <f t="shared" si="3"/>
        <v>Alto</v>
      </c>
      <c r="R28" s="23">
        <f t="shared" si="4"/>
        <v>0.86842105263157898</v>
      </c>
      <c r="S28" s="23">
        <f>0.114285714285714</f>
        <v>0.114285714285714</v>
      </c>
      <c r="T28" s="23">
        <f>0.054054054054054</f>
        <v>5.4054054054054002E-2</v>
      </c>
      <c r="U28" s="23">
        <f t="shared" si="13"/>
        <v>0.34558694032378234</v>
      </c>
      <c r="V28" s="23">
        <f t="shared" si="6"/>
        <v>0.7</v>
      </c>
      <c r="W28" s="23">
        <f t="shared" si="14"/>
        <v>0.32279347016189119</v>
      </c>
      <c r="X28" s="21" t="str">
        <f t="shared" si="7"/>
        <v>Medio</v>
      </c>
      <c r="Y28" s="23">
        <v>1</v>
      </c>
      <c r="Z28" s="21" t="str">
        <f t="shared" si="8"/>
        <v>Alto</v>
      </c>
      <c r="AA28" s="23">
        <f t="shared" si="11"/>
        <v>10.94390652983811</v>
      </c>
      <c r="AB28" s="21" t="str">
        <f t="shared" si="0"/>
        <v>Alto</v>
      </c>
    </row>
    <row r="29" spans="1:28" s="7" customFormat="1" ht="30" x14ac:dyDescent="0.25">
      <c r="A29" s="31">
        <v>2024140841</v>
      </c>
      <c r="B29" s="31"/>
      <c r="C29" s="31"/>
      <c r="D29" s="31"/>
      <c r="E29" s="32" t="s">
        <v>42</v>
      </c>
      <c r="F29" s="34" t="s">
        <v>126</v>
      </c>
      <c r="G29" s="32">
        <v>51</v>
      </c>
      <c r="H29" s="32">
        <v>11</v>
      </c>
      <c r="I29" s="32">
        <v>3</v>
      </c>
      <c r="J29" s="32">
        <v>0</v>
      </c>
      <c r="K29" s="32">
        <v>0</v>
      </c>
      <c r="L29" s="32">
        <v>0</v>
      </c>
      <c r="M29" s="32">
        <v>16</v>
      </c>
      <c r="N29" s="33">
        <f t="shared" si="16"/>
        <v>17</v>
      </c>
      <c r="O29" s="32">
        <v>0.27450000000000002</v>
      </c>
      <c r="P29" s="33">
        <f t="shared" si="15"/>
        <v>33.274500000000003</v>
      </c>
      <c r="Q29" s="32" t="str">
        <f t="shared" si="3"/>
        <v>Bajo</v>
      </c>
      <c r="R29" s="33">
        <f t="shared" si="4"/>
        <v>0.55263157894736836</v>
      </c>
      <c r="S29" s="33">
        <f>0.162162162162162</f>
        <v>0.162162162162162</v>
      </c>
      <c r="T29" s="33">
        <f>0.0847457627118644</f>
        <v>8.4745762711864403E-2</v>
      </c>
      <c r="U29" s="33">
        <f t="shared" si="13"/>
        <v>0.26651316794046492</v>
      </c>
      <c r="V29" s="33">
        <f t="shared" si="6"/>
        <v>1.6</v>
      </c>
      <c r="W29" s="33">
        <f t="shared" si="14"/>
        <v>-0.16674341602976758</v>
      </c>
      <c r="X29" s="32" t="str">
        <f t="shared" si="7"/>
        <v>Bajo</v>
      </c>
      <c r="Y29" s="33">
        <v>0.72729999999999995</v>
      </c>
      <c r="Z29" s="32" t="str">
        <f t="shared" si="8"/>
        <v>Bajo</v>
      </c>
      <c r="AA29" s="33">
        <f t="shared" si="11"/>
        <v>32.713943416029771</v>
      </c>
      <c r="AB29" s="32" t="str">
        <f t="shared" si="0"/>
        <v>Bajo</v>
      </c>
    </row>
    <row r="30" spans="1:28" hidden="1" x14ac:dyDescent="0.25">
      <c r="A30" s="2">
        <v>2024145117</v>
      </c>
      <c r="B30" s="2"/>
      <c r="C30" s="2"/>
      <c r="D30" s="2"/>
      <c r="N30" s="9" t="e">
        <f t="shared" si="16"/>
        <v>#DIV/0!</v>
      </c>
      <c r="P30" s="9" t="e">
        <f t="shared" si="15"/>
        <v>#DIV/0!</v>
      </c>
      <c r="Q30" s="7" t="e">
        <f t="shared" si="3"/>
        <v>#DIV/0!</v>
      </c>
      <c r="R30" s="11" t="e">
        <f t="shared" si="4"/>
        <v>#DIV/0!</v>
      </c>
      <c r="U30" s="8" t="e">
        <f t="shared" si="13"/>
        <v>#DIV/0!</v>
      </c>
      <c r="V30" s="8">
        <f t="shared" si="6"/>
        <v>0</v>
      </c>
      <c r="W30" s="8" t="e">
        <f t="shared" si="14"/>
        <v>#DIV/0!</v>
      </c>
      <c r="X30" s="7" t="e">
        <f t="shared" si="7"/>
        <v>#DIV/0!</v>
      </c>
      <c r="Z30" s="7" t="str">
        <f t="shared" si="8"/>
        <v>Bajo</v>
      </c>
      <c r="AA30" s="23" t="e">
        <f t="shared" si="11"/>
        <v>#DIV/0!</v>
      </c>
      <c r="AB30" s="32" t="e">
        <f t="shared" si="0"/>
        <v>#DIV/0!</v>
      </c>
    </row>
    <row r="31" spans="1:28" s="5" customFormat="1" x14ac:dyDescent="0.25">
      <c r="A31" s="20">
        <v>2024145153</v>
      </c>
      <c r="B31" s="20"/>
      <c r="C31" s="20"/>
      <c r="D31" s="20"/>
      <c r="E31" s="21" t="s">
        <v>44</v>
      </c>
      <c r="F31" s="21" t="s">
        <v>120</v>
      </c>
      <c r="G31" s="21">
        <v>27</v>
      </c>
      <c r="H31" s="21">
        <v>0</v>
      </c>
      <c r="I31" s="21">
        <v>1</v>
      </c>
      <c r="J31" s="21">
        <v>0</v>
      </c>
      <c r="K31" s="21">
        <v>0</v>
      </c>
      <c r="L31" s="21">
        <v>0</v>
      </c>
      <c r="M31" s="21">
        <v>8</v>
      </c>
      <c r="N31" s="23">
        <f t="shared" si="16"/>
        <v>27</v>
      </c>
      <c r="O31" s="21">
        <v>0.1852</v>
      </c>
      <c r="P31" s="23">
        <f t="shared" si="15"/>
        <v>35.185200000000002</v>
      </c>
      <c r="Q31" s="21" t="str">
        <f t="shared" si="3"/>
        <v>Bajo</v>
      </c>
      <c r="R31" s="23">
        <f t="shared" si="4"/>
        <v>0.28947368421052633</v>
      </c>
      <c r="S31" s="23">
        <f>0.088235294117647</f>
        <v>8.8235294117646995E-2</v>
      </c>
      <c r="T31" s="23">
        <v>0</v>
      </c>
      <c r="U31" s="23">
        <f t="shared" si="13"/>
        <v>0.12590299277605776</v>
      </c>
      <c r="V31" s="23">
        <f t="shared" si="6"/>
        <v>0.8</v>
      </c>
      <c r="W31" s="23">
        <f t="shared" si="14"/>
        <v>0.16295149638802886</v>
      </c>
      <c r="X31" s="21" t="str">
        <f t="shared" si="7"/>
        <v>Bajo</v>
      </c>
      <c r="Y31" s="23">
        <v>0.85709999999999997</v>
      </c>
      <c r="Z31" s="21" t="str">
        <f t="shared" si="8"/>
        <v>Bajo</v>
      </c>
      <c r="AA31" s="23">
        <f t="shared" si="11"/>
        <v>34.165148503611974</v>
      </c>
      <c r="AB31" s="21" t="str">
        <f t="shared" si="0"/>
        <v>Bajo</v>
      </c>
    </row>
    <row r="32" spans="1:28" hidden="1" x14ac:dyDescent="0.25">
      <c r="A32" s="2">
        <v>2024163735</v>
      </c>
      <c r="B32" s="2"/>
      <c r="C32" s="2"/>
      <c r="D32" s="2"/>
      <c r="P32" s="9">
        <f t="shared" si="15"/>
        <v>0</v>
      </c>
      <c r="Q32" s="7" t="str">
        <f t="shared" si="3"/>
        <v>Alto</v>
      </c>
      <c r="R32" s="11">
        <f t="shared" si="4"/>
        <v>1</v>
      </c>
      <c r="U32" s="8">
        <f t="shared" si="13"/>
        <v>0.33333333333333331</v>
      </c>
      <c r="V32" s="8">
        <f t="shared" si="6"/>
        <v>0</v>
      </c>
      <c r="W32" s="8">
        <f t="shared" si="14"/>
        <v>0.66666666666666663</v>
      </c>
      <c r="X32" s="7" t="str">
        <f t="shared" si="7"/>
        <v>Alto</v>
      </c>
      <c r="Z32" s="7" t="str">
        <f t="shared" si="8"/>
        <v>Bajo</v>
      </c>
      <c r="AA32" s="23">
        <f t="shared" si="11"/>
        <v>-0.66666666666666663</v>
      </c>
      <c r="AB32" s="32" t="str">
        <f t="shared" si="0"/>
        <v>Alto</v>
      </c>
    </row>
    <row r="33" spans="1:28" s="5" customFormat="1" x14ac:dyDescent="0.25">
      <c r="A33" s="45">
        <v>2024178193</v>
      </c>
      <c r="B33" s="45"/>
      <c r="C33" s="45"/>
      <c r="D33" s="45"/>
      <c r="E33" s="46" t="s">
        <v>44</v>
      </c>
      <c r="F33" s="46" t="s">
        <v>119</v>
      </c>
      <c r="G33" s="46">
        <v>18</v>
      </c>
      <c r="H33" s="46">
        <v>1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7">
        <v>0</v>
      </c>
      <c r="O33" s="46">
        <v>0.44</v>
      </c>
      <c r="P33" s="47">
        <f>SUM(M33:O33) - L33</f>
        <v>0.44</v>
      </c>
      <c r="Q33" s="46" t="str">
        <f t="shared" si="3"/>
        <v>Alto</v>
      </c>
      <c r="R33" s="47">
        <f t="shared" si="4"/>
        <v>1</v>
      </c>
      <c r="S33" s="47">
        <v>0.04</v>
      </c>
      <c r="T33" s="47">
        <v>0.02</v>
      </c>
      <c r="U33" s="47">
        <f t="shared" si="13"/>
        <v>0.35333333333333333</v>
      </c>
      <c r="V33" s="47">
        <f t="shared" si="6"/>
        <v>0</v>
      </c>
      <c r="W33" s="47">
        <f t="shared" si="14"/>
        <v>0.67666666666666664</v>
      </c>
      <c r="X33" s="46" t="str">
        <f t="shared" si="7"/>
        <v>Alto</v>
      </c>
      <c r="Y33" s="47"/>
      <c r="Z33" s="46" t="str">
        <f t="shared" si="8"/>
        <v>Bajo</v>
      </c>
      <c r="AA33" s="47">
        <f t="shared" si="11"/>
        <v>-0.23666666666666664</v>
      </c>
      <c r="AB33" s="46" t="str">
        <f t="shared" si="0"/>
        <v>Alto</v>
      </c>
    </row>
    <row r="34" spans="1:28" s="5" customFormat="1" x14ac:dyDescent="0.25">
      <c r="A34" s="31">
        <v>2024178653</v>
      </c>
      <c r="B34" s="31"/>
      <c r="C34" s="31"/>
      <c r="D34" s="31"/>
      <c r="E34" s="32" t="s">
        <v>44</v>
      </c>
      <c r="F34" s="32" t="s">
        <v>125</v>
      </c>
      <c r="G34" s="32">
        <v>16</v>
      </c>
      <c r="H34" s="32">
        <v>0</v>
      </c>
      <c r="I34" s="32">
        <v>1</v>
      </c>
      <c r="J34" s="32">
        <v>0</v>
      </c>
      <c r="K34" s="32">
        <v>0</v>
      </c>
      <c r="L34" s="32">
        <v>0</v>
      </c>
      <c r="M34" s="32">
        <v>6</v>
      </c>
      <c r="N34" s="33">
        <f>G34/I34</f>
        <v>16</v>
      </c>
      <c r="O34" s="32">
        <v>0.35</v>
      </c>
      <c r="P34" s="33">
        <f>SUM(M34:O34) - L34</f>
        <v>22.35</v>
      </c>
      <c r="Q34" s="32" t="str">
        <f t="shared" si="3"/>
        <v>Medio</v>
      </c>
      <c r="R34" s="33">
        <f t="shared" si="4"/>
        <v>0.57894736842105265</v>
      </c>
      <c r="S34" s="33">
        <v>0.05</v>
      </c>
      <c r="T34" s="33">
        <v>0.08</v>
      </c>
      <c r="U34" s="33">
        <f>SUM(R34:T34)/3</f>
        <v>0.23631578947368423</v>
      </c>
      <c r="V34" s="33">
        <f t="shared" si="6"/>
        <v>0.6</v>
      </c>
      <c r="W34" s="33">
        <f>(U34+(1-V34))/2</f>
        <v>0.31815789473684214</v>
      </c>
      <c r="X34" s="32" t="str">
        <f t="shared" si="7"/>
        <v>Medio</v>
      </c>
      <c r="Y34" s="33">
        <v>1</v>
      </c>
      <c r="Z34" s="32" t="str">
        <f t="shared" si="8"/>
        <v>Alto</v>
      </c>
      <c r="AA34" s="33">
        <f t="shared" si="11"/>
        <v>21.031842105263159</v>
      </c>
      <c r="AB34" s="32" t="str">
        <f t="shared" si="0"/>
        <v>Medio</v>
      </c>
    </row>
    <row r="35" spans="1:28" s="14" customFormat="1" x14ac:dyDescent="0.25">
      <c r="A35" s="20">
        <v>2024192981</v>
      </c>
      <c r="B35" s="20"/>
      <c r="C35" s="20"/>
      <c r="D35" s="20"/>
      <c r="E35" s="21" t="s">
        <v>46</v>
      </c>
      <c r="F35" s="21" t="s">
        <v>127</v>
      </c>
      <c r="G35" s="21">
        <v>24</v>
      </c>
      <c r="H35" s="21">
        <v>0</v>
      </c>
      <c r="I35" s="21">
        <v>1</v>
      </c>
      <c r="J35" s="21">
        <v>0</v>
      </c>
      <c r="K35" s="21">
        <v>0</v>
      </c>
      <c r="L35" s="21">
        <f>J35+K35</f>
        <v>0</v>
      </c>
      <c r="M35" s="21">
        <v>8</v>
      </c>
      <c r="N35" s="23">
        <f>G35/I35</f>
        <v>24</v>
      </c>
      <c r="O35" s="21">
        <v>0.375</v>
      </c>
      <c r="P35" s="23">
        <f t="shared" si="15"/>
        <v>32.375</v>
      </c>
      <c r="Q35" s="21" t="str">
        <f t="shared" si="3"/>
        <v>Bajo</v>
      </c>
      <c r="R35" s="23">
        <f t="shared" si="4"/>
        <v>0.36842105263157898</v>
      </c>
      <c r="S35" s="23">
        <v>7.0000000000000007E-2</v>
      </c>
      <c r="T35" s="23">
        <v>0.04</v>
      </c>
      <c r="U35" s="23">
        <f>SUM(R35:T35)/3</f>
        <v>0.15947368421052632</v>
      </c>
      <c r="V35" s="23">
        <f t="shared" si="6"/>
        <v>0.8</v>
      </c>
      <c r="W35" s="23">
        <f>(U35+(1-V35))/2</f>
        <v>0.17973684210526314</v>
      </c>
      <c r="X35" s="21" t="str">
        <f t="shared" si="7"/>
        <v>Bajo</v>
      </c>
      <c r="Y35" s="23">
        <f>0.8571</f>
        <v>0.85709999999999997</v>
      </c>
      <c r="Z35" s="21" t="str">
        <f t="shared" si="8"/>
        <v>Bajo</v>
      </c>
      <c r="AA35" s="23">
        <f t="shared" si="11"/>
        <v>31.338163157894737</v>
      </c>
      <c r="AB35" s="21" t="str">
        <f t="shared" si="0"/>
        <v>Bajo</v>
      </c>
    </row>
    <row r="36" spans="1:28" hidden="1" x14ac:dyDescent="0.25">
      <c r="A36" s="31">
        <v>2024201088</v>
      </c>
      <c r="B36" s="31"/>
      <c r="C36" s="31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3"/>
      <c r="O36" s="32"/>
      <c r="P36" s="33">
        <f t="shared" si="15"/>
        <v>0</v>
      </c>
      <c r="Q36" s="32" t="str">
        <f t="shared" si="3"/>
        <v>Alto</v>
      </c>
      <c r="R36" s="33">
        <f t="shared" si="4"/>
        <v>1</v>
      </c>
      <c r="S36" s="33"/>
      <c r="T36" s="33"/>
      <c r="U36" s="33"/>
      <c r="V36" s="33"/>
      <c r="W36" s="33"/>
      <c r="X36" s="32" t="str">
        <f t="shared" si="7"/>
        <v>Bajo</v>
      </c>
      <c r="Y36" s="33"/>
      <c r="Z36" s="32" t="str">
        <f t="shared" si="8"/>
        <v>Bajo</v>
      </c>
      <c r="AA36" s="33">
        <f t="shared" si="11"/>
        <v>0</v>
      </c>
      <c r="AB36" s="32" t="str">
        <f t="shared" si="0"/>
        <v>Alto</v>
      </c>
    </row>
    <row r="37" spans="1:28" s="5" customFormat="1" x14ac:dyDescent="0.25">
      <c r="A37" s="45">
        <v>2024202804</v>
      </c>
      <c r="B37" s="45"/>
      <c r="C37" s="45"/>
      <c r="D37" s="45"/>
      <c r="E37" s="46" t="s">
        <v>44</v>
      </c>
      <c r="F37" s="46" t="s">
        <v>128</v>
      </c>
      <c r="G37" s="46">
        <v>19</v>
      </c>
      <c r="H37" s="46">
        <v>0</v>
      </c>
      <c r="I37" s="46">
        <v>3</v>
      </c>
      <c r="J37" s="46">
        <v>0</v>
      </c>
      <c r="K37" s="46">
        <v>0</v>
      </c>
      <c r="L37" s="46">
        <v>0</v>
      </c>
      <c r="M37" s="46">
        <v>2.67</v>
      </c>
      <c r="N37" s="47">
        <f>G37/I37</f>
        <v>6.333333333333333</v>
      </c>
      <c r="O37" s="46">
        <v>0.37</v>
      </c>
      <c r="P37" s="47">
        <f t="shared" si="15"/>
        <v>9.3733333333333331</v>
      </c>
      <c r="Q37" s="46" t="str">
        <f t="shared" si="3"/>
        <v>Alto</v>
      </c>
      <c r="R37" s="47">
        <f t="shared" si="4"/>
        <v>0.83333333333333337</v>
      </c>
      <c r="S37" s="47">
        <v>0.06</v>
      </c>
      <c r="T37" s="47">
        <v>0</v>
      </c>
      <c r="U37" s="47">
        <f>SUM(R37:T37)/3</f>
        <v>0.29777777777777775</v>
      </c>
      <c r="V37" s="47">
        <f>M37/$T$55</f>
        <v>0.26700000000000002</v>
      </c>
      <c r="W37" s="47">
        <f>(U37+(1-V37))/2</f>
        <v>0.5153888888888889</v>
      </c>
      <c r="X37" s="46" t="str">
        <f t="shared" si="7"/>
        <v>Alto</v>
      </c>
      <c r="Y37" s="47">
        <v>1</v>
      </c>
      <c r="Z37" s="46" t="str">
        <f t="shared" si="8"/>
        <v>Alto</v>
      </c>
      <c r="AA37" s="47">
        <f t="shared" si="11"/>
        <v>7.8579444444444437</v>
      </c>
      <c r="AB37" s="46" t="str">
        <f t="shared" si="0"/>
        <v>Alto</v>
      </c>
    </row>
    <row r="38" spans="1:28" s="14" customFormat="1" x14ac:dyDescent="0.25">
      <c r="A38" s="45">
        <v>2024252331</v>
      </c>
      <c r="B38" s="45"/>
      <c r="C38" s="45"/>
      <c r="D38" s="45"/>
      <c r="E38" s="46" t="s">
        <v>46</v>
      </c>
      <c r="F38" s="46" t="s">
        <v>129</v>
      </c>
      <c r="G38" s="46">
        <v>38</v>
      </c>
      <c r="H38" s="46">
        <v>8</v>
      </c>
      <c r="I38" s="46">
        <v>2</v>
      </c>
      <c r="J38" s="46">
        <v>0</v>
      </c>
      <c r="K38" s="46">
        <v>0</v>
      </c>
      <c r="L38" s="46">
        <v>0</v>
      </c>
      <c r="M38" s="46">
        <v>4</v>
      </c>
      <c r="N38" s="47">
        <f>G38/I38</f>
        <v>19</v>
      </c>
      <c r="O38" s="46">
        <v>0.4</v>
      </c>
      <c r="P38" s="47">
        <f t="shared" si="15"/>
        <v>23.4</v>
      </c>
      <c r="Q38" s="46" t="str">
        <f t="shared" si="3"/>
        <v>Medio</v>
      </c>
      <c r="R38" s="47">
        <f t="shared" si="4"/>
        <v>0.5</v>
      </c>
      <c r="S38" s="47">
        <v>0.1</v>
      </c>
      <c r="T38" s="47">
        <v>0.12</v>
      </c>
      <c r="U38" s="47">
        <f>SUM(R38:T38)/3</f>
        <v>0.24</v>
      </c>
      <c r="V38" s="47">
        <f>M38/$T$55</f>
        <v>0.4</v>
      </c>
      <c r="W38" s="47">
        <f>(U38+(1-V38))/2</f>
        <v>0.42</v>
      </c>
      <c r="X38" s="46" t="str">
        <f t="shared" si="7"/>
        <v>Medio</v>
      </c>
      <c r="Y38" s="47">
        <v>0.89</v>
      </c>
      <c r="Z38" s="46" t="str">
        <f t="shared" si="8"/>
        <v>Medio</v>
      </c>
      <c r="AA38" s="47">
        <f t="shared" si="11"/>
        <v>22.089999999999996</v>
      </c>
      <c r="AB38" s="46" t="str">
        <f t="shared" si="0"/>
        <v>Medio</v>
      </c>
    </row>
    <row r="39" spans="1:28" s="5" customFormat="1" x14ac:dyDescent="0.25">
      <c r="A39" s="20">
        <v>2024253395</v>
      </c>
      <c r="B39" s="20"/>
      <c r="C39" s="20"/>
      <c r="D39" s="20"/>
      <c r="E39" s="21" t="s">
        <v>44</v>
      </c>
      <c r="F39" s="21" t="s">
        <v>120</v>
      </c>
      <c r="G39" s="21">
        <v>13</v>
      </c>
      <c r="H39" s="21">
        <v>1</v>
      </c>
      <c r="I39" s="21">
        <v>1</v>
      </c>
      <c r="J39" s="21">
        <v>0</v>
      </c>
      <c r="K39" s="21">
        <v>0</v>
      </c>
      <c r="L39" s="21">
        <v>0</v>
      </c>
      <c r="M39" s="21">
        <v>4</v>
      </c>
      <c r="N39" s="23">
        <f>G34/I34</f>
        <v>16</v>
      </c>
      <c r="O39" s="21">
        <v>0.38</v>
      </c>
      <c r="P39" s="23">
        <f t="shared" si="15"/>
        <v>20.38</v>
      </c>
      <c r="Q39" s="21" t="str">
        <f t="shared" si="3"/>
        <v>Medio</v>
      </c>
      <c r="R39" s="23">
        <f t="shared" si="4"/>
        <v>0.57894736842105265</v>
      </c>
      <c r="S39" s="23">
        <v>0.09</v>
      </c>
      <c r="T39" s="23">
        <v>0.02</v>
      </c>
      <c r="U39" s="23">
        <f>SUM(R39:T39)/3</f>
        <v>0.22964912280701755</v>
      </c>
      <c r="V39" s="23">
        <f>M39/$T$55</f>
        <v>0.4</v>
      </c>
      <c r="W39" s="23">
        <f>(U39+(1-V39))/2</f>
        <v>0.41482456140350876</v>
      </c>
      <c r="X39" s="21" t="str">
        <f t="shared" si="7"/>
        <v>Medio</v>
      </c>
      <c r="Y39" s="23">
        <v>1</v>
      </c>
      <c r="Z39" s="21" t="str">
        <f t="shared" si="8"/>
        <v>Alto</v>
      </c>
      <c r="AA39" s="23">
        <f t="shared" si="11"/>
        <v>18.965175438596489</v>
      </c>
      <c r="AB39" s="21" t="str">
        <f t="shared" si="0"/>
        <v>Medio</v>
      </c>
    </row>
    <row r="40" spans="1:28" s="14" customFormat="1" x14ac:dyDescent="0.25">
      <c r="A40" s="31">
        <v>2024253434</v>
      </c>
      <c r="B40" s="31"/>
      <c r="C40" s="31"/>
      <c r="D40" s="31"/>
      <c r="E40" s="32" t="s">
        <v>46</v>
      </c>
      <c r="F40" s="32" t="s">
        <v>127</v>
      </c>
      <c r="G40" s="32">
        <v>38</v>
      </c>
      <c r="H40" s="32">
        <v>5</v>
      </c>
      <c r="I40" s="32">
        <v>1</v>
      </c>
      <c r="J40" s="32">
        <v>0</v>
      </c>
      <c r="K40" s="32">
        <v>0</v>
      </c>
      <c r="L40" s="32">
        <v>0</v>
      </c>
      <c r="M40" s="32">
        <v>10</v>
      </c>
      <c r="N40" s="33">
        <f>G40/I40</f>
        <v>38</v>
      </c>
      <c r="O40" s="32">
        <v>0.33</v>
      </c>
      <c r="P40" s="33">
        <f t="shared" si="15"/>
        <v>48.33</v>
      </c>
      <c r="Q40" s="32" t="str">
        <f t="shared" si="3"/>
        <v>Bajo</v>
      </c>
      <c r="R40" s="33">
        <f t="shared" si="4"/>
        <v>0</v>
      </c>
      <c r="S40" s="33">
        <v>0.1</v>
      </c>
      <c r="T40" s="33">
        <v>0.11</v>
      </c>
      <c r="U40" s="33">
        <f>SUM(R40:T40)/3</f>
        <v>7.0000000000000007E-2</v>
      </c>
      <c r="V40" s="33">
        <f>M40/$T$55</f>
        <v>1</v>
      </c>
      <c r="W40" s="33">
        <f>(U40+(1-V40))/2</f>
        <v>3.5000000000000003E-2</v>
      </c>
      <c r="X40" s="32" t="str">
        <f t="shared" si="7"/>
        <v>Bajo</v>
      </c>
      <c r="Y40" s="33">
        <v>0.79</v>
      </c>
      <c r="Z40" s="32" t="str">
        <f t="shared" si="8"/>
        <v>Bajo</v>
      </c>
      <c r="AA40" s="33">
        <f t="shared" si="11"/>
        <v>47.505000000000003</v>
      </c>
      <c r="AB40" s="32" t="str">
        <f t="shared" si="0"/>
        <v>Bajo</v>
      </c>
    </row>
    <row r="41" spans="1:28" hidden="1" x14ac:dyDescent="0.25">
      <c r="A41" s="31">
        <v>2024256175</v>
      </c>
      <c r="B41" s="31"/>
      <c r="C41" s="31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3"/>
      <c r="O41" s="32"/>
      <c r="P41" s="33">
        <f t="shared" si="15"/>
        <v>0</v>
      </c>
      <c r="Q41" s="32" t="str">
        <f t="shared" si="3"/>
        <v>Alto</v>
      </c>
      <c r="R41" s="33">
        <f t="shared" si="4"/>
        <v>1</v>
      </c>
      <c r="S41" s="33"/>
      <c r="T41" s="33"/>
      <c r="U41" s="33"/>
      <c r="V41" s="33"/>
      <c r="W41" s="33"/>
      <c r="X41" s="32" t="str">
        <f t="shared" si="7"/>
        <v>Bajo</v>
      </c>
      <c r="Y41" s="33"/>
      <c r="Z41" s="32" t="str">
        <f t="shared" si="8"/>
        <v>Bajo</v>
      </c>
      <c r="AA41" s="23">
        <f t="shared" si="11"/>
        <v>0</v>
      </c>
      <c r="AB41" s="32" t="str">
        <f t="shared" si="0"/>
        <v>Alto</v>
      </c>
    </row>
    <row r="42" spans="1:28" s="7" customFormat="1" x14ac:dyDescent="0.25">
      <c r="A42" s="45">
        <v>2024256560</v>
      </c>
      <c r="B42" s="45"/>
      <c r="C42" s="45"/>
      <c r="D42" s="45"/>
      <c r="E42" s="46"/>
      <c r="F42" s="46"/>
      <c r="G42" s="46">
        <v>13</v>
      </c>
      <c r="H42" s="46">
        <v>14</v>
      </c>
      <c r="I42" s="46">
        <v>1</v>
      </c>
      <c r="J42" s="46">
        <v>0</v>
      </c>
      <c r="K42" s="46">
        <v>0</v>
      </c>
      <c r="L42" s="46">
        <f>J42+K42</f>
        <v>0</v>
      </c>
      <c r="M42" s="46">
        <v>6</v>
      </c>
      <c r="N42" s="47">
        <f>G42/I42</f>
        <v>13</v>
      </c>
      <c r="O42" s="46">
        <v>0.25</v>
      </c>
      <c r="P42" s="47">
        <f t="shared" si="15"/>
        <v>19.25</v>
      </c>
      <c r="Q42" s="46" t="str">
        <f t="shared" si="3"/>
        <v>Medio</v>
      </c>
      <c r="R42" s="47">
        <f t="shared" si="4"/>
        <v>0.65789473684210531</v>
      </c>
      <c r="S42" s="47">
        <v>0.05</v>
      </c>
      <c r="T42" s="47">
        <v>7.0000000000000007E-2</v>
      </c>
      <c r="U42" s="47">
        <f>SUM(R42:T42)/3</f>
        <v>0.25929824561403514</v>
      </c>
      <c r="V42" s="47">
        <f>M42/$T$55</f>
        <v>0.6</v>
      </c>
      <c r="W42" s="47">
        <f>(U42+(1-V42))/2</f>
        <v>0.32964912280701758</v>
      </c>
      <c r="X42" s="46" t="str">
        <f t="shared" si="7"/>
        <v>Medio</v>
      </c>
      <c r="Y42" s="47">
        <v>1</v>
      </c>
      <c r="Z42" s="46" t="str">
        <f t="shared" si="8"/>
        <v>Alto</v>
      </c>
      <c r="AA42" s="47">
        <f t="shared" si="11"/>
        <v>17.920350877192984</v>
      </c>
      <c r="AB42" s="46" t="str">
        <f t="shared" si="0"/>
        <v>Medio</v>
      </c>
    </row>
    <row r="43" spans="1:28" hidden="1" x14ac:dyDescent="0.25">
      <c r="A43" s="31">
        <v>2024256710</v>
      </c>
      <c r="B43" s="31"/>
      <c r="C43" s="31"/>
      <c r="D43" s="31"/>
      <c r="E43" s="32"/>
      <c r="F43" s="32"/>
      <c r="G43" s="32"/>
      <c r="H43" s="32"/>
      <c r="I43" s="32"/>
      <c r="J43" s="32"/>
      <c r="K43" s="32"/>
      <c r="L43" s="32"/>
      <c r="M43" s="32"/>
      <c r="N43" s="33"/>
      <c r="O43" s="32"/>
      <c r="P43" s="33">
        <f t="shared" si="15"/>
        <v>0</v>
      </c>
      <c r="Q43" s="32" t="str">
        <f t="shared" si="3"/>
        <v>Alto</v>
      </c>
      <c r="R43" s="33">
        <f t="shared" si="4"/>
        <v>1</v>
      </c>
      <c r="S43" s="33"/>
      <c r="T43" s="33"/>
      <c r="U43" s="33"/>
      <c r="V43" s="33"/>
      <c r="W43" s="33"/>
      <c r="X43" s="32" t="str">
        <f t="shared" si="7"/>
        <v>Bajo</v>
      </c>
      <c r="Y43" s="33"/>
      <c r="Z43" s="32" t="str">
        <f t="shared" si="8"/>
        <v>Bajo</v>
      </c>
      <c r="AA43" s="23">
        <f t="shared" si="11"/>
        <v>0</v>
      </c>
      <c r="AB43" s="32" t="str">
        <f t="shared" si="0"/>
        <v>Alto</v>
      </c>
    </row>
    <row r="44" spans="1:28" hidden="1" x14ac:dyDescent="0.25">
      <c r="A44" s="31">
        <v>2024305867</v>
      </c>
      <c r="B44" s="31"/>
      <c r="C44" s="31"/>
      <c r="D44" s="31"/>
      <c r="E44" s="32"/>
      <c r="F44" s="32"/>
      <c r="G44" s="32"/>
      <c r="H44" s="32"/>
      <c r="I44" s="32"/>
      <c r="J44" s="32"/>
      <c r="K44" s="32"/>
      <c r="L44" s="32"/>
      <c r="M44" s="32"/>
      <c r="N44" s="33"/>
      <c r="O44" s="32"/>
      <c r="P44" s="33">
        <f t="shared" si="15"/>
        <v>0</v>
      </c>
      <c r="Q44" s="32" t="str">
        <f t="shared" si="3"/>
        <v>Alto</v>
      </c>
      <c r="R44" s="33">
        <f t="shared" si="4"/>
        <v>1</v>
      </c>
      <c r="S44" s="33"/>
      <c r="T44" s="33"/>
      <c r="U44" s="33"/>
      <c r="V44" s="33"/>
      <c r="W44" s="33"/>
      <c r="X44" s="32" t="str">
        <f t="shared" si="7"/>
        <v>Bajo</v>
      </c>
      <c r="Y44" s="33"/>
      <c r="Z44" s="32" t="str">
        <f t="shared" si="8"/>
        <v>Bajo</v>
      </c>
      <c r="AA44" s="23">
        <f t="shared" si="11"/>
        <v>0</v>
      </c>
      <c r="AB44" s="32" t="str">
        <f t="shared" si="0"/>
        <v>Alto</v>
      </c>
    </row>
    <row r="45" spans="1:28" s="7" customFormat="1" x14ac:dyDescent="0.25">
      <c r="A45" s="45">
        <v>2024800088</v>
      </c>
      <c r="B45" s="45"/>
      <c r="C45" s="45"/>
      <c r="D45" s="45"/>
      <c r="E45" s="46" t="s">
        <v>42</v>
      </c>
      <c r="F45" s="46" t="s">
        <v>93</v>
      </c>
      <c r="G45" s="46">
        <v>18</v>
      </c>
      <c r="H45" s="46">
        <v>0</v>
      </c>
      <c r="I45" s="46">
        <v>1</v>
      </c>
      <c r="J45" s="46">
        <v>0</v>
      </c>
      <c r="K45" s="46">
        <v>0</v>
      </c>
      <c r="L45" s="46">
        <v>0</v>
      </c>
      <c r="M45" s="46">
        <v>6</v>
      </c>
      <c r="N45" s="47">
        <f>G45/I45</f>
        <v>18</v>
      </c>
      <c r="O45" s="46">
        <v>0.3</v>
      </c>
      <c r="P45" s="47">
        <f t="shared" si="15"/>
        <v>24.3</v>
      </c>
      <c r="Q45" s="46" t="str">
        <f t="shared" si="3"/>
        <v>Medio</v>
      </c>
      <c r="R45" s="47">
        <f t="shared" si="4"/>
        <v>0.52631578947368429</v>
      </c>
      <c r="S45" s="47">
        <v>0.05</v>
      </c>
      <c r="T45" s="47">
        <v>0</v>
      </c>
      <c r="U45" s="47">
        <f>SUM(R45:T45)/3</f>
        <v>0.19210526315789478</v>
      </c>
      <c r="V45" s="47">
        <f>M45/$T$55</f>
        <v>0.6</v>
      </c>
      <c r="W45" s="47">
        <f>(U45+(1-V45))/2</f>
        <v>0.2960526315789474</v>
      </c>
      <c r="X45" s="46" t="str">
        <f t="shared" si="7"/>
        <v>Medio</v>
      </c>
      <c r="Y45" s="47">
        <v>1</v>
      </c>
      <c r="Z45" s="46" t="str">
        <f t="shared" si="8"/>
        <v>Alto</v>
      </c>
      <c r="AA45" s="47">
        <f t="shared" si="11"/>
        <v>23.003947368421052</v>
      </c>
      <c r="AB45" s="46" t="str">
        <f t="shared" si="0"/>
        <v>Medio</v>
      </c>
    </row>
    <row r="46" spans="1:28" s="7" customFormat="1" hidden="1" x14ac:dyDescent="0.25">
      <c r="A46" s="31">
        <v>2024800128</v>
      </c>
      <c r="B46" s="31"/>
      <c r="C46" s="31"/>
      <c r="D46" s="31"/>
      <c r="E46" s="32"/>
      <c r="F46" s="32"/>
      <c r="G46" s="32"/>
      <c r="H46" s="32"/>
      <c r="I46" s="32"/>
      <c r="J46" s="32"/>
      <c r="K46" s="32"/>
      <c r="L46" s="32"/>
      <c r="M46" s="32"/>
      <c r="N46" s="33"/>
      <c r="O46" s="32"/>
      <c r="P46" s="33">
        <f t="shared" si="15"/>
        <v>0</v>
      </c>
      <c r="Q46" s="32" t="str">
        <f t="shared" si="3"/>
        <v>Alto</v>
      </c>
      <c r="R46" s="33">
        <f t="shared" si="4"/>
        <v>1</v>
      </c>
      <c r="S46" s="33"/>
      <c r="T46" s="33"/>
      <c r="U46" s="33"/>
      <c r="V46" s="33"/>
      <c r="W46" s="33"/>
      <c r="X46" s="32" t="str">
        <f t="shared" si="7"/>
        <v>Bajo</v>
      </c>
      <c r="Y46" s="33"/>
      <c r="Z46" s="32" t="str">
        <f t="shared" si="8"/>
        <v>Bajo</v>
      </c>
      <c r="AA46" s="23">
        <f t="shared" si="11"/>
        <v>0</v>
      </c>
      <c r="AB46" s="32" t="str">
        <f t="shared" si="0"/>
        <v>Alto</v>
      </c>
    </row>
    <row r="47" spans="1:28" s="7" customFormat="1" hidden="1" x14ac:dyDescent="0.25">
      <c r="A47" s="31">
        <v>2024800621</v>
      </c>
      <c r="B47" s="31"/>
      <c r="C47" s="31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3"/>
      <c r="O47" s="32"/>
      <c r="P47" s="33">
        <f t="shared" si="15"/>
        <v>0</v>
      </c>
      <c r="Q47" s="32" t="str">
        <f t="shared" si="3"/>
        <v>Alto</v>
      </c>
      <c r="R47" s="33">
        <f t="shared" si="4"/>
        <v>1</v>
      </c>
      <c r="S47" s="33"/>
      <c r="T47" s="33"/>
      <c r="U47" s="33"/>
      <c r="V47" s="33"/>
      <c r="W47" s="33"/>
      <c r="X47" s="32" t="str">
        <f t="shared" si="7"/>
        <v>Bajo</v>
      </c>
      <c r="Y47" s="33"/>
      <c r="Z47" s="32" t="str">
        <f t="shared" si="8"/>
        <v>Bajo</v>
      </c>
      <c r="AA47" s="23">
        <f t="shared" si="11"/>
        <v>0</v>
      </c>
      <c r="AB47" s="32" t="str">
        <f t="shared" si="0"/>
        <v>Alto</v>
      </c>
    </row>
    <row r="48" spans="1:28" s="7" customFormat="1" x14ac:dyDescent="0.25">
      <c r="A48" s="44">
        <v>2024800990</v>
      </c>
      <c r="B48" s="20"/>
      <c r="C48" s="20"/>
      <c r="D48" s="20"/>
      <c r="E48" s="21" t="s">
        <v>42</v>
      </c>
      <c r="F48" s="21"/>
      <c r="G48" s="21">
        <v>11</v>
      </c>
      <c r="H48" s="21">
        <v>0</v>
      </c>
      <c r="I48" s="21">
        <v>1</v>
      </c>
      <c r="J48" s="21">
        <v>0</v>
      </c>
      <c r="K48" s="21">
        <v>0</v>
      </c>
      <c r="L48" s="21">
        <v>0</v>
      </c>
      <c r="M48" s="21">
        <v>5</v>
      </c>
      <c r="N48" s="23">
        <f>G48/I48</f>
        <v>11</v>
      </c>
      <c r="O48" s="21">
        <v>0.36</v>
      </c>
      <c r="P48" s="23">
        <f t="shared" si="15"/>
        <v>16.36</v>
      </c>
      <c r="Q48" s="21" t="str">
        <f t="shared" si="3"/>
        <v>Medio</v>
      </c>
      <c r="R48" s="23">
        <f t="shared" si="4"/>
        <v>0.71052631578947367</v>
      </c>
      <c r="S48" s="23">
        <v>0.1</v>
      </c>
      <c r="T48" s="23">
        <v>0</v>
      </c>
      <c r="U48" s="23">
        <f>SUM(R48:T48)/3</f>
        <v>0.27017543859649124</v>
      </c>
      <c r="V48" s="23">
        <f>M48/$T$55</f>
        <v>0.5</v>
      </c>
      <c r="W48" s="23">
        <f>(U48+(1-V48))/2</f>
        <v>0.38508771929824559</v>
      </c>
      <c r="X48" s="21" t="str">
        <f t="shared" si="7"/>
        <v>Medio</v>
      </c>
      <c r="Y48" s="23">
        <v>1</v>
      </c>
      <c r="Z48" s="21" t="str">
        <f t="shared" si="8"/>
        <v>Alto</v>
      </c>
      <c r="AA48" s="23">
        <f t="shared" si="11"/>
        <v>14.974912280701753</v>
      </c>
      <c r="AB48" s="21" t="str">
        <f t="shared" si="0"/>
        <v>Medio</v>
      </c>
    </row>
    <row r="50" spans="6:27" x14ac:dyDescent="0.25">
      <c r="M50" s="26" t="s">
        <v>13</v>
      </c>
      <c r="N50" s="26" t="s">
        <v>15</v>
      </c>
      <c r="O50" s="26" t="s">
        <v>17</v>
      </c>
      <c r="P50" s="26" t="s">
        <v>6</v>
      </c>
    </row>
    <row r="51" spans="6:27" x14ac:dyDescent="0.25">
      <c r="F51" s="26" t="s">
        <v>57</v>
      </c>
      <c r="G51" s="8">
        <f>QUARTILE((P4,P6:P8,P13:P17,P19:P25,P27:P29,P31,P33:P35,P37:P40,P42,P45,P48), 1)</f>
        <v>14.403571428571428</v>
      </c>
      <c r="L51" s="26" t="s">
        <v>90</v>
      </c>
      <c r="M51" s="8">
        <f t="shared" ref="M51:N51" si="17">MAX(M4,M6:M8,M13:M17,M19:M25,M27:M29,M31,M33:M35,M37:M40,M42,M45,M48)</f>
        <v>16</v>
      </c>
      <c r="N51" s="8">
        <f t="shared" si="17"/>
        <v>38</v>
      </c>
      <c r="O51" s="8">
        <f>MAX(O4,O6:O8,O13:O17,O19:O25,O27:O29,O31,O33:O35,O37:O40,O42,O45,O48)</f>
        <v>0.73680000000000001</v>
      </c>
      <c r="P51" s="8">
        <f>MAX(G4,G6:G8,G13:G17,G19:G25,G27:G29,G31,G33:G35,G37:G40,G42,G45,G48)</f>
        <v>51</v>
      </c>
      <c r="V51" s="27" t="s">
        <v>57</v>
      </c>
      <c r="W51" s="8">
        <f>QUARTILE((W7,W6,W19,W20,W8,W13,W14,W15,W17,W21,W34,W35,W38,W39,W42,W45,W4,W48,W22,W23,W24,W25,W27,W28,W29,W31,W37,W40,W16,W33), 1)</f>
        <v>0.19005648591174903</v>
      </c>
      <c r="X51" s="27" t="s">
        <v>57</v>
      </c>
      <c r="Y51" s="8">
        <f>QUARTILE((Y27,Y31,Y46,Y47,Y8,Y13,Y14,Y15,Y21,Y29,Y34,Y35,Y38,Y39,Y42,Y45,Y48,Y25,Y28,Y24,Y23,Y22,Y20,Y19,Y17,Y6,Y7,Y4,Y37,Y40), 1)</f>
        <v>0.88177499999999998</v>
      </c>
      <c r="Z51" s="27" t="s">
        <v>57</v>
      </c>
      <c r="AA51" s="8">
        <f>QUARTILE((AA4,AA6,AA7,AA13,AA8,AA14,AA15,AA16,AA17,AA19,AA20,AA21,AA22,AA23,AA24,AA27,AA25,AA28,AA29,AA31,AA34,AA33,AA35,AA36,AA38,AA37,AA39,AA40,AA42,AA45,AA48), 1)</f>
        <v>12.312677794486216</v>
      </c>
    </row>
    <row r="52" spans="6:27" x14ac:dyDescent="0.25">
      <c r="F52" s="26" t="s">
        <v>59</v>
      </c>
      <c r="G52" s="8">
        <f>QUARTILE((P4,P6:P8,P13:P17,P19:P25,P27:P29,P31,P33:P35,P37:P40,P42,P45,P48), 2)</f>
        <v>20.84385</v>
      </c>
      <c r="L52" s="26" t="s">
        <v>91</v>
      </c>
      <c r="M52" s="8">
        <f>MIN(M4,M6:M8,M13:M17,M19:M25,M27:M29,M31,M33:M35,M37:M40,M42,M45,M48)</f>
        <v>0</v>
      </c>
      <c r="N52" s="8">
        <f>MIN(N4,N6:N8,N13:N17,N19:N25,N27:N29,N31,N33:N35,N37:N40,N42,N45,N48)</f>
        <v>0</v>
      </c>
      <c r="O52" s="8">
        <f>MIN(O4,O6:O8,O13:O17,O19:O25,O27:O29,O31,O33:O35,O37:O40,O42,O45,O48)</f>
        <v>0</v>
      </c>
      <c r="P52" s="8">
        <f>MIN(G4,G6:G8,G13:G17,G19:G25,G27:G29,G31,G33:G35,G37:G40,G42,G45,G48)</f>
        <v>4</v>
      </c>
      <c r="V52" s="27" t="s">
        <v>59</v>
      </c>
      <c r="W52" s="8">
        <f>QUARTILE((W7,W6,W19,W20,W8,W13,W14,W15,W17,W21,W34,W35,W38,W39,W42,W45,W4,W48,W22,W23,W24,W25,W27,W28,W29,W31,W37,W40,W33,W16), 2)</f>
        <v>0.32622129648445441</v>
      </c>
      <c r="X52" s="27" t="s">
        <v>59</v>
      </c>
      <c r="Y52" s="8">
        <f>QUARTILE((Y27,Y31,Y46,Y47,Y8,Y13,Y14,Y15,Y21,Y29,Y34,Y35,Y38,Y39,Y42,Y45,Y48,Y25,Y28,Y24,Y23,Y22,Y20,Y19,Y17,Y6,Y7,Y4,Y37,Y40), 2)</f>
        <v>1</v>
      </c>
      <c r="Z52" s="27" t="s">
        <v>59</v>
      </c>
      <c r="AA52" s="8">
        <f>QUARTILE((AA4,AA6,AA7,AA13,AA8,AA14,AA15,AA16,AA17,AA19,AA20,AA21,AA22,AA23,AA24,AA27,AA25,AA28,AA29,AA31,AA34,AA33,AA35,AA36,AA38,AA37,AA39,AA40,AA42,AA45,AA48), 2)</f>
        <v>18.965175438596489</v>
      </c>
    </row>
    <row r="53" spans="6:27" x14ac:dyDescent="0.25">
      <c r="F53" s="26" t="s">
        <v>61</v>
      </c>
      <c r="G53" s="8">
        <f>QUARTILE((P4,P6:P8,P13:P17,P19:P25,P27:P29,P31,P33:P35,P37:P40,P42,P45,P48), 3)</f>
        <v>29.738661363636364</v>
      </c>
      <c r="L53" s="26" t="s">
        <v>92</v>
      </c>
      <c r="M53">
        <f>AVERAGE(M4,M6:M8,M13:M17,M19:M25,M27:M29,M31,M33:M35,M37:M40,M42,M45,M48)</f>
        <v>5.6973333333333329</v>
      </c>
      <c r="N53">
        <f t="shared" ref="N53:O53" si="18">AVERAGE(N4,N6:N8,N13:N17,N19:N25,N27:N29,N31,N33:N35,N37:N40,N42,N45,N48)</f>
        <v>16.019444444444442</v>
      </c>
      <c r="O53">
        <f t="shared" si="18"/>
        <v>0.32896000000000003</v>
      </c>
      <c r="P53">
        <f>AVERAGE(G4,G6:G8,G13:G17,G19:G25,G27:G29,G31,G33:G35,G37:G40,G42,G45,G48)</f>
        <v>21.233333333333334</v>
      </c>
      <c r="V53" s="27" t="s">
        <v>61</v>
      </c>
      <c r="W53" s="8">
        <f>QUARTILE((W7,W6,W19,W20,W8,W13,W14,W15,W17,W21,W34,W35,W38,W39,W42,W45,W4,W48,W22,W23,W24,W25,W27,W28,W29,W31,W37,W40,W33,W16), 3)</f>
        <v>0.4360911403508772</v>
      </c>
      <c r="X53" s="27" t="s">
        <v>61</v>
      </c>
      <c r="Y53" s="8">
        <f>QUARTILE((Y27,Y31,Y46,Y47,Y8,Y13,Y14,Y15,Y21,Y29,Y34,Y35,Y38,Y39,Y42,Y45,Y48,Y25,Y28,Y24,Y23,Y22,Y20,Y19,Y17,Y6,Y7,Y4,Y37,Y40), 3)</f>
        <v>1</v>
      </c>
      <c r="Z53" s="27" t="s">
        <v>61</v>
      </c>
      <c r="AA53" s="8">
        <f>QUARTILE((AA4,AA6,AA7,AA13,AA8,AA14,AA15,AA16,AA17,AA19,AA20,AA21,AA22,AA23,AA24,AA27,AA25,AA28,AA29,AA31,AA34,AA33,AA35,AA36,AA38,AA37,AA39,AA40,AA42,AA45,AA48), 3)</f>
        <v>28.088292784171731</v>
      </c>
    </row>
    <row r="54" spans="6:27" x14ac:dyDescent="0.25">
      <c r="F54" s="26" t="s">
        <v>63</v>
      </c>
      <c r="G54" s="8">
        <f>AVERAGE(P4,P6:P8,P13:P17,P19:P25,P27:P29,P31,P33:P35,P37:P40,P42,P45,P48)</f>
        <v>22.022466103730245</v>
      </c>
      <c r="L54" s="26" t="s">
        <v>64</v>
      </c>
      <c r="M54">
        <f>STDEV(M4,M6:M8,M13:M17,M19:M25,M27:M29,M31,M33:M35,M37:M40,M42,M45,M48)</f>
        <v>3.2345291543862635</v>
      </c>
      <c r="N54">
        <f t="shared" ref="N54:O54" si="19">STDEV(N4,N6:N8,N13:N17,N19:N25,N27:N29,N31,N33:N35,N37:N40,N42,N45,N48)</f>
        <v>8.6836064370463131</v>
      </c>
      <c r="O54">
        <f t="shared" si="19"/>
        <v>0.13047323837107155</v>
      </c>
      <c r="P54">
        <f>STDEV(G4,G6:G8,G13:G17,G19:G25,G27:G29,G31,G33:G35,G37:G40,G42,G45,G48)</f>
        <v>10.591744779367769</v>
      </c>
      <c r="V54" s="27" t="s">
        <v>63</v>
      </c>
      <c r="W54" s="8">
        <f>AVERAGE(W7,W6,W19,W20,W8,W13,W14,W15,W17,W21,W34,W35,W38,W39,W42,W45,W4,W48,W22,W23,W24,W25,W27,W28,W29,W31,W37,W40,W33,W16)</f>
        <v>0.32735501258126287</v>
      </c>
      <c r="X54" s="27" t="s">
        <v>63</v>
      </c>
      <c r="Y54" s="8">
        <f>AVERAGE(Y27,Y31,Y46,Y47,Y8,Y13,Y14,Y15,Y21,Y29,Y34,Y35,Y38,Y39,Y42,Y45,Y48,Y25,Y28,Y24,Y23,Y22,Y20,Y19,Y17,Y6,Y7,Y4,Y37,Y40)</f>
        <v>0.9339142857142857</v>
      </c>
      <c r="Z54" s="27" t="s">
        <v>63</v>
      </c>
      <c r="AA54" s="8">
        <f>AVERAGE(AA4,AA6,AA7,AA13,AA8,AA14,AA15,AA16,AA17,AA19,AA20,AA21,AA22,AA23,AA24,AA27,AA25,AA28,AA29,AA31,AA34,AA33,AA35,AA36,AA38,AA37,AA39,AA40,AA42,AA45,AA48)</f>
        <v>20.151733314015143</v>
      </c>
    </row>
    <row r="55" spans="6:27" x14ac:dyDescent="0.25">
      <c r="F55" s="26" t="s">
        <v>65</v>
      </c>
      <c r="G55" s="8">
        <f>STDEV(P4,P6:P8,P13:P17,P19:P25,P27:P29,P31,P33:P35,P37:P40,P42,P45,P48)</f>
        <v>10.826611033419523</v>
      </c>
      <c r="T55" s="8">
        <v>10</v>
      </c>
      <c r="V55" s="27" t="s">
        <v>65</v>
      </c>
      <c r="W55" s="8">
        <f>STDEV(W7,W6,W19,W20,W8,W13,W14,W15,W17,W21,W34,W35,W38,W39,W42,W45,W4,W48,W22,W23,W24,W25,W27,W28,W29,W31,W37,W40,W33,W16)</f>
        <v>0.18102752422539387</v>
      </c>
      <c r="X55" s="27" t="s">
        <v>65</v>
      </c>
      <c r="Y55" s="8">
        <f>STDEV(Y27,Y31,Y46,Y47,Y8,Y13,Y14,Y15,Y21,Y29,Y34,Y35,Y38,Y39,Y42,Y45,Y48,Y25,Y28,Y24,Y23,Y22,Y20,Y19,Y17,Y6,Y7,Y4,Y37,Y40)</f>
        <v>0.11558084781205018</v>
      </c>
      <c r="Z55" s="27" t="s">
        <v>65</v>
      </c>
      <c r="AA55" s="8">
        <f>STDEV(AA4,AA6,AA7,AA13,AA8,AA14,AA15,AA16,AA17,AA19,AA20,AA21,AA22,AA23,AA24,AA27,AA25,AA28,AA29,AA31,AA34,AA33,AA35,AA36,AA38,AA37,AA39,AA40,AA42,AA45,AA48)</f>
        <v>11.421560405744195</v>
      </c>
    </row>
    <row r="56" spans="6:27" x14ac:dyDescent="0.25">
      <c r="F56" s="26" t="s">
        <v>66</v>
      </c>
      <c r="G56" s="8">
        <f>G55/G54</f>
        <v>0.49161665103372199</v>
      </c>
      <c r="L56" s="60"/>
      <c r="M56" s="61" t="s">
        <v>67</v>
      </c>
      <c r="N56" s="61" t="s">
        <v>68</v>
      </c>
      <c r="O56" s="61" t="s">
        <v>69</v>
      </c>
      <c r="P56" s="63"/>
      <c r="Q56" s="62">
        <f>IF(EXACT(Q4,"Alto"),3,IF(EXACT(Q4,"Medio"),2,IF(EXACT(Q4,"Bajo"),1,"Vacio")))</f>
        <v>3</v>
      </c>
      <c r="R56" s="62">
        <v>12.125</v>
      </c>
      <c r="S56" s="64" t="str">
        <f t="shared" ref="S56:S86" si="20">IF(Q56= 3,"Alto",IF(Q56=2,"Medio","Bajo"))</f>
        <v>Alto</v>
      </c>
      <c r="V56" s="27" t="s">
        <v>66</v>
      </c>
      <c r="W56" s="8">
        <f>W55/W54</f>
        <v>0.55300061788562183</v>
      </c>
      <c r="X56" s="27" t="s">
        <v>66</v>
      </c>
      <c r="Y56" s="8">
        <f>Y55/Y54</f>
        <v>0.12375958862611303</v>
      </c>
      <c r="Z56" s="27" t="s">
        <v>66</v>
      </c>
      <c r="AA56" s="8">
        <f>AA55/AA54</f>
        <v>0.56677806458468361</v>
      </c>
    </row>
    <row r="57" spans="6:27" x14ac:dyDescent="0.25">
      <c r="L57" s="65" t="s">
        <v>71</v>
      </c>
      <c r="M57" s="8">
        <f>COUNTIF($Q$4, M56) + COUNTIF($Q$6:$Q$8,M56) + COUNTIF($Q$13:$Q$17,M56) + COUNTIF($Q$19:$Q$25,M56) + COUNTIF($Q$27:$Q$29,M56) + COUNTIF($Q$31,M56) + COUNTIF($Q$33:$Q$40,M56) + COUNTIF($Q$42,M56) + COUNTIF($Q$45,M56) + COUNTIF($Q$48,M56)</f>
        <v>9</v>
      </c>
      <c r="N57" s="8">
        <f>COUNTIF($Q$4, N56) + COUNTIF($Q$6:$Q$8,N56) + COUNTIF($Q$13:$Q$17,N56) + COUNTIF($Q$19:$Q$25,N56) + COUNTIF($Q$27:$Q$29,N56) + COUNTIF($Q$31,N56) + COUNTIF($Q$33:$Q$40,N56) + COUNTIF($Q$42,N56) + COUNTIF($Q$45,N56) + COUNTIF($Q$48,N56)</f>
        <v>14</v>
      </c>
      <c r="O57" s="8">
        <f>COUNTIF($Q$4, O56) + COUNTIF($Q$6:$Q$8,O56) + COUNTIF($Q$13:$Q$17,O56) + COUNTIF($Q$19:$Q$25,O56) + COUNTIF($Q$27:$Q$29,O56) + COUNTIF($Q$31,O56) + COUNTIF($Q$33:$Q$40,O56) + COUNTIF($Q$42,O56) + COUNTIF($Q$45,O56) + COUNTIF($Q$48,O56)</f>
        <v>8</v>
      </c>
      <c r="Q57">
        <f>IF(EXACT(Q6,"Alto"),3,IF(EXACT(Q6,"Medio"),2,IF(EXACT(Q6,"Bajo"),1,"Vacio")))</f>
        <v>2</v>
      </c>
      <c r="R57">
        <v>15.33</v>
      </c>
      <c r="S57" s="66" t="str">
        <f t="shared" si="20"/>
        <v>Medio</v>
      </c>
    </row>
    <row r="58" spans="6:27" x14ac:dyDescent="0.25">
      <c r="L58" s="65" t="s">
        <v>73</v>
      </c>
      <c r="M58" s="8">
        <f>CORREL(R56:R86, Q56:Q86)</f>
        <v>-0.89585987512825738</v>
      </c>
      <c r="O58" s="8"/>
      <c r="Q58">
        <f>IF(EXACT(Q7,"Alto"),3,IF(EXACT(Q7,"Medio"),2,IF(EXACT(Q7,"Bajo"),1,"Vacio")))</f>
        <v>3</v>
      </c>
      <c r="R58">
        <v>14.094761904761905</v>
      </c>
      <c r="S58" s="66" t="str">
        <f t="shared" si="20"/>
        <v>Alto</v>
      </c>
    </row>
    <row r="59" spans="6:27" x14ac:dyDescent="0.25">
      <c r="L59" s="65" t="s">
        <v>81</v>
      </c>
      <c r="M59" s="8" cm="1">
        <f t="array" ref="M59">SUMPRODUCT(($S$56:$S$86=M56)*($R$56:$R$86)) / M57</f>
        <v>8.7702201058201066</v>
      </c>
      <c r="N59" s="8" cm="1">
        <f t="array" ref="N59">SUMPRODUCT(($S$56:$S$86=N56)*($R$56:$R$86)) / N57</f>
        <v>21.042698566950293</v>
      </c>
      <c r="O59" s="8" cm="1">
        <f t="array" ref="O59">SUMPRODUCT(($S$56:$S$86=O56)*($R$56:$R$86)) / O57</f>
        <v>35.893027777777775</v>
      </c>
      <c r="Q59">
        <f>IF(EXACT(Q8,"Alto"),3,IF(EXACT(Q8,"Medio"),2,IF(EXACT(Q8,"Bajo"),1,"Vacio")))</f>
        <v>2</v>
      </c>
      <c r="R59">
        <v>18.555599999999998</v>
      </c>
      <c r="S59" s="66" t="str">
        <f t="shared" si="20"/>
        <v>Medio</v>
      </c>
    </row>
    <row r="60" spans="6:27" x14ac:dyDescent="0.25">
      <c r="L60" s="75"/>
      <c r="Q60">
        <f>IF(EXACT(Q13,"Alto"),3,IF(EXACT(Q13,"Medio"),2,IF(EXACT(Q13,"Bajo"),1,"Vacio")))</f>
        <v>3</v>
      </c>
      <c r="R60">
        <v>12.257185714285715</v>
      </c>
      <c r="S60" s="66" t="str">
        <f t="shared" si="20"/>
        <v>Alto</v>
      </c>
    </row>
    <row r="61" spans="6:27" x14ac:dyDescent="0.25">
      <c r="L61" s="75"/>
      <c r="Q61">
        <f>IF(EXACT(Q14,"Alto"),3,IF(EXACT(Q14,"Medio"),2,IF(EXACT(Q14,"Bajo"),1,"Vacio")))</f>
        <v>2</v>
      </c>
      <c r="R61">
        <v>28.272745454545454</v>
      </c>
      <c r="S61" s="66" t="str">
        <f t="shared" si="20"/>
        <v>Medio</v>
      </c>
    </row>
    <row r="62" spans="6:27" x14ac:dyDescent="0.25">
      <c r="L62" s="75"/>
      <c r="Q62">
        <f>IF(EXACT(Q15,"Alto"),3,IF(EXACT(Q15,"Medio"),2,IF(EXACT(Q15,"Bajo"),1,"Vacio")))</f>
        <v>2</v>
      </c>
      <c r="R62">
        <v>26.736799999999999</v>
      </c>
      <c r="S62" s="66" t="str">
        <f t="shared" si="20"/>
        <v>Medio</v>
      </c>
    </row>
    <row r="63" spans="6:27" x14ac:dyDescent="0.25">
      <c r="L63" s="75"/>
      <c r="Q63">
        <f>IF(EXACT(Q16,"Alto"),3,IF(EXACT(Q16,"Medio"),2,IF(EXACT(Q16,"Bajo"),1,"Vacio")))</f>
        <v>1</v>
      </c>
      <c r="R63">
        <v>30.33</v>
      </c>
      <c r="S63" s="66" t="str">
        <f t="shared" si="20"/>
        <v>Bajo</v>
      </c>
    </row>
    <row r="64" spans="6:27" x14ac:dyDescent="0.25">
      <c r="L64" s="75"/>
      <c r="Q64">
        <f>IF(EXACT(Q17,"Alto"),3,IF(EXACT(Q17,"Medio"),2,IF(EXACT(Q17,"Bajo"),1,"Vacio")))</f>
        <v>3</v>
      </c>
      <c r="R64">
        <v>5</v>
      </c>
      <c r="S64" s="66" t="str">
        <f t="shared" si="20"/>
        <v>Alto</v>
      </c>
    </row>
    <row r="65" spans="12:19" x14ac:dyDescent="0.25">
      <c r="L65" s="75"/>
      <c r="Q65">
        <f t="shared" ref="Q65:Q71" si="21">IF(EXACT(Q19,"Alto"),3,IF(EXACT(Q19,"Medio"),2,IF(EXACT(Q19,"Bajo"),1,"Vacio")))</f>
        <v>1</v>
      </c>
      <c r="R65">
        <v>44.222222222222221</v>
      </c>
      <c r="S65" s="66" t="str">
        <f t="shared" si="20"/>
        <v>Bajo</v>
      </c>
    </row>
    <row r="66" spans="12:19" x14ac:dyDescent="0.25">
      <c r="L66" s="75"/>
      <c r="Q66">
        <f t="shared" si="21"/>
        <v>3</v>
      </c>
      <c r="R66">
        <v>13.375</v>
      </c>
      <c r="S66" s="66" t="str">
        <f t="shared" si="20"/>
        <v>Alto</v>
      </c>
    </row>
    <row r="67" spans="12:19" x14ac:dyDescent="0.25">
      <c r="L67" s="75"/>
      <c r="Q67">
        <f t="shared" si="21"/>
        <v>2</v>
      </c>
      <c r="R67">
        <v>17.31033448275862</v>
      </c>
      <c r="S67" s="66" t="str">
        <f t="shared" si="20"/>
        <v>Medio</v>
      </c>
    </row>
    <row r="68" spans="12:19" x14ac:dyDescent="0.25">
      <c r="L68" s="75"/>
      <c r="Q68">
        <f t="shared" si="21"/>
        <v>2</v>
      </c>
      <c r="R68">
        <v>21.307700000000001</v>
      </c>
      <c r="S68" s="66" t="str">
        <f t="shared" si="20"/>
        <v>Medio</v>
      </c>
    </row>
    <row r="69" spans="12:19" x14ac:dyDescent="0.25">
      <c r="L69" s="75"/>
      <c r="Q69">
        <f t="shared" si="21"/>
        <v>1</v>
      </c>
      <c r="R69">
        <v>30.2273</v>
      </c>
      <c r="S69" s="66" t="str">
        <f t="shared" si="20"/>
        <v>Bajo</v>
      </c>
    </row>
    <row r="70" spans="12:19" x14ac:dyDescent="0.25">
      <c r="L70" s="75"/>
      <c r="Q70">
        <f t="shared" si="21"/>
        <v>2</v>
      </c>
      <c r="R70">
        <v>18.357099999999999</v>
      </c>
      <c r="S70" s="66" t="str">
        <f t="shared" si="20"/>
        <v>Medio</v>
      </c>
    </row>
    <row r="71" spans="12:19" x14ac:dyDescent="0.25">
      <c r="L71" s="75"/>
      <c r="Q71">
        <f t="shared" si="21"/>
        <v>2</v>
      </c>
      <c r="R71">
        <v>22.6875</v>
      </c>
      <c r="S71" s="66" t="str">
        <f t="shared" si="20"/>
        <v>Medio</v>
      </c>
    </row>
    <row r="72" spans="12:19" x14ac:dyDescent="0.25">
      <c r="L72" s="75"/>
      <c r="Q72">
        <f>IF(EXACT(Q27,"Alto"),3,IF(EXACT(Q27,"Medio"),2,IF(EXACT(Q27,"Bajo"),1,"Vacio")))</f>
        <v>1</v>
      </c>
      <c r="R72">
        <v>33.200000000000003</v>
      </c>
      <c r="S72" s="66" t="str">
        <f t="shared" si="20"/>
        <v>Bajo</v>
      </c>
    </row>
    <row r="73" spans="12:19" x14ac:dyDescent="0.25">
      <c r="L73" s="75"/>
      <c r="Q73">
        <f>IF(EXACT(Q28,"Alto"),3,IF(EXACT(Q28,"Medio"),2,IF(EXACT(Q28,"Bajo"),1,"Vacio")))</f>
        <v>3</v>
      </c>
      <c r="R73">
        <v>12.2667</v>
      </c>
      <c r="S73" s="66" t="str">
        <f t="shared" si="20"/>
        <v>Alto</v>
      </c>
    </row>
    <row r="74" spans="12:19" x14ac:dyDescent="0.25">
      <c r="L74" s="75"/>
      <c r="Q74">
        <f>IF(EXACT(Q29,"Alto"),3,IF(EXACT(Q29,"Medio"),2,IF(EXACT(Q29,"Bajo"),1,"Vacio")))</f>
        <v>1</v>
      </c>
      <c r="R74">
        <v>33.274500000000003</v>
      </c>
      <c r="S74" s="66" t="str">
        <f t="shared" si="20"/>
        <v>Bajo</v>
      </c>
    </row>
    <row r="75" spans="12:19" x14ac:dyDescent="0.25">
      <c r="L75" s="75"/>
      <c r="Q75">
        <f>IF(EXACT(Q31,"Alto"),3,IF(EXACT(Q31,"Medio"),2,IF(EXACT(Q31,"Bajo"),1,"Vacio")))</f>
        <v>1</v>
      </c>
      <c r="R75">
        <v>35.185200000000002</v>
      </c>
      <c r="S75" s="66" t="str">
        <f t="shared" si="20"/>
        <v>Bajo</v>
      </c>
    </row>
    <row r="76" spans="12:19" x14ac:dyDescent="0.25">
      <c r="L76" s="75"/>
      <c r="Q76">
        <f t="shared" ref="Q76:Q83" si="22">IF(EXACT(Q33,"Alto"),3,IF(EXACT(Q33,"Medio"),2,IF(EXACT(Q33,"Bajo"),1,"Vacio")))</f>
        <v>3</v>
      </c>
      <c r="R76">
        <v>0.44</v>
      </c>
      <c r="S76" s="66" t="str">
        <f t="shared" si="20"/>
        <v>Alto</v>
      </c>
    </row>
    <row r="77" spans="12:19" x14ac:dyDescent="0.25">
      <c r="L77" s="75"/>
      <c r="Q77">
        <f t="shared" si="22"/>
        <v>2</v>
      </c>
      <c r="R77">
        <v>22.35</v>
      </c>
      <c r="S77" s="66" t="str">
        <f t="shared" si="20"/>
        <v>Medio</v>
      </c>
    </row>
    <row r="78" spans="12:19" x14ac:dyDescent="0.25">
      <c r="L78" s="75"/>
      <c r="Q78">
        <f t="shared" si="22"/>
        <v>1</v>
      </c>
      <c r="R78">
        <v>32.375</v>
      </c>
      <c r="S78" s="66" t="str">
        <f t="shared" si="20"/>
        <v>Bajo</v>
      </c>
    </row>
    <row r="79" spans="12:19" x14ac:dyDescent="0.25">
      <c r="L79" s="75"/>
      <c r="Q79">
        <f t="shared" si="22"/>
        <v>3</v>
      </c>
      <c r="R79">
        <v>0</v>
      </c>
      <c r="S79" s="66" t="str">
        <f t="shared" si="20"/>
        <v>Alto</v>
      </c>
    </row>
    <row r="80" spans="12:19" x14ac:dyDescent="0.25">
      <c r="L80" s="75"/>
      <c r="Q80">
        <f t="shared" si="22"/>
        <v>3</v>
      </c>
      <c r="R80">
        <v>9.3733333333333331</v>
      </c>
      <c r="S80" s="66" t="str">
        <f t="shared" si="20"/>
        <v>Alto</v>
      </c>
    </row>
    <row r="81" spans="12:19" x14ac:dyDescent="0.25">
      <c r="L81" s="75"/>
      <c r="Q81">
        <f t="shared" si="22"/>
        <v>2</v>
      </c>
      <c r="R81">
        <v>23.4</v>
      </c>
      <c r="S81" s="66" t="str">
        <f t="shared" si="20"/>
        <v>Medio</v>
      </c>
    </row>
    <row r="82" spans="12:19" x14ac:dyDescent="0.25">
      <c r="L82" s="75"/>
      <c r="Q82">
        <f t="shared" si="22"/>
        <v>2</v>
      </c>
      <c r="R82">
        <v>20.38</v>
      </c>
      <c r="S82" s="66" t="str">
        <f t="shared" si="20"/>
        <v>Medio</v>
      </c>
    </row>
    <row r="83" spans="12:19" x14ac:dyDescent="0.25">
      <c r="L83" s="75"/>
      <c r="Q83">
        <f t="shared" si="22"/>
        <v>1</v>
      </c>
      <c r="R83">
        <v>48.33</v>
      </c>
      <c r="S83" s="66" t="str">
        <f t="shared" si="20"/>
        <v>Bajo</v>
      </c>
    </row>
    <row r="84" spans="12:19" x14ac:dyDescent="0.25">
      <c r="L84" s="75"/>
      <c r="Q84">
        <f>IF(EXACT(Q42,"Alto"),3,IF(EXACT(Q42,"Medio"),2,IF(EXACT(Q42,"Bajo"),1,"Vacio")))</f>
        <v>2</v>
      </c>
      <c r="R84">
        <v>19.25</v>
      </c>
      <c r="S84" s="66" t="str">
        <f t="shared" si="20"/>
        <v>Medio</v>
      </c>
    </row>
    <row r="85" spans="12:19" x14ac:dyDescent="0.25">
      <c r="L85" s="75"/>
      <c r="Q85">
        <f>IF(EXACT(Q45,"Alto"),3,IF(EXACT(Q45,"Medio"),2,IF(EXACT(Q45,"Bajo"),1,"Vacio")))</f>
        <v>2</v>
      </c>
      <c r="R85">
        <v>24.3</v>
      </c>
      <c r="S85" s="66" t="str">
        <f t="shared" si="20"/>
        <v>Medio</v>
      </c>
    </row>
    <row r="86" spans="12:19" x14ac:dyDescent="0.25">
      <c r="L86" s="76"/>
      <c r="M86" s="70"/>
      <c r="N86" s="69"/>
      <c r="O86" s="70"/>
      <c r="P86" s="69"/>
      <c r="Q86" s="70">
        <f>IF(EXACT(Q48,"Alto"),3,IF(EXACT(Q48,"Medio"),2,IF(EXACT(Q48,"Bajo"),1,"Vacio")))</f>
        <v>2</v>
      </c>
      <c r="R86" s="70">
        <v>16.36</v>
      </c>
      <c r="S86" s="71" t="str">
        <f t="shared" si="20"/>
        <v>Medio</v>
      </c>
    </row>
  </sheetData>
  <mergeCells count="4">
    <mergeCell ref="J1:Q1"/>
    <mergeCell ref="R1:X1"/>
    <mergeCell ref="Y1:Z1"/>
    <mergeCell ref="AA1:AB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9215-C86D-492C-9EDE-681145FFCE90}">
  <dimension ref="A1:Z4"/>
  <sheetViews>
    <sheetView topLeftCell="J1" workbookViewId="0">
      <selection activeCell="J2" sqref="J2"/>
    </sheetView>
  </sheetViews>
  <sheetFormatPr baseColWidth="10" defaultColWidth="8.85546875" defaultRowHeight="15" x14ac:dyDescent="0.25"/>
  <cols>
    <col min="1" max="1" width="21.140625" customWidth="1"/>
    <col min="3" max="3" width="17.42578125" customWidth="1"/>
    <col min="4" max="4" width="13.7109375" customWidth="1"/>
    <col min="14" max="14" width="14" customWidth="1"/>
    <col min="20" max="20" width="30.42578125" customWidth="1"/>
    <col min="23" max="23" width="29.140625" customWidth="1"/>
    <col min="24" max="24" width="36.42578125" customWidth="1"/>
  </cols>
  <sheetData>
    <row r="1" spans="1:26" ht="15.75" x14ac:dyDescent="0.25">
      <c r="A1" s="15" t="s">
        <v>3</v>
      </c>
      <c r="B1" s="15" t="s">
        <v>4</v>
      </c>
      <c r="C1" s="15" t="s">
        <v>5</v>
      </c>
      <c r="D1" s="15" t="s">
        <v>6</v>
      </c>
      <c r="E1" s="15" t="s">
        <v>7</v>
      </c>
      <c r="F1" s="15" t="s">
        <v>8</v>
      </c>
      <c r="G1" s="18" t="s">
        <v>9</v>
      </c>
      <c r="H1" s="15" t="s">
        <v>10</v>
      </c>
      <c r="I1" s="18" t="s">
        <v>11</v>
      </c>
      <c r="J1" s="18" t="s">
        <v>13</v>
      </c>
      <c r="K1" s="18" t="s">
        <v>15</v>
      </c>
      <c r="L1" s="18" t="s">
        <v>17</v>
      </c>
      <c r="M1" s="18" t="s">
        <v>28</v>
      </c>
      <c r="N1" s="15" t="s">
        <v>29</v>
      </c>
      <c r="O1" s="18" t="s">
        <v>82</v>
      </c>
      <c r="P1" s="18" t="s">
        <v>31</v>
      </c>
      <c r="Q1" s="18" t="s">
        <v>32</v>
      </c>
      <c r="R1" s="18" t="s">
        <v>33</v>
      </c>
      <c r="S1" s="18" t="s">
        <v>34</v>
      </c>
      <c r="T1" s="18" t="s">
        <v>35</v>
      </c>
      <c r="U1" s="15" t="s">
        <v>36</v>
      </c>
      <c r="V1" s="18" t="s">
        <v>37</v>
      </c>
      <c r="W1" s="15" t="s">
        <v>38</v>
      </c>
      <c r="X1" s="15" t="s">
        <v>39</v>
      </c>
      <c r="Y1" s="15" t="s">
        <v>40</v>
      </c>
    </row>
    <row r="2" spans="1:26" ht="30" x14ac:dyDescent="0.25">
      <c r="A2" s="16">
        <v>2024132538</v>
      </c>
      <c r="B2" s="16" t="s">
        <v>44</v>
      </c>
      <c r="C2" s="49" t="s">
        <v>45</v>
      </c>
      <c r="D2" s="16">
        <v>4</v>
      </c>
      <c r="E2" s="16">
        <v>0</v>
      </c>
      <c r="F2" s="16">
        <v>1</v>
      </c>
      <c r="G2" s="17">
        <v>0</v>
      </c>
      <c r="H2" s="17">
        <v>0</v>
      </c>
      <c r="I2" s="17" t="e">
        <f>Tabla13[[#This Row],[ERL]]+Tabla13[[#This Row],[IRL]]</f>
        <v>#VALUE!</v>
      </c>
      <c r="J2" s="17">
        <v>2</v>
      </c>
      <c r="K2" s="17" t="e">
        <f>Tabla13[[#This Row],[LoCode]]/Tabla13[[#This Row],[NoFunctions]]</f>
        <v>#VALUE!</v>
      </c>
      <c r="L2" s="17">
        <v>0</v>
      </c>
      <c r="M2" s="17" t="e" cm="1">
        <f t="array" ref="M2">SUM(Tabla13[[#This Row],[CC]:[IDC]] - Tabla13[[#This Row],[IRC]])</f>
        <v>#VALUE!</v>
      </c>
      <c r="N2" s="16" t="s">
        <v>130</v>
      </c>
      <c r="O2" s="17" t="e">
        <f>1-((Tabla13[[#This Row],[TPFM]]-'Zoologico 1'!$K$52) / ('Zoologico 1'!$K$51-'Zoologico 1'!$K$52))</f>
        <v>#VALUE!</v>
      </c>
      <c r="P2" s="17">
        <v>0.04</v>
      </c>
      <c r="Q2" s="17">
        <v>0</v>
      </c>
      <c r="R2" s="17" t="e">
        <f>SUM(Tabla13[[#This Row],[ITPFM]:[Comentarios2]])/3</f>
        <v>#VALUE!</v>
      </c>
      <c r="S2" s="17" t="e">
        <f>Tabla13[[#This Row],[CC]]/'Zoologico 1'!$S$49</f>
        <v>#VALUE!</v>
      </c>
      <c r="T2" s="17" t="e">
        <f>(Tabla13[[#This Row],[ICLC]]+(1-Tabla13[[#This Row],[ICC]]))/2</f>
        <v>#VALUE!</v>
      </c>
      <c r="U2" s="16"/>
      <c r="V2" s="17">
        <v>1</v>
      </c>
      <c r="W2" s="16"/>
      <c r="X2" s="17" t="e">
        <f>Tabla13[[#This Row],[Valor general]]-Tabla13[[#This Row],[Valor general2]]-Tabla13[[#This Row],[INN]]</f>
        <v>#VALUE!</v>
      </c>
      <c r="Y2" s="16"/>
      <c r="Z2" t="s">
        <v>131</v>
      </c>
    </row>
    <row r="3" spans="1:26" ht="45" x14ac:dyDescent="0.25">
      <c r="A3" s="16">
        <v>2024132538</v>
      </c>
      <c r="B3" s="16" t="s">
        <v>42</v>
      </c>
      <c r="C3" s="49" t="s">
        <v>87</v>
      </c>
      <c r="D3" s="17">
        <v>30</v>
      </c>
      <c r="E3" s="17">
        <v>1</v>
      </c>
      <c r="F3" s="17">
        <v>2</v>
      </c>
      <c r="G3" s="17">
        <v>0</v>
      </c>
      <c r="H3" s="17">
        <f>2/D3</f>
        <v>6.6666666666666666E-2</v>
      </c>
      <c r="I3" s="17">
        <f>Tabla1[[#This Row],[ERL]]+Tabla1[[#This Row],[IRL]]</f>
        <v>0.3</v>
      </c>
      <c r="J3" s="17">
        <v>10</v>
      </c>
      <c r="K3" s="17">
        <f>Tabla1[[#This Row],[LoCode]]/F3</f>
        <v>5</v>
      </c>
      <c r="L3" s="17">
        <v>0.56669999999999998</v>
      </c>
      <c r="M3" s="17">
        <f>SUM(J3:L3) - I3</f>
        <v>15.2667</v>
      </c>
      <c r="N3" s="16"/>
      <c r="O3" s="17">
        <f>1 - ((Tabla1[[#This Row],[TPFM]]- 'Compress 2'!$N$52) / ('Compress 2'!$N$51 - 'Compress 2'!$N$52))</f>
        <v>0.8</v>
      </c>
      <c r="P3" s="17">
        <v>0.06</v>
      </c>
      <c r="Q3" s="17">
        <v>0</v>
      </c>
      <c r="R3" s="17">
        <f>SUM(Tabla1[[#This Row],[IPTFM]:[Comentarios2]]) / 3</f>
        <v>0.3</v>
      </c>
      <c r="S3" s="17">
        <f>Tabla1[[#This Row],[CC]]/10</f>
        <v>0.1</v>
      </c>
      <c r="T3" s="17">
        <f xml:space="preserve"> (Tabla1[[#This Row],[ICLC]] + (1 - Tabla1[[#This Row],[ICC]])) / 2</f>
        <v>0.6</v>
      </c>
      <c r="U3" s="16"/>
      <c r="V3" s="17">
        <v>1</v>
      </c>
      <c r="W3" s="16"/>
      <c r="X3" s="17">
        <f>Tabla1[[#This Row],[Valor general]]-Tabla1[[#This Row],[Valor general2]]-Tabla1[[#This Row],[INN]]</f>
        <v>9.4</v>
      </c>
      <c r="Y3" s="16"/>
      <c r="Z3" t="s">
        <v>132</v>
      </c>
    </row>
    <row r="4" spans="1:26" ht="30" x14ac:dyDescent="0.25">
      <c r="A4" s="35">
        <v>2024132538</v>
      </c>
      <c r="B4" s="35" t="s">
        <v>44</v>
      </c>
      <c r="C4" s="36" t="s">
        <v>133</v>
      </c>
      <c r="D4" s="35">
        <v>6</v>
      </c>
      <c r="E4" s="35">
        <v>0</v>
      </c>
      <c r="F4" s="35">
        <v>1</v>
      </c>
      <c r="G4" s="35">
        <v>0</v>
      </c>
      <c r="H4" s="37">
        <v>0</v>
      </c>
      <c r="I4" s="37">
        <f>Tabla14[[#This Row],[ERL]]+Tabla14[[#This Row],[IRL]]</f>
        <v>0</v>
      </c>
      <c r="J4" s="37">
        <v>3</v>
      </c>
      <c r="K4" s="37">
        <f>Tabla14[[#This Row],[LoCode]]/Tabla14[[#This Row],[NoFunctions]]</f>
        <v>19</v>
      </c>
      <c r="L4" s="37">
        <v>0.17</v>
      </c>
      <c r="M4" s="37">
        <f>SUM(Tabla14[[#This Row],[CC]:[IDC]]) - Tabla14[[#This Row],[IRC]]</f>
        <v>28.63</v>
      </c>
      <c r="N4" s="35" t="str">
        <f>IF(M4 &lt; 'Conteo 3'!$G$51, "Alto", IF(M4 &lt; 'Conteo 3'!$G$53, "Medio", "Bajo"))</f>
        <v>Medio</v>
      </c>
      <c r="O4" s="37">
        <f>1 - ((Tabla14[[#This Row],[TPFM]]- 'Conteo 3'!$N$52) / ('Conteo 3'!$N$51 - 'Conteo 3'!$N$52))</f>
        <v>0.62411347517730498</v>
      </c>
      <c r="P4" s="37">
        <v>0.05</v>
      </c>
      <c r="Q4" s="37">
        <v>0</v>
      </c>
      <c r="R4" s="37">
        <f>SUM(Tabla14[[#This Row],[IPTFM]:[Comentarios2]]) / 3</f>
        <v>0.30803782505910166</v>
      </c>
      <c r="S4" s="35">
        <f>Tabla14[[#This Row],[CC]]/10</f>
        <v>0.9</v>
      </c>
      <c r="T4" s="37">
        <f xml:space="preserve"> (Tabla14[[#This Row],[ICLC]] + (1 - Tabla14[[#This Row],[ICC]])) / 2</f>
        <v>0.20401891252955082</v>
      </c>
      <c r="U4" s="35" t="str">
        <f>IF(T4 &lt; 'Conteo 3'!$S$49, "Bajo", IF(T4 &lt; 'Conteo 3'!$S$51, "Medio", "Alto"))</f>
        <v>Alto</v>
      </c>
      <c r="V4" s="35">
        <v>1</v>
      </c>
      <c r="W4" s="35" t="str">
        <f>IF(V4 &lt;= 'Conteo 3'!$Y$49, "Alto", IF(V4 &lt; 'Conteo 3'!$Y$52, "Medio", "Bajo"))</f>
        <v>Bajo</v>
      </c>
      <c r="X4" s="35"/>
      <c r="Y4" s="35"/>
      <c r="Z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Zoologico 1_vIAC</vt:lpstr>
      <vt:lpstr>Zoologico 1</vt:lpstr>
      <vt:lpstr>Compress 2</vt:lpstr>
      <vt:lpstr>Conteo 3</vt:lpstr>
      <vt:lpstr>Shiritori 4</vt:lpstr>
      <vt:lpstr>Piloto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Rojas Hidalgo</cp:lastModifiedBy>
  <cp:revision/>
  <dcterms:created xsi:type="dcterms:W3CDTF">2025-04-06T21:37:21Z</dcterms:created>
  <dcterms:modified xsi:type="dcterms:W3CDTF">2025-09-22T02:03:25Z</dcterms:modified>
  <cp:category/>
  <cp:contentStatus/>
</cp:coreProperties>
</file>