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"/>
    </mc:Choice>
  </mc:AlternateContent>
  <xr:revisionPtr revIDLastSave="0" documentId="13_ncr:1_{5178D985-655C-4D5A-A102-FB188F177D0E}" xr6:coauthVersionLast="47" xr6:coauthVersionMax="47" xr10:uidLastSave="{00000000-0000-0000-0000-000000000000}"/>
  <bookViews>
    <workbookView xWindow="-120" yWindow="-120" windowWidth="20730" windowHeight="11160" firstSheet="1" activeTab="5" xr2:uid="{FC0C5651-55DF-428D-B44B-516314C33FC7}"/>
  </bookViews>
  <sheets>
    <sheet name="Capex and Opex" sheetId="1" r:id="rId1"/>
    <sheet name="Sheet1" sheetId="2" r:id="rId2"/>
    <sheet name="Equipment List" sheetId="4" r:id="rId3"/>
    <sheet name="Capex" sheetId="5" r:id="rId4"/>
    <sheet name="Opex" sheetId="6" r:id="rId5"/>
    <sheet name="Cash Flow" sheetId="7" r:id="rId6"/>
    <sheet name="Reference Sheet" sheetId="3" r:id="rId7"/>
    <sheet name="Reference Sheet 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6" l="1"/>
  <c r="D37" i="7"/>
  <c r="D36" i="7"/>
  <c r="D35" i="7"/>
  <c r="D31" i="7"/>
  <c r="D29" i="7"/>
  <c r="C37" i="7"/>
  <c r="D27" i="7"/>
  <c r="D24" i="7"/>
  <c r="C7" i="7"/>
  <c r="D39" i="7"/>
  <c r="E39" i="7" s="1"/>
  <c r="F39" i="7" s="1"/>
  <c r="G39" i="7" s="1"/>
  <c r="H39" i="7" s="1"/>
  <c r="I39" i="7" s="1"/>
  <c r="J39" i="7" s="1"/>
  <c r="G29" i="7"/>
  <c r="F7" i="6"/>
  <c r="F8" i="6"/>
  <c r="D4" i="6"/>
  <c r="D4" i="5"/>
  <c r="D40" i="7" l="1"/>
  <c r="F4" i="6"/>
  <c r="D25" i="7"/>
  <c r="E25" i="7"/>
  <c r="G21" i="5" l="1"/>
  <c r="H29" i="7"/>
  <c r="I29" i="7"/>
  <c r="G11" i="7"/>
  <c r="G17" i="7" s="1"/>
  <c r="H11" i="7"/>
  <c r="H17" i="7" s="1"/>
  <c r="I11" i="7"/>
  <c r="I17" i="7" s="1"/>
  <c r="J11" i="7"/>
  <c r="J17" i="7" s="1"/>
  <c r="F11" i="7"/>
  <c r="F17" i="7" s="1"/>
  <c r="E11" i="7"/>
  <c r="D11" i="7"/>
  <c r="D5" i="6"/>
  <c r="E28" i="5"/>
  <c r="D12" i="5"/>
  <c r="D5" i="5"/>
  <c r="F23" i="6"/>
  <c r="D9" i="5"/>
  <c r="D10" i="5"/>
  <c r="D11" i="5"/>
  <c r="D18" i="5"/>
  <c r="D20" i="5"/>
  <c r="D19" i="5" s="1"/>
  <c r="I15" i="8"/>
  <c r="I11" i="8"/>
  <c r="I12" i="8"/>
  <c r="I13" i="8"/>
  <c r="I14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10" i="8"/>
  <c r="E17" i="7" l="1"/>
  <c r="D17" i="7"/>
  <c r="L11" i="7"/>
  <c r="H31" i="7"/>
  <c r="G31" i="7"/>
  <c r="I31" i="7"/>
  <c r="F5" i="6"/>
  <c r="D6" i="6"/>
  <c r="J29" i="7"/>
  <c r="J31" i="7" s="1"/>
  <c r="D17" i="5"/>
  <c r="D8" i="5"/>
  <c r="D16" i="5"/>
  <c r="D7" i="5"/>
  <c r="D15" i="5"/>
  <c r="D6" i="5"/>
  <c r="D14" i="5"/>
  <c r="D10" i="6"/>
  <c r="F10" i="6" s="1"/>
  <c r="H35" i="7" l="1"/>
  <c r="H36" i="7"/>
  <c r="I35" i="7"/>
  <c r="I36" i="7"/>
  <c r="J35" i="7"/>
  <c r="J36" i="7"/>
  <c r="J40" i="7" s="1"/>
  <c r="G35" i="7"/>
  <c r="G36" i="7" s="1"/>
  <c r="G40" i="7" s="1"/>
  <c r="H40" i="7"/>
  <c r="I40" i="7"/>
  <c r="F6" i="6"/>
  <c r="E26" i="7"/>
  <c r="D26" i="7"/>
  <c r="D13" i="5"/>
  <c r="D3" i="5"/>
  <c r="D2" i="5"/>
  <c r="D14" i="6" l="1"/>
  <c r="D21" i="5"/>
  <c r="E37" i="7" l="1"/>
  <c r="F37" i="7" s="1"/>
  <c r="C42" i="7"/>
  <c r="F21" i="5"/>
  <c r="D13" i="6"/>
  <c r="F13" i="6" s="1"/>
  <c r="D9" i="6"/>
  <c r="D17" i="6"/>
  <c r="F17" i="6" s="1"/>
  <c r="D15" i="6"/>
  <c r="F15" i="6" s="1"/>
  <c r="G61" i="4"/>
  <c r="H56" i="4"/>
  <c r="H3" i="4"/>
  <c r="F15" i="4"/>
  <c r="I6" i="4"/>
  <c r="H18" i="2"/>
  <c r="G18" i="2"/>
  <c r="G17" i="2"/>
  <c r="L22" i="1"/>
  <c r="K22" i="1"/>
  <c r="I10" i="1"/>
  <c r="K10" i="1" s="1"/>
  <c r="E22" i="1"/>
  <c r="E21" i="1"/>
  <c r="K37" i="1"/>
  <c r="J32" i="1" s="1"/>
  <c r="K32" i="1" s="1"/>
  <c r="I9" i="1"/>
  <c r="K9" i="1"/>
  <c r="J8" i="1"/>
  <c r="J11" i="1" s="1"/>
  <c r="I8" i="1"/>
  <c r="D11" i="1"/>
  <c r="E9" i="1"/>
  <c r="C10" i="1"/>
  <c r="C11" i="1" s="1"/>
  <c r="C9" i="1"/>
  <c r="C8" i="1"/>
  <c r="E8" i="1" s="1"/>
  <c r="D38" i="1"/>
  <c r="D40" i="1" s="1"/>
  <c r="D41" i="1" s="1"/>
  <c r="O32" i="1"/>
  <c r="O24" i="1"/>
  <c r="O26" i="1" s="1"/>
  <c r="O30" i="1" s="1"/>
  <c r="O34" i="1" s="1"/>
  <c r="O15" i="1"/>
  <c r="I32" i="1"/>
  <c r="I24" i="1"/>
  <c r="C32" i="1"/>
  <c r="C24" i="1"/>
  <c r="G37" i="7" l="1"/>
  <c r="H37" i="7" s="1"/>
  <c r="I37" i="7" s="1"/>
  <c r="J37" i="7" s="1"/>
  <c r="C43" i="7"/>
  <c r="F9" i="6"/>
  <c r="D12" i="6"/>
  <c r="F12" i="6" s="1"/>
  <c r="C9" i="7"/>
  <c r="K8" i="1"/>
  <c r="E10" i="1"/>
  <c r="E11" i="1" s="1"/>
  <c r="F11" i="1" s="1"/>
  <c r="K11" i="1"/>
  <c r="L11" i="1" s="1"/>
  <c r="I11" i="1"/>
  <c r="I15" i="1" s="1"/>
  <c r="I26" i="1" s="1"/>
  <c r="I30" i="1" s="1"/>
  <c r="I34" i="1" s="1"/>
  <c r="C21" i="7" l="1"/>
  <c r="C36" i="7" s="1"/>
  <c r="C17" i="7"/>
  <c r="K20" i="1"/>
  <c r="K18" i="1"/>
  <c r="E12" i="1"/>
  <c r="E20" i="1"/>
  <c r="E23" i="1"/>
  <c r="F32" i="1" s="1"/>
  <c r="E18" i="1"/>
  <c r="K23" i="1"/>
  <c r="E34" i="1" a="1"/>
  <c r="E34" i="1" s="1"/>
  <c r="C15" i="1" l="1"/>
  <c r="C26" i="1" s="1"/>
  <c r="C30" i="1" s="1"/>
  <c r="C34" i="1" s="1"/>
  <c r="F11" i="6" l="1"/>
  <c r="D3" i="6"/>
  <c r="D2" i="6" s="1"/>
  <c r="D19" i="6" l="1"/>
  <c r="D18" i="6"/>
  <c r="F27" i="7" s="1"/>
  <c r="F29" i="7" s="1"/>
  <c r="F31" i="7" s="1"/>
  <c r="F35" i="7" l="1"/>
  <c r="F36" i="7"/>
  <c r="F40" i="7"/>
  <c r="E27" i="7"/>
  <c r="E29" i="7" s="1"/>
  <c r="E31" i="7" s="1"/>
  <c r="D16" i="6"/>
  <c r="F18" i="6"/>
  <c r="F19" i="6"/>
  <c r="E35" i="7" l="1"/>
  <c r="E36" i="7"/>
  <c r="E40" i="7"/>
  <c r="C41" i="7" s="1"/>
  <c r="F16" i="6"/>
  <c r="D20" i="6"/>
  <c r="D24" i="6" l="1"/>
  <c r="F2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Ritu Kamra</author>
  </authors>
  <commentList>
    <comment ref="C49" authorId="0" shapeId="0" xr:uid="{B8C938DB-A996-4F01-99B4-5B4C5E78987B}">
      <text>
        <r>
          <rPr>
            <b/>
            <sz val="9"/>
            <color indexed="81"/>
            <rFont val="Tahoma"/>
            <family val="2"/>
          </rPr>
          <t>Ritu Kamra: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<sst xmlns="http://schemas.openxmlformats.org/spreadsheetml/2006/main" count="468" uniqueCount="312">
  <si>
    <t xml:space="preserve">Annual Qty </t>
  </si>
  <si>
    <t>Tonne</t>
  </si>
  <si>
    <t xml:space="preserve">Unit Rate </t>
  </si>
  <si>
    <t>INR / Tonne</t>
  </si>
  <si>
    <t>Amount</t>
  </si>
  <si>
    <t>INR  Lakhs</t>
  </si>
  <si>
    <t>A</t>
  </si>
  <si>
    <t>VARIABLE COST</t>
  </si>
  <si>
    <t>RAW MATERIALS</t>
  </si>
  <si>
    <t>I</t>
  </si>
  <si>
    <t>II</t>
  </si>
  <si>
    <t>III</t>
  </si>
  <si>
    <t>Sub-Total (1)</t>
  </si>
  <si>
    <t>PACKING MATERIALS</t>
  </si>
  <si>
    <t>CATALYSTS &amp; CHEMICALS</t>
  </si>
  <si>
    <t>UTILITIES</t>
  </si>
  <si>
    <t>TOTAL VARIABLE COST</t>
  </si>
  <si>
    <t>B</t>
  </si>
  <si>
    <t>FIXED COST</t>
  </si>
  <si>
    <t>REPAIR &amp; MAINTENANCE</t>
  </si>
  <si>
    <t>RATES &amp; TAXES</t>
  </si>
  <si>
    <t>SALARIES &amp; WAGES (After Breakeven achieved)</t>
  </si>
  <si>
    <t>CORPORATE OVERHEADS</t>
  </si>
  <si>
    <t>TOTAL FIXED COST</t>
  </si>
  <si>
    <t>C</t>
  </si>
  <si>
    <t>VARIABLE + FIXED COST</t>
  </si>
  <si>
    <t>D</t>
  </si>
  <si>
    <t>INTEREST ON WORKING CAPITAL</t>
  </si>
  <si>
    <t>E</t>
  </si>
  <si>
    <t>CASH MANUFACTURING COST</t>
  </si>
  <si>
    <t>F</t>
  </si>
  <si>
    <t>G</t>
  </si>
  <si>
    <t>PRODUCTION COST</t>
  </si>
  <si>
    <t>COST OF PRODUCTION : Licensor 2</t>
  </si>
  <si>
    <t>COST OF PRODUCTION : Licensor 1</t>
  </si>
  <si>
    <t>COST OF PRODUCTION : Licensor 3</t>
  </si>
  <si>
    <t>DEPRECIATION (5.28%)</t>
  </si>
  <si>
    <t>BPA</t>
  </si>
  <si>
    <t>ECH</t>
  </si>
  <si>
    <t>Caustic Soda</t>
  </si>
  <si>
    <t>USD/Tonne</t>
  </si>
  <si>
    <t>USD Million</t>
  </si>
  <si>
    <t>USD</t>
  </si>
  <si>
    <t>Typical Common Utility Cost</t>
  </si>
  <si>
    <t>Electricity</t>
  </si>
  <si>
    <t>Gas</t>
  </si>
  <si>
    <t>Fuel Oil</t>
  </si>
  <si>
    <t>Steam</t>
  </si>
  <si>
    <t>Cooling tower Water</t>
  </si>
  <si>
    <t>Process Water</t>
  </si>
  <si>
    <t>Recycled process water</t>
  </si>
  <si>
    <t>Recycled cooling tower water</t>
  </si>
  <si>
    <t>Softened Water</t>
  </si>
  <si>
    <t>Demineralized water</t>
  </si>
  <si>
    <t>Instrumentation Air</t>
  </si>
  <si>
    <t>Inert Gas</t>
  </si>
  <si>
    <t>Refrigeration</t>
  </si>
  <si>
    <t xml:space="preserve">Nitrogen, purchased </t>
  </si>
  <si>
    <t xml:space="preserve">Raw Material </t>
  </si>
  <si>
    <t>Utilities</t>
  </si>
  <si>
    <t>Operating Labour</t>
  </si>
  <si>
    <t>Interest (on Loan, if any)</t>
  </si>
  <si>
    <t>Labour related cost</t>
  </si>
  <si>
    <t>Payroll Overhead</t>
  </si>
  <si>
    <t>Supervision, Overhead</t>
  </si>
  <si>
    <t>Laboratory Charges</t>
  </si>
  <si>
    <t>Total</t>
  </si>
  <si>
    <t>Capital Related Cost</t>
  </si>
  <si>
    <t>Maintainance Cost</t>
  </si>
  <si>
    <t>operating supplies</t>
  </si>
  <si>
    <t xml:space="preserve">Enviromental </t>
  </si>
  <si>
    <t>Depriciation</t>
  </si>
  <si>
    <t>Local Taxes</t>
  </si>
  <si>
    <t>Plant Overhead Cost</t>
  </si>
  <si>
    <t>Sales Related Cost</t>
  </si>
  <si>
    <t>Patents &amp; Royalities</t>
  </si>
  <si>
    <t>Packaging Cost</t>
  </si>
  <si>
    <t>Administrative Cost</t>
  </si>
  <si>
    <t>Distribution  &amp; Sales</t>
  </si>
  <si>
    <t>R&amp;D</t>
  </si>
  <si>
    <t>0-5% of Sales</t>
  </si>
  <si>
    <t>0-7% of Sales</t>
  </si>
  <si>
    <t>2-10 % of Sales</t>
  </si>
  <si>
    <t>0.4-5% of Sales</t>
  </si>
  <si>
    <t>2-10 % of Plant Cost</t>
  </si>
  <si>
    <t>0.5-3 % of Plant Cost</t>
  </si>
  <si>
    <t>0.5-5% of the Plant Cost</t>
  </si>
  <si>
    <t>5-10 % of the Plant Cost</t>
  </si>
  <si>
    <t xml:space="preserve">3-5 % of the Plant Cost </t>
  </si>
  <si>
    <t>1-10 % of the Plant Cost</t>
  </si>
  <si>
    <t>12-38 % of the Plant Cost</t>
  </si>
  <si>
    <t>Typical Total</t>
  </si>
  <si>
    <t>26 % of the Total Cost</t>
  </si>
  <si>
    <t>a.</t>
  </si>
  <si>
    <t>e.</t>
  </si>
  <si>
    <t>b.</t>
  </si>
  <si>
    <t>c.</t>
  </si>
  <si>
    <t>d.</t>
  </si>
  <si>
    <t>f.</t>
  </si>
  <si>
    <t>g.</t>
  </si>
  <si>
    <t>4.5-37 % of Sales</t>
  </si>
  <si>
    <t>20% of Sales</t>
  </si>
  <si>
    <t>22-45% of Labor</t>
  </si>
  <si>
    <t>10-30% of Labor</t>
  </si>
  <si>
    <t>10-20% of Labor</t>
  </si>
  <si>
    <t>42-95% of Labor</t>
  </si>
  <si>
    <t>60% of Labor</t>
  </si>
  <si>
    <t>Manufacturing Cost Estimation Factors</t>
  </si>
  <si>
    <t>Caustic</t>
  </si>
  <si>
    <t>Research &amp; Development</t>
  </si>
  <si>
    <t>Transportation &amp; Clearance</t>
  </si>
  <si>
    <t>MAIN PROCESS EQUIPMENTS</t>
  </si>
  <si>
    <t>CAPACITY</t>
  </si>
  <si>
    <t>[USD]</t>
  </si>
  <si>
    <r>
      <t>kg</t>
    </r>
    <r>
      <rPr>
        <sz val="8"/>
        <color theme="1"/>
        <rFont val="Arial Black"/>
        <family val="2"/>
      </rPr>
      <t>/</t>
    </r>
    <r>
      <rPr>
        <sz val="8"/>
        <color theme="1"/>
        <rFont val="Palladio Uralic"/>
      </rPr>
      <t>process</t>
    </r>
  </si>
  <si>
    <t>C1</t>
  </si>
  <si>
    <t>TOTAL MAIN EQUIPMENT COST</t>
  </si>
  <si>
    <t>C2</t>
  </si>
  <si>
    <r>
      <t xml:space="preserve">TOTAL MAIN </t>
    </r>
    <r>
      <rPr>
        <sz val="8"/>
        <color theme="1"/>
        <rFont val="Arial Black"/>
        <family val="2"/>
      </rPr>
      <t xml:space="preserve">+ </t>
    </r>
    <r>
      <rPr>
        <b/>
        <sz val="8"/>
        <color theme="1"/>
        <rFont val="Palladio Uralic"/>
      </rPr>
      <t xml:space="preserve">AUXILIARY EQUIPMENT COST (1.1 </t>
    </r>
    <r>
      <rPr>
        <sz val="8"/>
        <color theme="1"/>
        <rFont val="Arial Black"/>
        <family val="2"/>
      </rPr>
      <t xml:space="preserve">× </t>
    </r>
    <r>
      <rPr>
        <b/>
        <sz val="8"/>
        <color theme="1"/>
        <rFont val="Palladio Uralic"/>
      </rPr>
      <t>C1)</t>
    </r>
  </si>
  <si>
    <t>ITEM</t>
  </si>
  <si>
    <t>TOTAL FIXED-CAPITAL INVESTMENT</t>
  </si>
  <si>
    <r>
      <t xml:space="preserve">A1 </t>
    </r>
    <r>
      <rPr>
        <sz val="9"/>
        <color theme="1"/>
        <rFont val="Arial Black"/>
        <family val="2"/>
      </rPr>
      <t xml:space="preserve">+ </t>
    </r>
    <r>
      <rPr>
        <b/>
        <sz val="9"/>
        <color theme="1"/>
        <rFont val="Palladio Uralic"/>
      </rPr>
      <t>A2</t>
    </r>
  </si>
  <si>
    <t>A1</t>
  </si>
  <si>
    <t>TOTAL DIRECT PLANT COST</t>
  </si>
  <si>
    <t>1 to 9</t>
  </si>
  <si>
    <t>Delivered main equipment (includes auxiliary equipment)</t>
  </si>
  <si>
    <t>Purchased-equipment installation</t>
  </si>
  <si>
    <t>Instrumentation and controls (installed)</t>
  </si>
  <si>
    <t>Piping (installed)</t>
  </si>
  <si>
    <t>Electrical (installed)</t>
  </si>
  <si>
    <t>Buildings (including services)</t>
  </si>
  <si>
    <t>Yard improvements</t>
  </si>
  <si>
    <t>Service facilities (installed)</t>
  </si>
  <si>
    <t>Land (purchase is required)</t>
  </si>
  <si>
    <t>A2</t>
  </si>
  <si>
    <t>TOTAL INDIRECT PLANT COST</t>
  </si>
  <si>
    <t>10 to 14</t>
  </si>
  <si>
    <t>Engineering and supervision</t>
  </si>
  <si>
    <t>Construction expenses</t>
  </si>
  <si>
    <t>Legal expenses</t>
  </si>
  <si>
    <t>Contractor’s fee</t>
  </si>
  <si>
    <t>Contingency</t>
  </si>
  <si>
    <t>WORKING CAPITAL</t>
  </si>
  <si>
    <t>Safety and hazard analyses</t>
  </si>
  <si>
    <t>TOTAL CAPITAL INVESTMENT</t>
  </si>
  <si>
    <r>
      <t xml:space="preserve">A </t>
    </r>
    <r>
      <rPr>
        <sz val="9"/>
        <color theme="1"/>
        <rFont val="Arial Black"/>
        <family val="2"/>
      </rPr>
      <t xml:space="preserve">+ </t>
    </r>
    <r>
      <rPr>
        <b/>
        <sz val="9"/>
        <color theme="1"/>
        <rFont val="Palladio Uralic"/>
      </rPr>
      <t>B</t>
    </r>
  </si>
  <si>
    <t>MANUFACTURING COST</t>
  </si>
  <si>
    <r>
      <t xml:space="preserve">C1 </t>
    </r>
    <r>
      <rPr>
        <sz val="9"/>
        <color theme="1"/>
        <rFont val="Arial Black"/>
        <family val="2"/>
      </rPr>
      <t xml:space="preserve">+ </t>
    </r>
    <r>
      <rPr>
        <b/>
        <sz val="9"/>
        <color theme="1"/>
        <rFont val="Palladio Uralic"/>
      </rPr>
      <t xml:space="preserve">C2 </t>
    </r>
    <r>
      <rPr>
        <sz val="9"/>
        <color theme="1"/>
        <rFont val="Arial Black"/>
        <family val="2"/>
      </rPr>
      <t xml:space="preserve">+ </t>
    </r>
    <r>
      <rPr>
        <b/>
        <sz val="9"/>
        <color theme="1"/>
        <rFont val="Palladio Uralic"/>
      </rPr>
      <t>C3</t>
    </r>
  </si>
  <si>
    <t>DIRECT PRODUCTION COSTS</t>
  </si>
  <si>
    <t>1 to 8</t>
  </si>
  <si>
    <t>Raw materials (calculated)</t>
  </si>
  <si>
    <t>-</t>
  </si>
  <si>
    <t>Operating labor (calculated)</t>
  </si>
  <si>
    <t>Direct supervisory and clerical labor (17.5% of operating labor)</t>
  </si>
  <si>
    <t>Utilities (calculated)</t>
  </si>
  <si>
    <t>Operating supplies (15% of cost for maintenance and repairs)</t>
  </si>
  <si>
    <t>Laboratory charges (15% of operating labor)</t>
  </si>
  <si>
    <t>Patents and royalties (4% of C1.1 to C1.7)</t>
  </si>
  <si>
    <t>INDIRECT PRODUCTION COSTS</t>
  </si>
  <si>
    <t>C3</t>
  </si>
  <si>
    <r>
      <t xml:space="preserve">PLANT-OVERHEAD COSTS (60% of 2 </t>
    </r>
    <r>
      <rPr>
        <sz val="9"/>
        <color theme="1"/>
        <rFont val="Arial Black"/>
        <family val="2"/>
      </rPr>
      <t xml:space="preserve">+ </t>
    </r>
    <r>
      <rPr>
        <sz val="9"/>
        <color theme="1"/>
        <rFont val="Palladio Uralic"/>
      </rPr>
      <t xml:space="preserve">3 </t>
    </r>
    <r>
      <rPr>
        <sz val="9"/>
        <color theme="1"/>
        <rFont val="Arial Black"/>
        <family val="2"/>
      </rPr>
      <t xml:space="preserve">+ </t>
    </r>
    <r>
      <rPr>
        <sz val="9"/>
        <color theme="1"/>
        <rFont val="Palladio Uralic"/>
      </rPr>
      <t>5)</t>
    </r>
  </si>
  <si>
    <t>GENERAL EXPENSES</t>
  </si>
  <si>
    <t>14 to 16</t>
  </si>
  <si>
    <r>
      <t xml:space="preserve">Administrative costs (15% of 2 </t>
    </r>
    <r>
      <rPr>
        <sz val="9"/>
        <color theme="1"/>
        <rFont val="Arial Black"/>
        <family val="2"/>
      </rPr>
      <t xml:space="preserve">+ </t>
    </r>
    <r>
      <rPr>
        <sz val="9"/>
        <color theme="1"/>
        <rFont val="Palladio Uralic"/>
      </rPr>
      <t xml:space="preserve">3 </t>
    </r>
    <r>
      <rPr>
        <sz val="9"/>
        <color theme="1"/>
        <rFont val="Arial Black"/>
        <family val="2"/>
      </rPr>
      <t xml:space="preserve">+ </t>
    </r>
    <r>
      <rPr>
        <sz val="9"/>
        <color theme="1"/>
        <rFont val="Palladio Uralic"/>
      </rPr>
      <t>5)</t>
    </r>
  </si>
  <si>
    <t>Distribution and selling costs (11% of manufacturing cost)</t>
  </si>
  <si>
    <t>TOTAL PRODUCT COST</t>
  </si>
  <si>
    <r>
      <t xml:space="preserve">C </t>
    </r>
    <r>
      <rPr>
        <sz val="9"/>
        <color theme="1"/>
        <rFont val="Arial Black"/>
        <family val="2"/>
      </rPr>
      <t xml:space="preserve">+ </t>
    </r>
    <r>
      <rPr>
        <b/>
        <sz val="9"/>
        <color theme="1"/>
        <rFont val="Palladio Uralic"/>
      </rPr>
      <t>D</t>
    </r>
  </si>
  <si>
    <t>Description</t>
  </si>
  <si>
    <t>Construction period</t>
  </si>
  <si>
    <t>Operating Period</t>
  </si>
  <si>
    <t>Cash-In flow</t>
  </si>
  <si>
    <t>Fixed Asset</t>
  </si>
  <si>
    <t>Margin Money</t>
  </si>
  <si>
    <t>Operating Revenue</t>
  </si>
  <si>
    <t>Recovery of Salvage Value</t>
  </si>
  <si>
    <t>Inventory</t>
  </si>
  <si>
    <t>Fixed Assets</t>
  </si>
  <si>
    <t>Total Salvage Value</t>
  </si>
  <si>
    <t>Cash Outflow</t>
  </si>
  <si>
    <t>Main Investment</t>
  </si>
  <si>
    <t>Operating Cost</t>
  </si>
  <si>
    <t>Total Operating Cost</t>
  </si>
  <si>
    <t>Gross Margin</t>
  </si>
  <si>
    <t>Depreciation</t>
  </si>
  <si>
    <t>Net Cash Flow</t>
  </si>
  <si>
    <t>NPV@12%</t>
  </si>
  <si>
    <t>IRR</t>
  </si>
  <si>
    <t>Caustic Preparation Solution Tank (48% Caustic)</t>
  </si>
  <si>
    <t>Caustic transfer pump</t>
  </si>
  <si>
    <t>BPA Storage Vessel or Hopper (if Solid)</t>
  </si>
  <si>
    <t>BPA Transfer Pump (if Solid, pump is not required)</t>
  </si>
  <si>
    <t>ECH Storage Tank</t>
  </si>
  <si>
    <t>ECH Transfer Pump</t>
  </si>
  <si>
    <t>Pre-Reactor</t>
  </si>
  <si>
    <t>Reaction solution Transfer pump</t>
  </si>
  <si>
    <t xml:space="preserve">Reactor </t>
  </si>
  <si>
    <t>Reaction solution Transfer pump 2</t>
  </si>
  <si>
    <t>Distillation Tower for ECH</t>
  </si>
  <si>
    <t>Solvent Storage Tank (Toluene)</t>
  </si>
  <si>
    <t>Solvent transfer pump</t>
  </si>
  <si>
    <t>Washing Tower</t>
  </si>
  <si>
    <t>Gravity Separator</t>
  </si>
  <si>
    <t>Soln Transfer pump</t>
  </si>
  <si>
    <t>Ditillation Tower for Toluene Recovery</t>
  </si>
  <si>
    <t>Soln Transfer pump 2</t>
  </si>
  <si>
    <t>Sparkler Filter</t>
  </si>
  <si>
    <t>Mixing Tank</t>
  </si>
  <si>
    <t>Product Tank</t>
  </si>
  <si>
    <t>UF/RO System</t>
  </si>
  <si>
    <t>Evaporator (Thin Evaporator &amp; Rotary film thin evaporator) </t>
  </si>
  <si>
    <t>Cooling Tower</t>
  </si>
  <si>
    <t>26 </t>
  </si>
  <si>
    <t>DG’s, Generator’s</t>
  </si>
  <si>
    <t>DCS System (Instrumentation Item)</t>
  </si>
  <si>
    <r>
      <t> </t>
    </r>
    <r>
      <rPr>
        <b/>
        <sz val="11"/>
        <color rgb="FF000000"/>
        <rFont val="Calibri"/>
        <family val="2"/>
        <scheme val="minor"/>
      </rPr>
      <t>1.2</t>
    </r>
  </si>
  <si>
    <t>Equipment list for SER</t>
  </si>
  <si>
    <t>LER Storage tank</t>
  </si>
  <si>
    <t>Remarks</t>
  </si>
  <si>
    <t xml:space="preserve">For more no of grade, No of reactor will be more then </t>
  </si>
  <si>
    <t>Equipment Cost for 100 KT Plant</t>
  </si>
  <si>
    <t>500m3, SS304</t>
  </si>
  <si>
    <t xml:space="preserve">No </t>
  </si>
  <si>
    <t>Xylene Storage Tank</t>
  </si>
  <si>
    <t>Condensor</t>
  </si>
  <si>
    <t>2 Process pump &amp; 2 Standby</t>
  </si>
  <si>
    <t>Feed Pump</t>
  </si>
  <si>
    <t>150m3, SS304</t>
  </si>
  <si>
    <t>Weighing Tank</t>
  </si>
  <si>
    <t>Hoist</t>
  </si>
  <si>
    <t>BPA Hopper</t>
  </si>
  <si>
    <t>Resin Hopper</t>
  </si>
  <si>
    <t>Raw material Hopper</t>
  </si>
  <si>
    <t>BPA Dust Collector</t>
  </si>
  <si>
    <t>Resin hopper</t>
  </si>
  <si>
    <t>Dust Collector</t>
  </si>
  <si>
    <t>Cut Tank</t>
  </si>
  <si>
    <t>Product filter</t>
  </si>
  <si>
    <t>Circle Feeder</t>
  </si>
  <si>
    <t>Crusher</t>
  </si>
  <si>
    <t>Product Dust Collector</t>
  </si>
  <si>
    <t>Vent Condensor</t>
  </si>
  <si>
    <t>Product Filter</t>
  </si>
  <si>
    <t>7m2, SS304</t>
  </si>
  <si>
    <t>17, SS304</t>
  </si>
  <si>
    <t>3-4 Ton/hr, SS304</t>
  </si>
  <si>
    <t>12-16m3, SS304</t>
  </si>
  <si>
    <t>24m3/hr, SS304</t>
  </si>
  <si>
    <t>20 m3, SS304/CS</t>
  </si>
  <si>
    <t>1.5m3, SS304</t>
  </si>
  <si>
    <t>10m2, SS304</t>
  </si>
  <si>
    <t>20m3, SS304</t>
  </si>
  <si>
    <t>0.2m3, SS304</t>
  </si>
  <si>
    <t>30m3, CS</t>
  </si>
  <si>
    <t>22m3, SS304</t>
  </si>
  <si>
    <t>30m2, SS304</t>
  </si>
  <si>
    <t>20m3/hr, SS304</t>
  </si>
  <si>
    <t>Packer (25 Kg, 100 Kg, 200Kg, 500 Kg /bag,)</t>
  </si>
  <si>
    <t xml:space="preserve">Flaker </t>
  </si>
  <si>
    <t>Flaker hopper</t>
  </si>
  <si>
    <t xml:space="preserve">Vendor: SANDVIK </t>
  </si>
  <si>
    <t>4,000kg/hr, SS 304</t>
  </si>
  <si>
    <t>8m3/hr</t>
  </si>
  <si>
    <t>10 ton/hr, SS 304</t>
  </si>
  <si>
    <t>4500kg/hr, SS304</t>
  </si>
  <si>
    <t>SS 304</t>
  </si>
  <si>
    <t>50m3/hr, SS314</t>
  </si>
  <si>
    <t>200 m3, SS304</t>
  </si>
  <si>
    <t>8m2, SS304</t>
  </si>
  <si>
    <t>400 KV</t>
  </si>
  <si>
    <t>60m3, SS314</t>
  </si>
  <si>
    <t>50m3, SS314</t>
  </si>
  <si>
    <t>90 m3, CS</t>
  </si>
  <si>
    <t>Material Price, SS304:  260/kg</t>
  </si>
  <si>
    <t>Material Charges@170/kg</t>
  </si>
  <si>
    <t>Inspection &amp; testin @ 80/kg</t>
  </si>
  <si>
    <t>PARAMETERS</t>
  </si>
  <si>
    <t>COST OF PRODUCTION: Technology 1</t>
  </si>
  <si>
    <t>COST OF PRODUCTION: Technology 2</t>
  </si>
  <si>
    <t>Quantity</t>
  </si>
  <si>
    <t xml:space="preserve">Raw Materials </t>
  </si>
  <si>
    <t>Packing Materials, Catalyst &amp; Chemicals, Utilties</t>
  </si>
  <si>
    <t>Repair &amp; Maintenance</t>
  </si>
  <si>
    <t>Salaries &amp; Wages</t>
  </si>
  <si>
    <t xml:space="preserve">Research &amp; Development </t>
  </si>
  <si>
    <t>Corporate Overheads</t>
  </si>
  <si>
    <t>Research and development costs (7% of manufacturing cost)</t>
  </si>
  <si>
    <t>Interest on Short term loan (If any)</t>
  </si>
  <si>
    <t>Maintenance and repairs (7% of fixed-capital investment)</t>
  </si>
  <si>
    <t>All Amount in USD</t>
  </si>
  <si>
    <t>Variable</t>
  </si>
  <si>
    <t>Fixed</t>
  </si>
  <si>
    <t>Rate Of Return</t>
  </si>
  <si>
    <t>ETP Plant</t>
  </si>
  <si>
    <t>800 KD</t>
  </si>
  <si>
    <t>Investment</t>
  </si>
  <si>
    <t>Total Investment</t>
  </si>
  <si>
    <t>Total Cash - Inflow (2+3)</t>
  </si>
  <si>
    <t>Raw Material Cost</t>
  </si>
  <si>
    <t>Labour</t>
  </si>
  <si>
    <t>Raw Material Variable</t>
  </si>
  <si>
    <t>Depreciation (7% of fixed-capital investment) (15 year Plant Life)</t>
  </si>
  <si>
    <t>INR</t>
  </si>
  <si>
    <t>Annual Variable Cost (Utility, packaging &amp; selling, Distribution cost)</t>
  </si>
  <si>
    <t>Labour Cost (Operating &amp; Supervisionary labour)</t>
  </si>
  <si>
    <t>Annual Fixed Cost ()</t>
  </si>
  <si>
    <t>Packaging Cost(5% of manufacturing cost)</t>
  </si>
  <si>
    <t>Taxes (%)</t>
  </si>
  <si>
    <t>Category</t>
  </si>
  <si>
    <t>Present Value Factor</t>
  </si>
  <si>
    <t xml:space="preserve">Cumulative Cash Flows </t>
  </si>
  <si>
    <t xml:space="preserve">Pay Back Period </t>
  </si>
  <si>
    <t>Present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</si>
</sst>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30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5" tint="-0.249977111117893"/>
      <name val="Times New Roman"/>
      <family val="1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Palladio Uralic"/>
    </font>
    <font>
      <sz val="9"/>
      <color theme="1"/>
      <name val="Times New Roman"/>
      <family val="1"/>
    </font>
    <font>
      <b/>
      <sz val="8"/>
      <color theme="1"/>
      <name val="Palladio Uralic"/>
    </font>
    <font>
      <sz val="8"/>
      <color theme="1"/>
      <name val="Palladio Uralic"/>
    </font>
    <font>
      <sz val="8"/>
      <color theme="1"/>
      <name val="Arial Black"/>
      <family val="2"/>
    </font>
    <font>
      <b/>
      <sz val="9"/>
      <color theme="1"/>
      <name val="Palladio Uralic"/>
    </font>
    <font>
      <sz val="9"/>
      <color theme="1"/>
      <name val="Arial Black"/>
      <family val="2"/>
    </font>
    <font>
      <sz val="9"/>
      <color theme="1"/>
      <name val="Palladio Uralic"/>
    </font>
    <font>
      <sz val="10"/>
      <color theme="1"/>
      <name val="Palladio Uralic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sz val="7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2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right" vertical="center"/>
    </xf>
    <xf numFmtId="9" fontId="0" fillId="0" borderId="0" xfId="0" applyNumberFormat="1" applyBorder="1"/>
    <xf numFmtId="9" fontId="0" fillId="0" borderId="0" xfId="1" applyFont="1" applyBorder="1"/>
    <xf numFmtId="0" fontId="7" fillId="0" borderId="1" xfId="0" applyFont="1" applyBorder="1" applyAlignment="1">
      <alignment vertical="center"/>
    </xf>
    <xf numFmtId="2" fontId="5" fillId="3" borderId="1" xfId="0" applyNumberFormat="1" applyFont="1" applyFill="1" applyBorder="1" applyAlignment="1">
      <alignment horizontal="right" vertical="center"/>
    </xf>
    <xf numFmtId="0" fontId="8" fillId="0" borderId="0" xfId="0" applyFont="1"/>
    <xf numFmtId="0" fontId="11" fillId="0" borderId="2" xfId="0" applyFont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3" fontId="0" fillId="0" borderId="0" xfId="0" applyNumberFormat="1"/>
    <xf numFmtId="3" fontId="13" fillId="0" borderId="0" xfId="0" applyNumberFormat="1" applyFont="1" applyAlignment="1">
      <alignment horizontal="right" vertical="center" wrapText="1"/>
    </xf>
    <xf numFmtId="0" fontId="13" fillId="0" borderId="0" xfId="0" applyFont="1" applyAlignment="1">
      <alignment horizontal="left" vertical="center" indent="3"/>
    </xf>
    <xf numFmtId="3" fontId="13" fillId="0" borderId="0" xfId="0" applyNumberFormat="1" applyFont="1" applyAlignment="1">
      <alignment horizontal="left" vertical="center" indent="3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left" vertical="center" wrapText="1" indent="2"/>
    </xf>
    <xf numFmtId="0" fontId="13" fillId="0" borderId="3" xfId="0" applyFont="1" applyBorder="1" applyAlignment="1">
      <alignment horizontal="left" vertical="center" wrapText="1" indent="2"/>
    </xf>
    <xf numFmtId="0" fontId="12" fillId="0" borderId="3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5" fillId="0" borderId="2" xfId="0" applyFont="1" applyBorder="1" applyAlignment="1">
      <alignment horizontal="left" vertical="center" wrapText="1" inden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2" xfId="0" applyFont="1" applyBorder="1" applyAlignment="1">
      <alignment horizontal="right" vertical="center" wrapText="1"/>
    </xf>
    <xf numFmtId="3" fontId="15" fillId="0" borderId="0" xfId="0" applyNumberFormat="1" applyFont="1" applyAlignment="1">
      <alignment horizontal="right" vertical="center" wrapText="1"/>
    </xf>
    <xf numFmtId="0" fontId="0" fillId="0" borderId="6" xfId="0" applyBorder="1"/>
    <xf numFmtId="0" fontId="0" fillId="5" borderId="7" xfId="0" applyFill="1" applyBorder="1"/>
    <xf numFmtId="0" fontId="0" fillId="4" borderId="5" xfId="0" applyFill="1" applyBorder="1"/>
    <xf numFmtId="0" fontId="0" fillId="5" borderId="10" xfId="0" applyFill="1" applyBorder="1" applyAlignment="1">
      <alignment horizontal="center"/>
    </xf>
    <xf numFmtId="0" fontId="0" fillId="5" borderId="13" xfId="0" applyFill="1" applyBorder="1"/>
    <xf numFmtId="0" fontId="0" fillId="6" borderId="6" xfId="0" applyFill="1" applyBorder="1"/>
    <xf numFmtId="0" fontId="0" fillId="6" borderId="1" xfId="0" applyFill="1" applyBorder="1"/>
    <xf numFmtId="0" fontId="20" fillId="0" borderId="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7" xfId="0" applyFont="1" applyBorder="1" applyAlignment="1">
      <alignment vertical="center" wrapText="1"/>
    </xf>
    <xf numFmtId="0" fontId="20" fillId="0" borderId="17" xfId="0" applyFont="1" applyBorder="1" applyAlignment="1">
      <alignment horizontal="right" vertical="center" wrapText="1"/>
    </xf>
    <xf numFmtId="0" fontId="20" fillId="0" borderId="16" xfId="0" applyFont="1" applyBorder="1" applyAlignment="1">
      <alignment horizontal="right" vertical="center"/>
    </xf>
    <xf numFmtId="0" fontId="20" fillId="0" borderId="17" xfId="0" applyFont="1" applyBorder="1" applyAlignment="1">
      <alignment horizontal="right" vertical="center"/>
    </xf>
    <xf numFmtId="0" fontId="21" fillId="0" borderId="17" xfId="0" applyFont="1" applyBorder="1" applyAlignment="1">
      <alignment vertical="center"/>
    </xf>
    <xf numFmtId="0" fontId="21" fillId="0" borderId="17" xfId="0" applyFont="1" applyBorder="1" applyAlignment="1">
      <alignment horizontal="right" vertical="center" wrapText="1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vertical="center"/>
    </xf>
    <xf numFmtId="0" fontId="22" fillId="0" borderId="17" xfId="0" applyFont="1" applyBorder="1" applyAlignment="1">
      <alignment vertical="center" wrapText="1"/>
    </xf>
    <xf numFmtId="0" fontId="22" fillId="0" borderId="19" xfId="0" applyFont="1" applyFill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8" borderId="17" xfId="0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 wrapText="1"/>
    </xf>
    <xf numFmtId="0" fontId="25" fillId="10" borderId="18" xfId="0" applyFont="1" applyFill="1" applyBorder="1" applyAlignment="1">
      <alignment vertical="center"/>
    </xf>
    <xf numFmtId="0" fontId="26" fillId="12" borderId="18" xfId="0" applyFont="1" applyFill="1" applyBorder="1" applyAlignment="1">
      <alignment vertical="center"/>
    </xf>
    <xf numFmtId="0" fontId="26" fillId="12" borderId="17" xfId="0" applyFont="1" applyFill="1" applyBorder="1" applyAlignment="1">
      <alignment vertical="center"/>
    </xf>
    <xf numFmtId="0" fontId="26" fillId="12" borderId="17" xfId="0" applyFont="1" applyFill="1" applyBorder="1" applyAlignment="1">
      <alignment horizontal="center" vertical="center"/>
    </xf>
    <xf numFmtId="0" fontId="26" fillId="10" borderId="17" xfId="0" applyFont="1" applyFill="1" applyBorder="1" applyAlignment="1">
      <alignment horizontal="center" vertical="center"/>
    </xf>
    <xf numFmtId="0" fontId="25" fillId="10" borderId="19" xfId="0" applyFont="1" applyFill="1" applyBorder="1" applyAlignment="1">
      <alignment horizontal="center" vertical="center"/>
    </xf>
    <xf numFmtId="0" fontId="25" fillId="10" borderId="17" xfId="0" applyFont="1" applyFill="1" applyBorder="1" applyAlignment="1">
      <alignment horizontal="center" vertical="center"/>
    </xf>
    <xf numFmtId="0" fontId="26" fillId="0" borderId="16" xfId="0" applyFont="1" applyBorder="1" applyAlignment="1">
      <alignment horizontal="center" vertical="center" wrapText="1"/>
    </xf>
    <xf numFmtId="0" fontId="26" fillId="12" borderId="18" xfId="0" applyFont="1" applyFill="1" applyBorder="1" applyAlignment="1">
      <alignment horizontal="center" vertical="center"/>
    </xf>
    <xf numFmtId="0" fontId="25" fillId="13" borderId="18" xfId="0" applyFont="1" applyFill="1" applyBorder="1" applyAlignment="1">
      <alignment vertical="center"/>
    </xf>
    <xf numFmtId="0" fontId="25" fillId="13" borderId="18" xfId="0" applyFont="1" applyFill="1" applyBorder="1" applyAlignment="1">
      <alignment horizontal="center" vertical="center"/>
    </xf>
    <xf numFmtId="0" fontId="25" fillId="13" borderId="17" xfId="0" applyFont="1" applyFill="1" applyBorder="1" applyAlignment="1">
      <alignment horizontal="center" vertical="center"/>
    </xf>
    <xf numFmtId="0" fontId="25" fillId="13" borderId="16" xfId="0" applyFont="1" applyFill="1" applyBorder="1" applyAlignment="1">
      <alignment horizontal="center" vertical="center" wrapText="1"/>
    </xf>
    <xf numFmtId="0" fontId="26" fillId="12" borderId="0" xfId="0" applyFont="1" applyFill="1" applyAlignment="1">
      <alignment vertical="center"/>
    </xf>
    <xf numFmtId="0" fontId="26" fillId="12" borderId="31" xfId="0" applyFont="1" applyFill="1" applyBorder="1" applyAlignment="1">
      <alignment vertical="center"/>
    </xf>
    <xf numFmtId="0" fontId="26" fillId="0" borderId="18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 inden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 indent="1"/>
    </xf>
    <xf numFmtId="3" fontId="17" fillId="0" borderId="1" xfId="0" applyNumberFormat="1" applyFont="1" applyBorder="1" applyAlignment="1">
      <alignment horizontal="left" vertical="center" wrapText="1" indent="2"/>
    </xf>
    <xf numFmtId="9" fontId="17" fillId="0" borderId="1" xfId="0" applyNumberFormat="1" applyFont="1" applyBorder="1" applyAlignment="1">
      <alignment horizontal="center" vertical="center" wrapText="1"/>
    </xf>
    <xf numFmtId="3" fontId="17" fillId="0" borderId="1" xfId="0" applyNumberFormat="1" applyFont="1" applyBorder="1" applyAlignment="1">
      <alignment horizontal="left" vertical="center" wrapText="1" indent="3"/>
    </xf>
    <xf numFmtId="0" fontId="20" fillId="0" borderId="0" xfId="0" applyFont="1" applyFill="1" applyBorder="1" applyAlignment="1">
      <alignment horizontal="right" vertical="center"/>
    </xf>
    <xf numFmtId="0" fontId="9" fillId="6" borderId="1" xfId="0" applyFont="1" applyFill="1" applyBorder="1"/>
    <xf numFmtId="3" fontId="20" fillId="0" borderId="17" xfId="0" applyNumberFormat="1" applyFont="1" applyBorder="1" applyAlignment="1">
      <alignment horizontal="right" vertical="center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left" vertical="center" wrapText="1" indent="1"/>
    </xf>
    <xf numFmtId="3" fontId="17" fillId="14" borderId="1" xfId="0" applyNumberFormat="1" applyFont="1" applyFill="1" applyBorder="1" applyAlignment="1">
      <alignment horizontal="right" vertical="center" wrapText="1"/>
    </xf>
    <xf numFmtId="3" fontId="17" fillId="0" borderId="1" xfId="0" applyNumberFormat="1" applyFont="1" applyBorder="1" applyAlignment="1">
      <alignment horizontal="right" vertical="center" wrapText="1"/>
    </xf>
    <xf numFmtId="10" fontId="17" fillId="0" borderId="1" xfId="0" applyNumberFormat="1" applyFont="1" applyBorder="1" applyAlignment="1">
      <alignment horizontal="center" vertical="center" wrapText="1"/>
    </xf>
    <xf numFmtId="10" fontId="17" fillId="14" borderId="1" xfId="0" applyNumberFormat="1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left" vertical="center" wrapText="1" indent="1"/>
    </xf>
    <xf numFmtId="3" fontId="15" fillId="15" borderId="1" xfId="0" applyNumberFormat="1" applyFont="1" applyFill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3" fontId="15" fillId="0" borderId="1" xfId="0" applyNumberFormat="1" applyFont="1" applyBorder="1" applyAlignment="1">
      <alignment horizontal="right" vertical="center" wrapText="1"/>
    </xf>
    <xf numFmtId="164" fontId="0" fillId="0" borderId="0" xfId="2" applyFont="1"/>
    <xf numFmtId="0" fontId="11" fillId="6" borderId="37" xfId="0" applyFont="1" applyFill="1" applyBorder="1" applyAlignment="1">
      <alignment vertical="center" wrapText="1"/>
    </xf>
    <xf numFmtId="0" fontId="15" fillId="6" borderId="31" xfId="0" applyFont="1" applyFill="1" applyBorder="1" applyAlignment="1">
      <alignment horizontal="left" vertical="center" wrapText="1" indent="1"/>
    </xf>
    <xf numFmtId="0" fontId="11" fillId="6" borderId="31" xfId="0" applyFont="1" applyFill="1" applyBorder="1" applyAlignment="1">
      <alignment vertical="center" wrapText="1"/>
    </xf>
    <xf numFmtId="0" fontId="15" fillId="6" borderId="15" xfId="0" applyFont="1" applyFill="1" applyBorder="1" applyAlignment="1">
      <alignment horizontal="left" vertical="center" wrapText="1" indent="3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left" vertical="center" wrapText="1" indent="1"/>
    </xf>
    <xf numFmtId="3" fontId="17" fillId="4" borderId="1" xfId="0" applyNumberFormat="1" applyFont="1" applyFill="1" applyBorder="1" applyAlignment="1">
      <alignment horizontal="left" vertical="center" wrapText="1" indent="2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 indent="1"/>
    </xf>
    <xf numFmtId="3" fontId="15" fillId="4" borderId="1" xfId="0" applyNumberFormat="1" applyFont="1" applyFill="1" applyBorder="1" applyAlignment="1">
      <alignment horizontal="left" vertical="center" wrapText="1" indent="2"/>
    </xf>
    <xf numFmtId="3" fontId="15" fillId="4" borderId="1" xfId="0" applyNumberFormat="1" applyFont="1" applyFill="1" applyBorder="1" applyAlignment="1">
      <alignment horizontal="left" vertical="center" wrapText="1" indent="3"/>
    </xf>
    <xf numFmtId="0" fontId="11" fillId="16" borderId="3" xfId="0" applyFont="1" applyFill="1" applyBorder="1" applyAlignment="1">
      <alignment vertical="center" wrapText="1"/>
    </xf>
    <xf numFmtId="0" fontId="15" fillId="16" borderId="3" xfId="0" applyFont="1" applyFill="1" applyBorder="1" applyAlignment="1">
      <alignment horizontal="left" vertical="center" wrapText="1" indent="1"/>
    </xf>
    <xf numFmtId="0" fontId="15" fillId="16" borderId="3" xfId="0" applyFont="1" applyFill="1" applyBorder="1" applyAlignment="1">
      <alignment horizontal="center" vertical="center" wrapText="1"/>
    </xf>
    <xf numFmtId="3" fontId="15" fillId="16" borderId="3" xfId="0" applyNumberFormat="1" applyFont="1" applyFill="1" applyBorder="1" applyAlignment="1">
      <alignment horizontal="left" vertical="center" wrapText="1" indent="2"/>
    </xf>
    <xf numFmtId="0" fontId="15" fillId="17" borderId="6" xfId="0" applyFont="1" applyFill="1" applyBorder="1" applyAlignment="1">
      <alignment horizontal="center" vertical="center" wrapText="1"/>
    </xf>
    <xf numFmtId="0" fontId="15" fillId="17" borderId="6" xfId="0" applyFont="1" applyFill="1" applyBorder="1" applyAlignment="1">
      <alignment horizontal="left" vertical="center" wrapText="1" indent="1"/>
    </xf>
    <xf numFmtId="3" fontId="15" fillId="17" borderId="6" xfId="0" applyNumberFormat="1" applyFont="1" applyFill="1" applyBorder="1" applyAlignment="1">
      <alignment horizontal="left" vertical="center" wrapText="1" indent="2"/>
    </xf>
    <xf numFmtId="0" fontId="0" fillId="18" borderId="0" xfId="0" applyFill="1" applyAlignment="1">
      <alignment horizontal="center"/>
    </xf>
    <xf numFmtId="0" fontId="0" fillId="18" borderId="0" xfId="0" applyFill="1"/>
    <xf numFmtId="0" fontId="11" fillId="18" borderId="5" xfId="0" applyFont="1" applyFill="1" applyBorder="1" applyAlignment="1">
      <alignment horizontal="center" vertical="center" wrapText="1"/>
    </xf>
    <xf numFmtId="0" fontId="12" fillId="18" borderId="5" xfId="0" applyFont="1" applyFill="1" applyBorder="1" applyAlignment="1">
      <alignment horizontal="left" vertical="center" wrapText="1" indent="1"/>
    </xf>
    <xf numFmtId="0" fontId="12" fillId="18" borderId="5" xfId="0" applyFont="1" applyFill="1" applyBorder="1" applyAlignment="1">
      <alignment horizontal="center" vertical="center" wrapText="1"/>
    </xf>
    <xf numFmtId="0" fontId="12" fillId="18" borderId="5" xfId="0" applyFont="1" applyFill="1" applyBorder="1" applyAlignment="1">
      <alignment horizontal="right" vertical="center" wrapText="1"/>
    </xf>
    <xf numFmtId="0" fontId="22" fillId="18" borderId="16" xfId="0" applyFont="1" applyFill="1" applyBorder="1" applyAlignment="1">
      <alignment horizontal="center" vertical="center"/>
    </xf>
    <xf numFmtId="0" fontId="23" fillId="18" borderId="17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0" fillId="2" borderId="1" xfId="0" applyFill="1" applyBorder="1"/>
    <xf numFmtId="0" fontId="20" fillId="2" borderId="16" xfId="0" applyFont="1" applyFill="1" applyBorder="1" applyAlignment="1">
      <alignment vertical="center"/>
    </xf>
    <xf numFmtId="0" fontId="20" fillId="2" borderId="17" xfId="0" applyFont="1" applyFill="1" applyBorder="1" applyAlignment="1">
      <alignment vertical="center"/>
    </xf>
    <xf numFmtId="0" fontId="20" fillId="2" borderId="17" xfId="0" applyFont="1" applyFill="1" applyBorder="1" applyAlignment="1">
      <alignment horizontal="right" vertical="center" wrapText="1"/>
    </xf>
    <xf numFmtId="10" fontId="21" fillId="3" borderId="16" xfId="0" applyNumberFormat="1" applyFont="1" applyFill="1" applyBorder="1" applyAlignment="1">
      <alignment horizontal="right" vertical="center"/>
    </xf>
    <xf numFmtId="0" fontId="0" fillId="0" borderId="39" xfId="0" applyBorder="1"/>
    <xf numFmtId="166" fontId="21" fillId="3" borderId="16" xfId="2" applyNumberFormat="1" applyFont="1" applyFill="1" applyBorder="1" applyAlignment="1">
      <alignment horizontal="right" vertical="center"/>
    </xf>
    <xf numFmtId="166" fontId="20" fillId="0" borderId="17" xfId="2" applyNumberFormat="1" applyFont="1" applyBorder="1" applyAlignment="1">
      <alignment vertical="center"/>
    </xf>
    <xf numFmtId="3" fontId="20" fillId="0" borderId="16" xfId="0" applyNumberFormat="1" applyFont="1" applyBorder="1" applyAlignment="1">
      <alignment horizontal="right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right" vertical="center" wrapText="1"/>
    </xf>
    <xf numFmtId="166" fontId="20" fillId="0" borderId="16" xfId="2" applyNumberFormat="1" applyFont="1" applyBorder="1" applyAlignment="1">
      <alignment horizontal="right" vertical="center"/>
    </xf>
    <xf numFmtId="166" fontId="20" fillId="0" borderId="17" xfId="2" applyNumberFormat="1" applyFont="1" applyBorder="1" applyAlignment="1">
      <alignment horizontal="right" vertical="center"/>
    </xf>
    <xf numFmtId="166" fontId="20" fillId="0" borderId="16" xfId="0" applyNumberFormat="1" applyFont="1" applyBorder="1" applyAlignment="1">
      <alignment horizontal="right" vertical="center"/>
    </xf>
    <xf numFmtId="166" fontId="20" fillId="0" borderId="17" xfId="0" applyNumberFormat="1" applyFont="1" applyBorder="1" applyAlignment="1">
      <alignment horizontal="right" vertical="center"/>
    </xf>
    <xf numFmtId="3" fontId="20" fillId="0" borderId="17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3" fontId="12" fillId="0" borderId="2" xfId="0" applyNumberFormat="1" applyFont="1" applyBorder="1" applyAlignment="1">
      <alignment horizontal="right" vertical="center" wrapText="1"/>
    </xf>
    <xf numFmtId="3" fontId="12" fillId="0" borderId="4" xfId="0" applyNumberFormat="1" applyFont="1" applyBorder="1" applyAlignment="1">
      <alignment horizontal="right" vertical="center" wrapText="1"/>
    </xf>
    <xf numFmtId="0" fontId="0" fillId="0" borderId="18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6" fillId="0" borderId="37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11" borderId="20" xfId="0" applyFont="1" applyFill="1" applyBorder="1" applyAlignment="1">
      <alignment horizontal="center" vertical="center"/>
    </xf>
    <xf numFmtId="0" fontId="26" fillId="11" borderId="30" xfId="0" applyFont="1" applyFill="1" applyBorder="1" applyAlignment="1">
      <alignment horizontal="center" vertical="center"/>
    </xf>
    <xf numFmtId="0" fontId="26" fillId="11" borderId="25" xfId="0" applyFont="1" applyFill="1" applyBorder="1" applyAlignment="1">
      <alignment horizontal="center" vertical="center"/>
    </xf>
    <xf numFmtId="0" fontId="26" fillId="11" borderId="19" xfId="0" applyFont="1" applyFill="1" applyBorder="1" applyAlignment="1">
      <alignment horizontal="center" vertical="center"/>
    </xf>
    <xf numFmtId="0" fontId="26" fillId="11" borderId="26" xfId="0" applyFont="1" applyFill="1" applyBorder="1" applyAlignment="1">
      <alignment horizontal="center" vertical="center"/>
    </xf>
    <xf numFmtId="0" fontId="26" fillId="11" borderId="17" xfId="0" applyFont="1" applyFill="1" applyBorder="1" applyAlignment="1">
      <alignment horizontal="center" vertical="center"/>
    </xf>
    <xf numFmtId="0" fontId="27" fillId="11" borderId="20" xfId="0" applyFont="1" applyFill="1" applyBorder="1" applyAlignment="1">
      <alignment horizontal="center" vertical="center" wrapText="1"/>
    </xf>
    <xf numFmtId="0" fontId="27" fillId="11" borderId="30" xfId="0" applyFont="1" applyFill="1" applyBorder="1" applyAlignment="1">
      <alignment horizontal="center" vertical="center" wrapText="1"/>
    </xf>
    <xf numFmtId="0" fontId="27" fillId="11" borderId="25" xfId="0" applyFont="1" applyFill="1" applyBorder="1" applyAlignment="1">
      <alignment horizontal="center" vertical="center" wrapText="1"/>
    </xf>
    <xf numFmtId="0" fontId="27" fillId="11" borderId="19" xfId="0" applyFont="1" applyFill="1" applyBorder="1" applyAlignment="1">
      <alignment horizontal="center" vertical="center" wrapText="1"/>
    </xf>
    <xf numFmtId="0" fontId="27" fillId="11" borderId="26" xfId="0" applyFont="1" applyFill="1" applyBorder="1" applyAlignment="1">
      <alignment horizontal="center" vertical="center" wrapText="1"/>
    </xf>
    <xf numFmtId="0" fontId="27" fillId="11" borderId="17" xfId="0" applyFont="1" applyFill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5" fillId="12" borderId="38" xfId="0" applyFont="1" applyFill="1" applyBorder="1" applyAlignment="1">
      <alignment horizontal="center" vertical="center"/>
    </xf>
    <xf numFmtId="0" fontId="25" fillId="12" borderId="29" xfId="0" applyFont="1" applyFill="1" applyBorder="1" applyAlignment="1">
      <alignment horizontal="center" vertical="center"/>
    </xf>
    <xf numFmtId="0" fontId="25" fillId="12" borderId="28" xfId="0" applyFont="1" applyFill="1" applyBorder="1" applyAlignment="1">
      <alignment horizontal="center" vertical="center"/>
    </xf>
    <xf numFmtId="0" fontId="25" fillId="7" borderId="20" xfId="0" applyFont="1" applyFill="1" applyBorder="1" applyAlignment="1">
      <alignment horizontal="center" vertical="center"/>
    </xf>
    <xf numFmtId="0" fontId="25" fillId="7" borderId="21" xfId="0" applyFont="1" applyFill="1" applyBorder="1" applyAlignment="1">
      <alignment horizontal="center" vertical="center"/>
    </xf>
    <xf numFmtId="0" fontId="25" fillId="7" borderId="22" xfId="0" applyFont="1" applyFill="1" applyBorder="1" applyAlignment="1">
      <alignment horizontal="center" vertical="center"/>
    </xf>
    <xf numFmtId="0" fontId="25" fillId="7" borderId="23" xfId="0" applyFont="1" applyFill="1" applyBorder="1" applyAlignment="1">
      <alignment horizontal="center" vertical="center"/>
    </xf>
    <xf numFmtId="0" fontId="25" fillId="7" borderId="32" xfId="0" applyFont="1" applyFill="1" applyBorder="1" applyAlignment="1">
      <alignment horizontal="center" vertical="center"/>
    </xf>
    <xf numFmtId="0" fontId="25" fillId="7" borderId="24" xfId="0" applyFont="1" applyFill="1" applyBorder="1" applyAlignment="1">
      <alignment horizontal="center" vertical="center"/>
    </xf>
    <xf numFmtId="0" fontId="25" fillId="7" borderId="33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0" fontId="26" fillId="0" borderId="34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11" borderId="24" xfId="0" applyFont="1" applyFill="1" applyBorder="1" applyAlignment="1">
      <alignment horizontal="center" vertical="center"/>
    </xf>
    <xf numFmtId="0" fontId="26" fillId="11" borderId="21" xfId="0" applyFont="1" applyFill="1" applyBorder="1" applyAlignment="1">
      <alignment horizontal="center" vertical="center"/>
    </xf>
    <xf numFmtId="0" fontId="26" fillId="11" borderId="18" xfId="0" applyFont="1" applyFill="1" applyBorder="1" applyAlignment="1">
      <alignment horizontal="center" vertical="center"/>
    </xf>
    <xf numFmtId="0" fontId="26" fillId="11" borderId="27" xfId="0" applyFont="1" applyFill="1" applyBorder="1" applyAlignment="1">
      <alignment horizontal="center" vertical="center"/>
    </xf>
    <xf numFmtId="0" fontId="26" fillId="0" borderId="36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2" fontId="21" fillId="3" borderId="5" xfId="0" applyNumberFormat="1" applyFont="1" applyFill="1" applyBorder="1" applyAlignment="1">
      <alignment horizontal="right" vertical="center"/>
    </xf>
    <xf numFmtId="0" fontId="9" fillId="0" borderId="1" xfId="0" applyFont="1" applyBorder="1"/>
    <xf numFmtId="0" fontId="9" fillId="0" borderId="40" xfId="0" applyFont="1" applyBorder="1"/>
    <xf numFmtId="0" fontId="9" fillId="0" borderId="40" xfId="0" applyFont="1" applyFill="1" applyBorder="1"/>
    <xf numFmtId="0" fontId="9" fillId="0" borderId="1" xfId="3" applyFont="1" applyBorder="1"/>
    <xf numFmtId="9" fontId="9" fillId="3" borderId="5" xfId="0" applyNumberFormat="1" applyFont="1" applyFill="1" applyBorder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PV@12%25" TargetMode="External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AE8D-281A-4B04-B27E-195551F4F5E9}">
  <dimension ref="A1:Q41"/>
  <sheetViews>
    <sheetView workbookViewId="0">
      <selection activeCell="E8" sqref="E8"/>
    </sheetView>
  </sheetViews>
  <sheetFormatPr defaultRowHeight="15"/>
  <cols>
    <col min="1" max="1" width="5.140625" style="2" customWidth="1"/>
    <col min="2" max="2" width="40.5703125" style="1" bestFit="1" customWidth="1"/>
    <col min="3" max="3" width="11.28515625" style="1" bestFit="1" customWidth="1"/>
    <col min="4" max="4" width="10.42578125" style="1" bestFit="1" customWidth="1"/>
    <col min="5" max="5" width="10" style="1" bestFit="1" customWidth="1"/>
    <col min="6" max="7" width="9.140625" style="1"/>
    <col min="8" max="8" width="40.5703125" style="1" bestFit="1" customWidth="1"/>
    <col min="9" max="9" width="15.140625" style="1" customWidth="1"/>
    <col min="10" max="10" width="11.7109375" style="1" customWidth="1"/>
    <col min="11" max="11" width="17.28515625" style="1" customWidth="1"/>
    <col min="12" max="13" width="9.140625" style="1"/>
    <col min="14" max="14" width="40.5703125" style="1" bestFit="1" customWidth="1"/>
    <col min="15" max="16" width="10.42578125" style="1" bestFit="1" customWidth="1"/>
    <col min="17" max="17" width="10" style="1" bestFit="1" customWidth="1"/>
    <col min="18" max="16384" width="9.140625" style="1"/>
  </cols>
  <sheetData>
    <row r="1" spans="1:17" ht="15" customHeight="1">
      <c r="A1" s="163" t="s">
        <v>33</v>
      </c>
      <c r="B1" s="163"/>
      <c r="C1" s="163"/>
      <c r="D1" s="163"/>
      <c r="E1" s="163"/>
      <c r="G1" s="163" t="s">
        <v>34</v>
      </c>
      <c r="H1" s="163"/>
      <c r="I1" s="163"/>
      <c r="J1" s="163"/>
      <c r="K1" s="163"/>
      <c r="M1" s="163" t="s">
        <v>35</v>
      </c>
      <c r="N1" s="163"/>
      <c r="O1" s="163"/>
      <c r="P1" s="163"/>
      <c r="Q1" s="163"/>
    </row>
    <row r="2" spans="1:17" ht="15" customHeight="1">
      <c r="A2" s="163"/>
      <c r="B2" s="163"/>
      <c r="C2" s="163"/>
      <c r="D2" s="163"/>
      <c r="E2" s="163"/>
      <c r="G2" s="163"/>
      <c r="H2" s="163"/>
      <c r="I2" s="163"/>
      <c r="J2" s="163"/>
      <c r="K2" s="163"/>
      <c r="M2" s="163"/>
      <c r="N2" s="163"/>
      <c r="O2" s="163"/>
      <c r="P2" s="163"/>
      <c r="Q2" s="163"/>
    </row>
    <row r="3" spans="1:17">
      <c r="A3" s="164"/>
      <c r="B3" s="165"/>
      <c r="C3" s="3" t="s">
        <v>0</v>
      </c>
      <c r="D3" s="3" t="s">
        <v>2</v>
      </c>
      <c r="E3" s="3" t="s">
        <v>4</v>
      </c>
      <c r="G3" s="164"/>
      <c r="H3" s="165"/>
      <c r="I3" s="3" t="s">
        <v>0</v>
      </c>
      <c r="J3" s="3" t="s">
        <v>2</v>
      </c>
      <c r="K3" s="3" t="s">
        <v>4</v>
      </c>
      <c r="M3" s="164"/>
      <c r="N3" s="165"/>
      <c r="O3" s="3" t="s">
        <v>0</v>
      </c>
      <c r="P3" s="3" t="s">
        <v>2</v>
      </c>
      <c r="Q3" s="3" t="s">
        <v>4</v>
      </c>
    </row>
    <row r="4" spans="1:17">
      <c r="A4" s="164"/>
      <c r="B4" s="165"/>
      <c r="C4" s="3" t="s">
        <v>1</v>
      </c>
      <c r="D4" s="3" t="s">
        <v>40</v>
      </c>
      <c r="E4" s="3" t="s">
        <v>41</v>
      </c>
      <c r="G4" s="164"/>
      <c r="H4" s="165"/>
      <c r="I4" s="3" t="s">
        <v>1</v>
      </c>
      <c r="J4" s="17" t="s">
        <v>40</v>
      </c>
      <c r="K4" s="17" t="s">
        <v>41</v>
      </c>
      <c r="M4" s="164"/>
      <c r="N4" s="165"/>
      <c r="O4" s="3" t="s">
        <v>1</v>
      </c>
      <c r="P4" s="3" t="s">
        <v>3</v>
      </c>
      <c r="Q4" s="3" t="s">
        <v>5</v>
      </c>
    </row>
    <row r="5" spans="1:17">
      <c r="A5" s="4"/>
      <c r="B5" s="5"/>
      <c r="C5" s="5"/>
      <c r="D5" s="5"/>
      <c r="E5" s="5"/>
      <c r="G5" s="4"/>
      <c r="H5" s="5"/>
      <c r="I5" s="5"/>
      <c r="J5" s="5"/>
      <c r="K5" s="5"/>
      <c r="M5" s="4"/>
      <c r="N5" s="5"/>
      <c r="O5" s="5"/>
      <c r="P5" s="5"/>
      <c r="Q5" s="5"/>
    </row>
    <row r="6" spans="1:17">
      <c r="A6" s="6" t="s">
        <v>6</v>
      </c>
      <c r="B6" s="7" t="s">
        <v>7</v>
      </c>
      <c r="C6" s="8"/>
      <c r="D6" s="8"/>
      <c r="E6" s="8"/>
      <c r="G6" s="6" t="s">
        <v>6</v>
      </c>
      <c r="H6" s="7" t="s">
        <v>7</v>
      </c>
      <c r="I6" s="8"/>
      <c r="J6" s="8"/>
      <c r="K6" s="8"/>
      <c r="M6" s="6" t="s">
        <v>6</v>
      </c>
      <c r="N6" s="7" t="s">
        <v>7</v>
      </c>
      <c r="O6" s="8"/>
      <c r="P6" s="8"/>
      <c r="Q6" s="8"/>
    </row>
    <row r="7" spans="1:17">
      <c r="A7" s="9">
        <v>1</v>
      </c>
      <c r="B7" s="8" t="s">
        <v>8</v>
      </c>
      <c r="C7" s="5"/>
      <c r="D7" s="5"/>
      <c r="E7" s="5"/>
      <c r="G7" s="9">
        <v>1</v>
      </c>
      <c r="H7" s="8" t="s">
        <v>8</v>
      </c>
      <c r="I7" s="5"/>
      <c r="J7" s="5"/>
      <c r="K7" s="5"/>
      <c r="M7" s="9">
        <v>1</v>
      </c>
      <c r="N7" s="8" t="s">
        <v>8</v>
      </c>
      <c r="O7" s="5"/>
      <c r="P7" s="5"/>
      <c r="Q7" s="5"/>
    </row>
    <row r="8" spans="1:17" ht="15.75">
      <c r="A8" s="9" t="s">
        <v>9</v>
      </c>
      <c r="B8" s="8" t="s">
        <v>37</v>
      </c>
      <c r="C8" s="15">
        <f>50000*0.696</f>
        <v>34800</v>
      </c>
      <c r="D8" s="15">
        <v>2310</v>
      </c>
      <c r="E8" s="18">
        <f>C8*D8/10^6</f>
        <v>80.388000000000005</v>
      </c>
      <c r="G8" s="9" t="s">
        <v>9</v>
      </c>
      <c r="H8" s="8" t="s">
        <v>37</v>
      </c>
      <c r="I8" s="10">
        <f>50000*0.69</f>
        <v>34500</v>
      </c>
      <c r="J8" s="10">
        <f>2310</f>
        <v>2310</v>
      </c>
      <c r="K8" s="10">
        <f>I8*J8/10^6</f>
        <v>79.694999999999993</v>
      </c>
      <c r="M8" s="9" t="s">
        <v>9</v>
      </c>
      <c r="N8" s="8"/>
      <c r="O8" s="10"/>
      <c r="P8" s="10"/>
      <c r="Q8" s="10"/>
    </row>
    <row r="9" spans="1:17" ht="15.75">
      <c r="A9" s="9" t="s">
        <v>10</v>
      </c>
      <c r="B9" s="8" t="s">
        <v>38</v>
      </c>
      <c r="C9" s="15">
        <f>50000*0.5629</f>
        <v>28144.999999999996</v>
      </c>
      <c r="D9" s="15">
        <v>2040</v>
      </c>
      <c r="E9" s="18">
        <f>C9*D9/10^6</f>
        <v>57.41579999999999</v>
      </c>
      <c r="G9" s="9" t="s">
        <v>10</v>
      </c>
      <c r="H9" s="8" t="s">
        <v>38</v>
      </c>
      <c r="I9" s="10">
        <f>0.56*50000</f>
        <v>28000.000000000004</v>
      </c>
      <c r="J9" s="24">
        <v>2040</v>
      </c>
      <c r="K9" s="10">
        <f>I9*J9/10^6</f>
        <v>57.120000000000005</v>
      </c>
      <c r="M9" s="9" t="s">
        <v>10</v>
      </c>
      <c r="N9" s="8"/>
      <c r="O9" s="10"/>
      <c r="P9" s="10"/>
      <c r="Q9" s="10"/>
    </row>
    <row r="10" spans="1:17" ht="15.75">
      <c r="A10" s="9" t="s">
        <v>11</v>
      </c>
      <c r="B10" s="8" t="s">
        <v>39</v>
      </c>
      <c r="C10" s="15">
        <f>50000*0.5</f>
        <v>25000</v>
      </c>
      <c r="D10" s="15">
        <v>210</v>
      </c>
      <c r="E10" s="18">
        <f>C10*D10/10^6</f>
        <v>5.25</v>
      </c>
      <c r="F10" s="28">
        <v>0.52</v>
      </c>
      <c r="G10" s="9" t="s">
        <v>11</v>
      </c>
      <c r="H10" s="8" t="s">
        <v>108</v>
      </c>
      <c r="I10" s="10">
        <f>0.5*50000</f>
        <v>25000</v>
      </c>
      <c r="J10" s="24">
        <v>210</v>
      </c>
      <c r="K10" s="10">
        <f>I10*J10/10^6</f>
        <v>5.25</v>
      </c>
      <c r="M10" s="9" t="s">
        <v>11</v>
      </c>
      <c r="N10" s="8"/>
      <c r="O10" s="10"/>
      <c r="P10" s="10"/>
      <c r="Q10" s="10"/>
    </row>
    <row r="11" spans="1:17" ht="15.75">
      <c r="A11" s="9"/>
      <c r="B11" s="8" t="s">
        <v>12</v>
      </c>
      <c r="C11" s="15">
        <f>SUM(C8:C10)</f>
        <v>87945</v>
      </c>
      <c r="D11" s="15">
        <f>SUM(D8:D10)</f>
        <v>4560</v>
      </c>
      <c r="E11" s="18">
        <f>SUM(E8:E10)</f>
        <v>143.0538</v>
      </c>
      <c r="F11" s="1">
        <f>E11/0.52</f>
        <v>275.10346153846154</v>
      </c>
      <c r="G11" s="9"/>
      <c r="H11" s="8" t="s">
        <v>12</v>
      </c>
      <c r="I11" s="11">
        <f>SUM(I8:I10)</f>
        <v>87500</v>
      </c>
      <c r="J11" s="11">
        <f>SUM(J8:J10)</f>
        <v>4560</v>
      </c>
      <c r="K11" s="11">
        <f>SUM(K8:K10)</f>
        <v>142.065</v>
      </c>
      <c r="L11" s="1">
        <f>K11/0.52</f>
        <v>273.20192307692304</v>
      </c>
      <c r="M11" s="9"/>
      <c r="N11" s="8" t="s">
        <v>12</v>
      </c>
      <c r="O11" s="11"/>
      <c r="P11" s="11"/>
      <c r="Q11" s="10"/>
    </row>
    <row r="12" spans="1:17" ht="15.75">
      <c r="A12" s="9">
        <v>2</v>
      </c>
      <c r="B12" s="8" t="s">
        <v>13</v>
      </c>
      <c r="C12" s="11"/>
      <c r="D12" s="11"/>
      <c r="E12" s="25">
        <f>F11*0.08</f>
        <v>22.008276923076924</v>
      </c>
      <c r="F12" s="28">
        <v>0.08</v>
      </c>
      <c r="G12" s="9">
        <v>2</v>
      </c>
      <c r="H12" s="8" t="s">
        <v>13</v>
      </c>
      <c r="I12" s="11"/>
      <c r="J12" s="11"/>
      <c r="K12" s="19">
        <v>22.008276923076924</v>
      </c>
      <c r="M12" s="9">
        <v>2</v>
      </c>
      <c r="N12" s="8" t="s">
        <v>13</v>
      </c>
      <c r="O12" s="11"/>
      <c r="P12" s="11"/>
      <c r="Q12" s="10"/>
    </row>
    <row r="13" spans="1:17" ht="15.75">
      <c r="A13" s="9">
        <v>3</v>
      </c>
      <c r="B13" s="8" t="s">
        <v>14</v>
      </c>
      <c r="C13" s="11"/>
      <c r="D13" s="11"/>
      <c r="E13" s="25"/>
      <c r="G13" s="9">
        <v>3</v>
      </c>
      <c r="H13" s="8" t="s">
        <v>14</v>
      </c>
      <c r="I13" s="11"/>
      <c r="J13" s="11"/>
      <c r="K13" s="25"/>
      <c r="M13" s="9">
        <v>3</v>
      </c>
      <c r="N13" s="8" t="s">
        <v>14</v>
      </c>
      <c r="O13" s="11"/>
      <c r="P13" s="11"/>
      <c r="Q13" s="10"/>
    </row>
    <row r="14" spans="1:17" ht="15.75">
      <c r="A14" s="9">
        <v>4</v>
      </c>
      <c r="B14" s="8" t="s">
        <v>15</v>
      </c>
      <c r="C14" s="11"/>
      <c r="D14" s="11"/>
      <c r="E14" s="25"/>
      <c r="G14" s="9">
        <v>4</v>
      </c>
      <c r="H14" s="8" t="s">
        <v>15</v>
      </c>
      <c r="I14" s="11"/>
      <c r="J14" s="11"/>
      <c r="K14" s="25"/>
      <c r="M14" s="9">
        <v>4</v>
      </c>
      <c r="N14" s="8" t="s">
        <v>15</v>
      </c>
      <c r="O14" s="11"/>
      <c r="P14" s="11"/>
      <c r="Q14" s="10"/>
    </row>
    <row r="15" spans="1:17" ht="15.75">
      <c r="A15" s="6"/>
      <c r="B15" s="7" t="s">
        <v>16</v>
      </c>
      <c r="C15" s="14">
        <f>C11+C12+C13+C14</f>
        <v>87945</v>
      </c>
      <c r="D15" s="12"/>
      <c r="E15" s="20"/>
      <c r="G15" s="6"/>
      <c r="H15" s="7" t="s">
        <v>16</v>
      </c>
      <c r="I15" s="14">
        <f>I11+I12+I13+I14</f>
        <v>87500</v>
      </c>
      <c r="J15" s="12"/>
      <c r="K15" s="20"/>
      <c r="M15" s="6"/>
      <c r="N15" s="7" t="s">
        <v>16</v>
      </c>
      <c r="O15" s="14">
        <f>O11+O12+O13+O14</f>
        <v>0</v>
      </c>
      <c r="P15" s="12"/>
      <c r="Q15" s="13"/>
    </row>
    <row r="16" spans="1:17" ht="15.75">
      <c r="A16" s="9"/>
      <c r="B16" s="8"/>
      <c r="C16" s="11"/>
      <c r="D16" s="11"/>
      <c r="E16" s="19"/>
      <c r="G16" s="9"/>
      <c r="H16" s="8"/>
      <c r="I16" s="11"/>
      <c r="J16" s="11"/>
      <c r="K16" s="19"/>
      <c r="M16" s="9"/>
      <c r="N16" s="8"/>
      <c r="O16" s="11"/>
      <c r="P16" s="11"/>
      <c r="Q16" s="11"/>
    </row>
    <row r="17" spans="1:17" ht="15.75">
      <c r="A17" s="6" t="s">
        <v>17</v>
      </c>
      <c r="B17" s="7" t="s">
        <v>18</v>
      </c>
      <c r="C17" s="11"/>
      <c r="D17" s="11"/>
      <c r="E17" s="19"/>
      <c r="G17" s="6" t="s">
        <v>17</v>
      </c>
      <c r="H17" s="7" t="s">
        <v>18</v>
      </c>
      <c r="I17" s="11"/>
      <c r="J17" s="11"/>
      <c r="K17" s="19"/>
      <c r="M17" s="6" t="s">
        <v>17</v>
      </c>
      <c r="N17" s="7" t="s">
        <v>18</v>
      </c>
      <c r="O17" s="11"/>
      <c r="P17" s="11"/>
      <c r="Q17" s="11"/>
    </row>
    <row r="18" spans="1:17" ht="15.75">
      <c r="A18" s="9">
        <v>1</v>
      </c>
      <c r="B18" s="8" t="s">
        <v>19</v>
      </c>
      <c r="C18" s="11"/>
      <c r="D18" s="11"/>
      <c r="E18" s="25">
        <f>F11*0.05</f>
        <v>13.755173076923079</v>
      </c>
      <c r="F18" s="28">
        <v>0.05</v>
      </c>
      <c r="G18" s="9">
        <v>1</v>
      </c>
      <c r="H18" s="8" t="s">
        <v>19</v>
      </c>
      <c r="I18" s="11"/>
      <c r="J18" s="11"/>
      <c r="K18" s="25">
        <f>L11*0.08</f>
        <v>21.856153846153845</v>
      </c>
      <c r="L18" s="28">
        <v>0.08</v>
      </c>
      <c r="M18" s="9">
        <v>1</v>
      </c>
      <c r="N18" s="8" t="s">
        <v>19</v>
      </c>
      <c r="O18" s="11"/>
      <c r="P18" s="11"/>
      <c r="Q18" s="10"/>
    </row>
    <row r="19" spans="1:17" ht="15.75">
      <c r="A19" s="9">
        <v>2</v>
      </c>
      <c r="B19" s="8" t="s">
        <v>20</v>
      </c>
      <c r="C19" s="8"/>
      <c r="D19" s="11"/>
      <c r="E19" s="31"/>
      <c r="G19" s="9">
        <v>2</v>
      </c>
      <c r="H19" s="8" t="s">
        <v>20</v>
      </c>
      <c r="I19" s="11"/>
      <c r="J19" s="11"/>
      <c r="K19" s="31"/>
      <c r="M19" s="9">
        <v>2</v>
      </c>
      <c r="N19" s="8" t="s">
        <v>20</v>
      </c>
      <c r="O19" s="11"/>
      <c r="P19" s="11"/>
      <c r="Q19" s="10"/>
    </row>
    <row r="20" spans="1:17" ht="15.75">
      <c r="A20" s="9">
        <v>3</v>
      </c>
      <c r="B20" s="30" t="s">
        <v>21</v>
      </c>
      <c r="C20" s="10"/>
      <c r="D20" s="10"/>
      <c r="E20" s="25">
        <f>F11*0.06</f>
        <v>16.506207692307694</v>
      </c>
      <c r="F20" s="28">
        <v>0.08</v>
      </c>
      <c r="G20" s="9">
        <v>3</v>
      </c>
      <c r="H20" s="8" t="s">
        <v>21</v>
      </c>
      <c r="I20" s="10"/>
      <c r="J20" s="10"/>
      <c r="K20" s="25">
        <f>L11*0.1</f>
        <v>27.320192307692306</v>
      </c>
      <c r="L20" s="1">
        <v>8</v>
      </c>
      <c r="M20" s="9">
        <v>3</v>
      </c>
      <c r="N20" s="8" t="s">
        <v>21</v>
      </c>
      <c r="O20" s="10"/>
      <c r="P20" s="10"/>
      <c r="Q20" s="10"/>
    </row>
    <row r="21" spans="1:17" ht="15.75">
      <c r="A21" s="16">
        <v>4</v>
      </c>
      <c r="B21" s="32" t="s">
        <v>109</v>
      </c>
      <c r="C21" s="10"/>
      <c r="D21" s="10"/>
      <c r="E21" s="25">
        <f>F11*F21</f>
        <v>5.5020692307692309</v>
      </c>
      <c r="F21" s="28">
        <v>0.02</v>
      </c>
      <c r="G21" s="16">
        <v>4</v>
      </c>
      <c r="H21" s="32" t="s">
        <v>109</v>
      </c>
      <c r="I21" s="10"/>
      <c r="J21" s="10"/>
      <c r="K21" s="25">
        <v>5.5</v>
      </c>
      <c r="L21" s="28">
        <v>0.02</v>
      </c>
      <c r="M21" s="16"/>
      <c r="N21" s="8"/>
      <c r="O21" s="10"/>
      <c r="P21" s="10"/>
      <c r="Q21" s="10"/>
    </row>
    <row r="22" spans="1:17" ht="15.75">
      <c r="A22" s="16">
        <v>5</v>
      </c>
      <c r="B22" s="32" t="s">
        <v>110</v>
      </c>
      <c r="C22" s="10"/>
      <c r="D22" s="10"/>
      <c r="E22" s="25">
        <f>F11*F22</f>
        <v>8.2531038461538468</v>
      </c>
      <c r="F22" s="28">
        <v>0.03</v>
      </c>
      <c r="G22" s="16">
        <v>5</v>
      </c>
      <c r="H22" s="32" t="s">
        <v>110</v>
      </c>
      <c r="I22" s="10"/>
      <c r="J22" s="10"/>
      <c r="K22" s="25">
        <f>8.25</f>
        <v>8.25</v>
      </c>
      <c r="L22" s="28">
        <f>K22/L11</f>
        <v>3.0197444831591178E-2</v>
      </c>
      <c r="M22" s="16"/>
      <c r="N22" s="8"/>
      <c r="O22" s="10"/>
      <c r="P22" s="10"/>
      <c r="Q22" s="10"/>
    </row>
    <row r="23" spans="1:17" ht="15.75">
      <c r="A23" s="9">
        <v>6</v>
      </c>
      <c r="B23" s="8" t="s">
        <v>22</v>
      </c>
      <c r="C23" s="10"/>
      <c r="D23" s="11"/>
      <c r="E23" s="25">
        <f>F11*0.04</f>
        <v>11.004138461538462</v>
      </c>
      <c r="F23" s="28">
        <v>0.04</v>
      </c>
      <c r="G23" s="9">
        <v>6</v>
      </c>
      <c r="H23" s="8" t="s">
        <v>22</v>
      </c>
      <c r="I23" s="10"/>
      <c r="J23" s="11"/>
      <c r="K23" s="25">
        <f>L11*0.06</f>
        <v>16.39211538461538</v>
      </c>
      <c r="L23" s="28">
        <v>0.06</v>
      </c>
      <c r="M23" s="9">
        <v>4</v>
      </c>
      <c r="N23" s="8" t="s">
        <v>22</v>
      </c>
      <c r="O23" s="10"/>
      <c r="P23" s="11"/>
      <c r="Q23" s="10"/>
    </row>
    <row r="24" spans="1:17" ht="15.75">
      <c r="A24" s="6"/>
      <c r="B24" s="7" t="s">
        <v>23</v>
      </c>
      <c r="C24" s="14">
        <f>SUM(C18:C23)</f>
        <v>0</v>
      </c>
      <c r="D24" s="12"/>
      <c r="E24" s="20"/>
      <c r="G24" s="6"/>
      <c r="H24" s="7" t="s">
        <v>23</v>
      </c>
      <c r="I24" s="14">
        <f>SUM(I18:I23)</f>
        <v>0</v>
      </c>
      <c r="J24" s="12"/>
      <c r="K24" s="27"/>
      <c r="M24" s="6"/>
      <c r="N24" s="7" t="s">
        <v>23</v>
      </c>
      <c r="O24" s="14">
        <f>SUM(O18:O23)</f>
        <v>0</v>
      </c>
      <c r="P24" s="12"/>
      <c r="Q24" s="13"/>
    </row>
    <row r="25" spans="1:17" ht="15.75">
      <c r="A25" s="9"/>
      <c r="B25" s="8"/>
      <c r="C25" s="15"/>
      <c r="D25" s="11"/>
      <c r="E25" s="11"/>
      <c r="G25" s="9"/>
      <c r="H25" s="8"/>
      <c r="I25" s="15"/>
      <c r="J25" s="11"/>
      <c r="K25" s="26"/>
      <c r="M25" s="9"/>
      <c r="N25" s="8"/>
      <c r="O25" s="15"/>
      <c r="P25" s="11"/>
      <c r="Q25" s="11"/>
    </row>
    <row r="26" spans="1:17" ht="15.75">
      <c r="A26" s="6" t="s">
        <v>24</v>
      </c>
      <c r="B26" s="7" t="s">
        <v>25</v>
      </c>
      <c r="C26" s="14">
        <f>C24+C15</f>
        <v>87945</v>
      </c>
      <c r="D26" s="12"/>
      <c r="E26" s="13"/>
      <c r="G26" s="6" t="s">
        <v>24</v>
      </c>
      <c r="H26" s="7" t="s">
        <v>25</v>
      </c>
      <c r="I26" s="14">
        <f>I24+I15</f>
        <v>87500</v>
      </c>
      <c r="J26" s="12"/>
      <c r="K26" s="27"/>
      <c r="M26" s="6" t="s">
        <v>24</v>
      </c>
      <c r="N26" s="7" t="s">
        <v>25</v>
      </c>
      <c r="O26" s="14">
        <f>O24+O15</f>
        <v>0</v>
      </c>
      <c r="P26" s="12"/>
      <c r="Q26" s="13"/>
    </row>
    <row r="27" spans="1:17" ht="15.75">
      <c r="A27" s="9"/>
      <c r="B27" s="8"/>
      <c r="C27" s="15"/>
      <c r="D27" s="11"/>
      <c r="E27" s="11"/>
      <c r="G27" s="9"/>
      <c r="H27" s="8"/>
      <c r="I27" s="15"/>
      <c r="J27" s="11"/>
      <c r="K27" s="26"/>
      <c r="M27" s="9"/>
      <c r="N27" s="8"/>
      <c r="O27" s="15"/>
      <c r="P27" s="11"/>
      <c r="Q27" s="11"/>
    </row>
    <row r="28" spans="1:17" ht="15.75">
      <c r="A28" s="6" t="s">
        <v>26</v>
      </c>
      <c r="B28" s="7" t="s">
        <v>27</v>
      </c>
      <c r="C28" s="14">
        <v>0</v>
      </c>
      <c r="D28" s="12"/>
      <c r="E28" s="13"/>
      <c r="G28" s="6" t="s">
        <v>26</v>
      </c>
      <c r="H28" s="7" t="s">
        <v>27</v>
      </c>
      <c r="I28" s="14">
        <v>0</v>
      </c>
      <c r="J28" s="12"/>
      <c r="K28" s="27"/>
      <c r="M28" s="6" t="s">
        <v>26</v>
      </c>
      <c r="N28" s="7" t="s">
        <v>27</v>
      </c>
      <c r="O28" s="14">
        <v>0</v>
      </c>
      <c r="P28" s="12"/>
      <c r="Q28" s="13"/>
    </row>
    <row r="29" spans="1:17" ht="15.75">
      <c r="A29" s="9"/>
      <c r="B29" s="8"/>
      <c r="C29" s="15"/>
      <c r="D29" s="11"/>
      <c r="E29" s="11"/>
      <c r="G29" s="9"/>
      <c r="H29" s="8"/>
      <c r="I29" s="15"/>
      <c r="J29" s="11"/>
      <c r="K29" s="11"/>
      <c r="M29" s="9"/>
      <c r="N29" s="8"/>
      <c r="O29" s="15"/>
      <c r="P29" s="11"/>
      <c r="Q29" s="11"/>
    </row>
    <row r="30" spans="1:17" ht="15.75">
      <c r="A30" s="6" t="s">
        <v>28</v>
      </c>
      <c r="B30" s="7" t="s">
        <v>29</v>
      </c>
      <c r="C30" s="14">
        <f>C28+C26+C24</f>
        <v>87945</v>
      </c>
      <c r="D30" s="12"/>
      <c r="E30" s="12"/>
      <c r="G30" s="6" t="s">
        <v>28</v>
      </c>
      <c r="H30" s="7" t="s">
        <v>29</v>
      </c>
      <c r="I30" s="14">
        <f>I28+I26+I24</f>
        <v>87500</v>
      </c>
      <c r="J30" s="12"/>
      <c r="K30" s="12"/>
      <c r="M30" s="6" t="s">
        <v>28</v>
      </c>
      <c r="N30" s="7" t="s">
        <v>29</v>
      </c>
      <c r="O30" s="14">
        <f>O28+O26+O24</f>
        <v>0</v>
      </c>
      <c r="P30" s="12"/>
      <c r="Q30" s="12"/>
    </row>
    <row r="31" spans="1:17" ht="15.75">
      <c r="A31" s="9"/>
      <c r="B31" s="8"/>
      <c r="C31" s="11"/>
      <c r="D31" s="11"/>
      <c r="E31" s="11"/>
      <c r="G31" s="9"/>
      <c r="H31" s="8"/>
      <c r="I31" s="11"/>
      <c r="J31" s="11"/>
      <c r="K31" s="11"/>
      <c r="M31" s="9"/>
      <c r="N31" s="8"/>
      <c r="O31" s="11"/>
      <c r="P31" s="11"/>
      <c r="Q31" s="11"/>
    </row>
    <row r="32" spans="1:17" ht="15.75">
      <c r="A32" s="6" t="s">
        <v>30</v>
      </c>
      <c r="B32" s="7" t="s">
        <v>36</v>
      </c>
      <c r="C32" s="14">
        <f>0</f>
        <v>0</v>
      </c>
      <c r="D32" s="14">
        <v>52</v>
      </c>
      <c r="E32" s="14">
        <v>7.2</v>
      </c>
      <c r="F32" s="29">
        <f>(F23*E32)/E23</f>
        <v>2.6171971663807605E-2</v>
      </c>
      <c r="G32" s="6" t="s">
        <v>30</v>
      </c>
      <c r="H32" s="7" t="s">
        <v>36</v>
      </c>
      <c r="I32" s="14">
        <f>0</f>
        <v>0</v>
      </c>
      <c r="J32" s="12">
        <f>K37</f>
        <v>68.64</v>
      </c>
      <c r="K32" s="20">
        <f>J32/7.33</f>
        <v>9.3642564802182804</v>
      </c>
      <c r="M32" s="6" t="s">
        <v>30</v>
      </c>
      <c r="N32" s="7" t="s">
        <v>36</v>
      </c>
      <c r="O32" s="14">
        <f>0</f>
        <v>0</v>
      </c>
      <c r="P32" s="12"/>
      <c r="Q32" s="13"/>
    </row>
    <row r="33" spans="1:17" ht="15.75">
      <c r="A33" s="6"/>
      <c r="B33" s="7"/>
      <c r="C33" s="14"/>
      <c r="D33" s="12"/>
      <c r="E33" s="12"/>
      <c r="G33" s="6"/>
      <c r="H33" s="7"/>
      <c r="I33" s="14"/>
      <c r="J33" s="12"/>
      <c r="K33" s="12"/>
      <c r="M33" s="6"/>
      <c r="N33" s="7"/>
      <c r="O33" s="14"/>
      <c r="P33" s="12"/>
      <c r="Q33" s="12"/>
    </row>
    <row r="34" spans="1:17" ht="15.75">
      <c r="A34" s="6" t="s">
        <v>31</v>
      </c>
      <c r="B34" s="7" t="s">
        <v>32</v>
      </c>
      <c r="C34" s="14">
        <f>C30+C32</f>
        <v>87945</v>
      </c>
      <c r="D34" s="12"/>
      <c r="E34" s="20" t="e" cm="1">
        <f t="array" ref="E34">SUM(E11:E14+E18:E23+E26+E28+E30+E32)</f>
        <v>#N/A</v>
      </c>
      <c r="G34" s="6" t="s">
        <v>31</v>
      </c>
      <c r="H34" s="7" t="s">
        <v>32</v>
      </c>
      <c r="I34" s="14">
        <f>I30+I32</f>
        <v>87500</v>
      </c>
      <c r="J34" s="12"/>
      <c r="K34" s="13"/>
      <c r="M34" s="6" t="s">
        <v>31</v>
      </c>
      <c r="N34" s="7" t="s">
        <v>32</v>
      </c>
      <c r="O34" s="14">
        <f>O30+O32</f>
        <v>0</v>
      </c>
      <c r="P34" s="12"/>
      <c r="Q34" s="13"/>
    </row>
    <row r="36" spans="1:17">
      <c r="C36" s="1">
        <v>1200</v>
      </c>
    </row>
    <row r="37" spans="1:17">
      <c r="C37" s="1">
        <v>750</v>
      </c>
      <c r="K37" s="1">
        <f>1300*0.0528</f>
        <v>68.64</v>
      </c>
    </row>
    <row r="38" spans="1:17">
      <c r="D38" s="1">
        <f>1000*0.0528</f>
        <v>52.8</v>
      </c>
    </row>
    <row r="39" spans="1:17">
      <c r="B39" s="1" t="s">
        <v>42</v>
      </c>
    </row>
    <row r="40" spans="1:17">
      <c r="D40" s="1">
        <f>D38*10</f>
        <v>528</v>
      </c>
    </row>
    <row r="41" spans="1:17">
      <c r="D41" s="1">
        <f>D40/73.3</f>
        <v>7.2032742155525238</v>
      </c>
    </row>
  </sheetData>
  <mergeCells count="9">
    <mergeCell ref="M1:Q2"/>
    <mergeCell ref="M3:M4"/>
    <mergeCell ref="N3:N4"/>
    <mergeCell ref="A1:E2"/>
    <mergeCell ref="A3:A4"/>
    <mergeCell ref="B3:B4"/>
    <mergeCell ref="G1:K2"/>
    <mergeCell ref="G3:G4"/>
    <mergeCell ref="H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4B26-ADF1-483D-9127-5D323511F757}">
  <dimension ref="A1:H18"/>
  <sheetViews>
    <sheetView workbookViewId="0">
      <selection activeCell="C15" sqref="C15"/>
    </sheetView>
  </sheetViews>
  <sheetFormatPr defaultRowHeight="15"/>
  <cols>
    <col min="1" max="1" width="27.5703125" bestFit="1" customWidth="1"/>
  </cols>
  <sheetData>
    <row r="1" spans="1:2">
      <c r="A1" s="166" t="s">
        <v>43</v>
      </c>
      <c r="B1" s="166"/>
    </row>
    <row r="2" spans="1:2">
      <c r="A2" t="s">
        <v>44</v>
      </c>
    </row>
    <row r="3" spans="1:2">
      <c r="A3" t="s">
        <v>45</v>
      </c>
    </row>
    <row r="4" spans="1:2">
      <c r="A4" t="s">
        <v>46</v>
      </c>
    </row>
    <row r="5" spans="1:2">
      <c r="A5" t="s">
        <v>47</v>
      </c>
    </row>
    <row r="6" spans="1:2">
      <c r="A6" t="s">
        <v>48</v>
      </c>
    </row>
    <row r="7" spans="1:2">
      <c r="A7" t="s">
        <v>49</v>
      </c>
    </row>
    <row r="8" spans="1:2">
      <c r="A8" t="s">
        <v>50</v>
      </c>
    </row>
    <row r="9" spans="1:2">
      <c r="A9" t="s">
        <v>51</v>
      </c>
    </row>
    <row r="10" spans="1:2">
      <c r="A10" t="s">
        <v>52</v>
      </c>
    </row>
    <row r="11" spans="1:2">
      <c r="A11" t="s">
        <v>53</v>
      </c>
    </row>
    <row r="12" spans="1:2">
      <c r="A12" t="s">
        <v>54</v>
      </c>
    </row>
    <row r="13" spans="1:2">
      <c r="A13" t="s">
        <v>55</v>
      </c>
    </row>
    <row r="14" spans="1:2">
      <c r="A14" t="s">
        <v>57</v>
      </c>
    </row>
    <row r="15" spans="1:2">
      <c r="A15" t="s">
        <v>56</v>
      </c>
    </row>
    <row r="17" spans="7:8">
      <c r="G17">
        <f>12</f>
        <v>12</v>
      </c>
    </row>
    <row r="18" spans="7:8">
      <c r="G18">
        <f>814292</f>
        <v>814292</v>
      </c>
      <c r="H18">
        <f>G18*G17</f>
        <v>9771504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C1B0-BA47-475C-809D-098B705D64EF}">
  <dimension ref="A1:I85"/>
  <sheetViews>
    <sheetView workbookViewId="0">
      <pane ySplit="2" topLeftCell="A16" activePane="bottomLeft" state="frozen"/>
      <selection pane="bottomLeft" activeCell="D16" sqref="D16"/>
    </sheetView>
  </sheetViews>
  <sheetFormatPr defaultRowHeight="15"/>
  <cols>
    <col min="1" max="1" width="20.140625" style="21" customWidth="1"/>
    <col min="2" max="2" width="54.28515625" bestFit="1" customWidth="1"/>
    <col min="3" max="3" width="23" customWidth="1"/>
    <col min="4" max="4" width="14.7109375" customWidth="1"/>
    <col min="5" max="5" width="22.28515625" customWidth="1"/>
    <col min="6" max="6" width="49.85546875" bestFit="1" customWidth="1"/>
  </cols>
  <sheetData>
    <row r="1" spans="1:9" ht="15.75" thickBot="1">
      <c r="A1" s="169" t="s">
        <v>219</v>
      </c>
      <c r="B1" s="169"/>
      <c r="C1" s="169"/>
      <c r="D1" s="169"/>
      <c r="E1" s="169"/>
    </row>
    <row r="2" spans="1:9" ht="15.75" thickBot="1">
      <c r="A2" s="140"/>
      <c r="B2" s="141" t="s">
        <v>111</v>
      </c>
      <c r="C2" s="142" t="s">
        <v>112</v>
      </c>
      <c r="D2" s="142" t="s">
        <v>221</v>
      </c>
      <c r="E2" s="143" t="s">
        <v>113</v>
      </c>
      <c r="F2" t="s">
        <v>217</v>
      </c>
    </row>
    <row r="3" spans="1:9" ht="22.5" customHeight="1" thickBot="1">
      <c r="A3" s="70">
        <v>1</v>
      </c>
      <c r="B3" s="71" t="s">
        <v>187</v>
      </c>
      <c r="C3" s="34">
        <v>1302</v>
      </c>
      <c r="D3" s="34">
        <v>1</v>
      </c>
      <c r="E3" s="36">
        <v>22245</v>
      </c>
      <c r="H3">
        <f>350*0.25</f>
        <v>87.5</v>
      </c>
    </row>
    <row r="4" spans="1:9" ht="15.75" thickBot="1">
      <c r="A4" s="70">
        <v>2</v>
      </c>
      <c r="B4" s="71" t="s">
        <v>188</v>
      </c>
      <c r="C4" s="37">
        <v>292</v>
      </c>
      <c r="D4" s="37">
        <v>1</v>
      </c>
      <c r="E4" s="38">
        <v>103473</v>
      </c>
    </row>
    <row r="5" spans="1:9" ht="15.75" thickBot="1">
      <c r="A5" s="70">
        <v>3</v>
      </c>
      <c r="B5" s="71" t="s">
        <v>189</v>
      </c>
      <c r="C5" s="40" t="s">
        <v>114</v>
      </c>
      <c r="D5" s="36">
        <v>1</v>
      </c>
    </row>
    <row r="6" spans="1:9" ht="15.75" thickBot="1">
      <c r="A6" s="70">
        <v>4</v>
      </c>
      <c r="B6" s="71" t="s">
        <v>190</v>
      </c>
      <c r="C6" s="40" t="s">
        <v>114</v>
      </c>
      <c r="D6" s="36">
        <v>1</v>
      </c>
      <c r="I6">
        <f>1086*0.4</f>
        <v>434.40000000000003</v>
      </c>
    </row>
    <row r="7" spans="1:9" ht="15.75" thickBot="1">
      <c r="A7" s="70">
        <v>5</v>
      </c>
      <c r="B7" s="71" t="s">
        <v>191</v>
      </c>
      <c r="C7" s="37">
        <v>84</v>
      </c>
      <c r="D7" s="37">
        <v>1</v>
      </c>
      <c r="E7" s="38">
        <v>34297</v>
      </c>
    </row>
    <row r="8" spans="1:9" ht="15" customHeight="1" thickBot="1">
      <c r="A8" s="70">
        <v>6</v>
      </c>
      <c r="B8" s="71" t="s">
        <v>192</v>
      </c>
      <c r="C8" s="41">
        <v>273</v>
      </c>
      <c r="D8" s="40">
        <v>1</v>
      </c>
      <c r="E8" s="40">
        <v>7546</v>
      </c>
    </row>
    <row r="9" spans="1:9" ht="15" customHeight="1" thickBot="1">
      <c r="A9" s="70">
        <v>7</v>
      </c>
      <c r="B9" s="71" t="s">
        <v>193</v>
      </c>
      <c r="C9" s="39" t="s">
        <v>270</v>
      </c>
      <c r="D9" s="40">
        <v>1</v>
      </c>
      <c r="E9" s="36">
        <v>45816</v>
      </c>
    </row>
    <row r="10" spans="1:9" ht="15.75" thickBot="1">
      <c r="A10" s="70">
        <v>8</v>
      </c>
      <c r="B10" s="71" t="s">
        <v>194</v>
      </c>
      <c r="C10" s="41">
        <v>563</v>
      </c>
      <c r="D10" s="40">
        <v>2</v>
      </c>
      <c r="E10" s="36">
        <v>27896</v>
      </c>
    </row>
    <row r="11" spans="1:9" ht="15.75" thickBot="1">
      <c r="A11" s="70">
        <v>9</v>
      </c>
      <c r="B11" s="71" t="s">
        <v>195</v>
      </c>
      <c r="C11" t="s">
        <v>269</v>
      </c>
      <c r="D11" s="39"/>
      <c r="E11" s="39"/>
      <c r="F11" t="s">
        <v>218</v>
      </c>
    </row>
    <row r="12" spans="1:9" ht="15.75" thickBot="1">
      <c r="A12" s="70">
        <v>10</v>
      </c>
      <c r="B12" s="71" t="s">
        <v>196</v>
      </c>
      <c r="D12" s="74">
        <v>2</v>
      </c>
      <c r="E12" s="74"/>
    </row>
    <row r="13" spans="1:9" ht="15.75" thickBot="1">
      <c r="A13" s="70">
        <v>12</v>
      </c>
      <c r="B13" s="71" t="s">
        <v>197</v>
      </c>
      <c r="D13" s="42">
        <v>1</v>
      </c>
      <c r="E13" s="42"/>
    </row>
    <row r="14" spans="1:9" ht="15.75" thickBot="1">
      <c r="A14" s="70">
        <v>13</v>
      </c>
      <c r="B14" s="71" t="s">
        <v>198</v>
      </c>
      <c r="D14">
        <v>1</v>
      </c>
    </row>
    <row r="15" spans="1:9" ht="15.75" thickBot="1">
      <c r="A15" s="70">
        <v>14</v>
      </c>
      <c r="B15" s="71" t="s">
        <v>199</v>
      </c>
      <c r="D15">
        <v>1</v>
      </c>
      <c r="F15">
        <f>C85*73</f>
        <v>77602212</v>
      </c>
    </row>
    <row r="16" spans="1:9" ht="15.75" thickBot="1">
      <c r="A16" s="70">
        <v>15</v>
      </c>
      <c r="B16" s="71" t="s">
        <v>200</v>
      </c>
      <c r="C16" t="s">
        <v>271</v>
      </c>
      <c r="D16">
        <v>1</v>
      </c>
    </row>
    <row r="17" spans="1:5" ht="15.75" thickBot="1">
      <c r="A17" s="70">
        <v>16</v>
      </c>
      <c r="B17" s="71" t="s">
        <v>201</v>
      </c>
      <c r="D17">
        <v>1</v>
      </c>
    </row>
    <row r="18" spans="1:5" ht="15.75" thickBot="1">
      <c r="A18" s="70">
        <v>17</v>
      </c>
      <c r="B18" s="71" t="s">
        <v>202</v>
      </c>
      <c r="D18">
        <v>1</v>
      </c>
    </row>
    <row r="19" spans="1:5" ht="15.75" thickBot="1">
      <c r="A19" s="70">
        <v>18</v>
      </c>
      <c r="B19" s="71" t="s">
        <v>203</v>
      </c>
      <c r="D19">
        <v>1</v>
      </c>
    </row>
    <row r="20" spans="1:5" ht="15.75" thickBot="1">
      <c r="A20" s="70">
        <v>19</v>
      </c>
      <c r="B20" s="71" t="s">
        <v>204</v>
      </c>
      <c r="D20">
        <v>1</v>
      </c>
    </row>
    <row r="21" spans="1:5" ht="15.75" thickBot="1">
      <c r="A21" s="70">
        <v>20</v>
      </c>
      <c r="B21" s="71" t="s">
        <v>205</v>
      </c>
      <c r="D21">
        <v>1</v>
      </c>
    </row>
    <row r="22" spans="1:5" ht="15.75" thickBot="1">
      <c r="A22" s="70">
        <v>21</v>
      </c>
      <c r="B22" s="71" t="s">
        <v>206</v>
      </c>
      <c r="D22">
        <v>1</v>
      </c>
    </row>
    <row r="23" spans="1:5" ht="15.75" thickBot="1">
      <c r="A23" s="70">
        <v>22</v>
      </c>
      <c r="B23" s="71" t="s">
        <v>207</v>
      </c>
      <c r="D23">
        <v>1</v>
      </c>
    </row>
    <row r="24" spans="1:5" ht="15.75" thickBot="1">
      <c r="A24" s="70">
        <v>23</v>
      </c>
      <c r="B24" s="71" t="s">
        <v>208</v>
      </c>
      <c r="D24">
        <v>1</v>
      </c>
    </row>
    <row r="25" spans="1:5" ht="15.75" thickBot="1">
      <c r="A25" s="70">
        <v>24</v>
      </c>
      <c r="B25" s="71" t="s">
        <v>209</v>
      </c>
      <c r="D25">
        <v>1</v>
      </c>
    </row>
    <row r="26" spans="1:5" ht="15.75" thickBot="1">
      <c r="A26" s="70">
        <v>25</v>
      </c>
      <c r="B26" s="71" t="s">
        <v>210</v>
      </c>
      <c r="D26">
        <v>1</v>
      </c>
    </row>
    <row r="27" spans="1:5" ht="15.75" thickBot="1">
      <c r="A27" s="70" t="s">
        <v>211</v>
      </c>
      <c r="B27" s="71" t="s">
        <v>212</v>
      </c>
      <c r="C27" t="s">
        <v>268</v>
      </c>
      <c r="D27">
        <v>2</v>
      </c>
    </row>
    <row r="28" spans="1:5" ht="15.75" thickBot="1">
      <c r="A28" s="70">
        <v>27</v>
      </c>
      <c r="B28" s="71" t="s">
        <v>213</v>
      </c>
      <c r="D28">
        <v>1</v>
      </c>
    </row>
    <row r="29" spans="1:5" ht="15.75" thickBot="1">
      <c r="A29" s="144" t="s">
        <v>214</v>
      </c>
      <c r="B29" s="145" t="s">
        <v>215</v>
      </c>
      <c r="C29" s="139"/>
      <c r="D29" s="139">
        <v>1</v>
      </c>
      <c r="E29" s="139"/>
    </row>
    <row r="30" spans="1:5" ht="15.75" thickBot="1">
      <c r="A30" s="70">
        <v>1</v>
      </c>
      <c r="B30" s="71" t="s">
        <v>216</v>
      </c>
      <c r="C30" t="s">
        <v>220</v>
      </c>
      <c r="D30">
        <v>2</v>
      </c>
    </row>
    <row r="31" spans="1:5" ht="15.75" thickBot="1">
      <c r="A31" s="70">
        <v>2</v>
      </c>
      <c r="B31" s="71" t="s">
        <v>222</v>
      </c>
      <c r="C31" t="s">
        <v>226</v>
      </c>
      <c r="D31">
        <v>1</v>
      </c>
    </row>
    <row r="32" spans="1:5" ht="15.75" thickBot="1">
      <c r="A32" s="70">
        <v>3</v>
      </c>
      <c r="B32" s="71" t="s">
        <v>223</v>
      </c>
      <c r="C32" t="s">
        <v>242</v>
      </c>
      <c r="D32">
        <v>1</v>
      </c>
    </row>
    <row r="33" spans="1:6" ht="15.75" thickBot="1">
      <c r="A33" s="70">
        <v>4</v>
      </c>
      <c r="B33" s="71" t="s">
        <v>225</v>
      </c>
      <c r="C33" t="s">
        <v>246</v>
      </c>
      <c r="D33">
        <v>4</v>
      </c>
      <c r="F33" t="s">
        <v>224</v>
      </c>
    </row>
    <row r="34" spans="1:6" ht="15.75" thickBot="1">
      <c r="A34" s="70">
        <v>5</v>
      </c>
      <c r="B34" s="71" t="s">
        <v>227</v>
      </c>
      <c r="C34" t="s">
        <v>243</v>
      </c>
      <c r="D34">
        <v>1</v>
      </c>
    </row>
    <row r="35" spans="1:6" ht="15.75" thickBot="1">
      <c r="A35" s="70">
        <v>6</v>
      </c>
      <c r="B35" s="71" t="s">
        <v>228</v>
      </c>
      <c r="C35" t="s">
        <v>244</v>
      </c>
      <c r="D35">
        <v>1</v>
      </c>
    </row>
    <row r="36" spans="1:6" ht="15.75" thickBot="1">
      <c r="A36" s="70">
        <v>7</v>
      </c>
      <c r="B36" s="71" t="s">
        <v>229</v>
      </c>
      <c r="C36" t="s">
        <v>245</v>
      </c>
      <c r="D36">
        <v>1</v>
      </c>
    </row>
    <row r="37" spans="1:6" ht="15.75" thickBot="1">
      <c r="A37" s="70">
        <v>8</v>
      </c>
      <c r="B37" s="72" t="s">
        <v>195</v>
      </c>
      <c r="C37" t="s">
        <v>247</v>
      </c>
      <c r="D37">
        <v>1</v>
      </c>
    </row>
    <row r="38" spans="1:6" ht="15.75" thickBot="1">
      <c r="A38" s="70">
        <v>9</v>
      </c>
      <c r="B38" s="73" t="s">
        <v>230</v>
      </c>
      <c r="C38" t="s">
        <v>248</v>
      </c>
      <c r="D38">
        <v>1</v>
      </c>
    </row>
    <row r="39" spans="1:6" ht="15.75" thickBot="1">
      <c r="A39" s="70">
        <v>10</v>
      </c>
      <c r="B39" s="73" t="s">
        <v>223</v>
      </c>
      <c r="C39" t="s">
        <v>249</v>
      </c>
      <c r="D39">
        <v>1</v>
      </c>
    </row>
    <row r="40" spans="1:6" ht="15.75" thickBot="1">
      <c r="A40" s="70">
        <v>11</v>
      </c>
      <c r="B40" s="73" t="s">
        <v>195</v>
      </c>
      <c r="C40" t="s">
        <v>250</v>
      </c>
      <c r="D40">
        <v>1</v>
      </c>
    </row>
    <row r="41" spans="1:6" ht="15.75" thickBot="1">
      <c r="A41" s="70">
        <v>12</v>
      </c>
      <c r="B41" s="73" t="s">
        <v>223</v>
      </c>
      <c r="C41" t="s">
        <v>249</v>
      </c>
      <c r="D41">
        <v>1</v>
      </c>
    </row>
    <row r="42" spans="1:6" ht="15.75" thickBot="1">
      <c r="A42" s="70">
        <v>13</v>
      </c>
      <c r="B42" s="73" t="s">
        <v>231</v>
      </c>
      <c r="C42" t="s">
        <v>251</v>
      </c>
      <c r="D42">
        <v>1</v>
      </c>
    </row>
    <row r="43" spans="1:6" ht="15.75" thickBot="1">
      <c r="A43" s="70">
        <v>14</v>
      </c>
      <c r="B43" s="73" t="s">
        <v>232</v>
      </c>
      <c r="C43" t="s">
        <v>252</v>
      </c>
      <c r="D43">
        <v>1</v>
      </c>
    </row>
    <row r="44" spans="1:6" ht="15.75" thickBot="1">
      <c r="A44" s="70">
        <v>15</v>
      </c>
      <c r="B44" s="73" t="s">
        <v>195</v>
      </c>
      <c r="C44" t="s">
        <v>250</v>
      </c>
      <c r="D44">
        <v>1</v>
      </c>
    </row>
    <row r="45" spans="1:6" ht="15.75" thickBot="1">
      <c r="A45" s="70">
        <v>16</v>
      </c>
      <c r="B45" s="73" t="s">
        <v>233</v>
      </c>
      <c r="C45" t="s">
        <v>248</v>
      </c>
      <c r="D45">
        <v>1</v>
      </c>
    </row>
    <row r="46" spans="1:6" ht="15.75" thickBot="1">
      <c r="A46" s="70">
        <v>17</v>
      </c>
      <c r="B46" s="73" t="s">
        <v>223</v>
      </c>
      <c r="C46" t="s">
        <v>249</v>
      </c>
      <c r="D46">
        <v>1</v>
      </c>
    </row>
    <row r="47" spans="1:6" ht="15.75" thickBot="1">
      <c r="A47" s="70">
        <v>18</v>
      </c>
      <c r="B47" s="73" t="s">
        <v>234</v>
      </c>
      <c r="C47" t="s">
        <v>252</v>
      </c>
      <c r="D47">
        <v>1</v>
      </c>
    </row>
    <row r="48" spans="1:6" ht="15.75" thickBot="1">
      <c r="A48" s="70">
        <v>19</v>
      </c>
      <c r="B48" s="73" t="s">
        <v>235</v>
      </c>
      <c r="C48" t="s">
        <v>253</v>
      </c>
      <c r="D48">
        <v>1</v>
      </c>
    </row>
    <row r="49" spans="1:8" ht="15.75" thickBot="1">
      <c r="A49" s="70">
        <v>20</v>
      </c>
      <c r="B49" s="73" t="s">
        <v>223</v>
      </c>
      <c r="C49" t="s">
        <v>254</v>
      </c>
      <c r="D49">
        <v>1</v>
      </c>
    </row>
    <row r="50" spans="1:8" ht="15.75" thickBot="1">
      <c r="A50" s="70">
        <v>21</v>
      </c>
      <c r="B50" s="73" t="s">
        <v>236</v>
      </c>
      <c r="C50" t="s">
        <v>255</v>
      </c>
      <c r="D50">
        <v>1</v>
      </c>
    </row>
    <row r="51" spans="1:8" ht="15.75" thickBot="1">
      <c r="A51" s="70">
        <v>22</v>
      </c>
      <c r="B51" s="73" t="s">
        <v>257</v>
      </c>
      <c r="C51" t="s">
        <v>261</v>
      </c>
      <c r="D51">
        <v>1</v>
      </c>
      <c r="F51" t="s">
        <v>259</v>
      </c>
    </row>
    <row r="52" spans="1:8" ht="15.75" thickBot="1">
      <c r="A52" s="70">
        <v>23</v>
      </c>
      <c r="B52" s="73" t="s">
        <v>258</v>
      </c>
      <c r="C52" t="s">
        <v>260</v>
      </c>
      <c r="D52">
        <v>1</v>
      </c>
    </row>
    <row r="53" spans="1:8" ht="15.75" thickBot="1">
      <c r="A53" s="70">
        <v>24</v>
      </c>
      <c r="B53" s="73" t="s">
        <v>237</v>
      </c>
      <c r="C53" t="s">
        <v>262</v>
      </c>
      <c r="D53">
        <v>1</v>
      </c>
    </row>
    <row r="54" spans="1:8" ht="15.75" thickBot="1">
      <c r="A54" s="70">
        <v>25</v>
      </c>
      <c r="B54" s="73" t="s">
        <v>238</v>
      </c>
      <c r="C54" t="s">
        <v>263</v>
      </c>
      <c r="D54">
        <v>1</v>
      </c>
    </row>
    <row r="55" spans="1:8" ht="15.75" thickBot="1">
      <c r="A55" s="70">
        <v>26</v>
      </c>
      <c r="B55" s="73" t="s">
        <v>256</v>
      </c>
      <c r="C55" t="s">
        <v>264</v>
      </c>
      <c r="D55">
        <v>4</v>
      </c>
    </row>
    <row r="56" spans="1:8" ht="15.75" thickBot="1">
      <c r="A56" s="70">
        <v>27</v>
      </c>
      <c r="B56" s="73" t="s">
        <v>239</v>
      </c>
      <c r="C56" t="s">
        <v>265</v>
      </c>
      <c r="D56">
        <v>1</v>
      </c>
      <c r="H56">
        <f>7000*390</f>
        <v>2730000</v>
      </c>
    </row>
    <row r="57" spans="1:8" ht="15.75" thickBot="1">
      <c r="A57" s="70">
        <v>28</v>
      </c>
      <c r="B57" s="73" t="s">
        <v>207</v>
      </c>
      <c r="C57" t="s">
        <v>266</v>
      </c>
      <c r="D57">
        <v>4</v>
      </c>
    </row>
    <row r="58" spans="1:8" ht="15.75" thickBot="1">
      <c r="A58" s="70">
        <v>29</v>
      </c>
      <c r="B58" s="73" t="s">
        <v>240</v>
      </c>
      <c r="C58" t="s">
        <v>267</v>
      </c>
      <c r="D58">
        <v>4</v>
      </c>
    </row>
    <row r="59" spans="1:8" ht="15.75" thickBot="1">
      <c r="A59" s="70">
        <v>30</v>
      </c>
      <c r="B59" s="73" t="s">
        <v>241</v>
      </c>
      <c r="C59" t="s">
        <v>255</v>
      </c>
      <c r="D59">
        <v>4</v>
      </c>
    </row>
    <row r="60" spans="1:8">
      <c r="B60" s="73" t="s">
        <v>225</v>
      </c>
      <c r="C60" t="s">
        <v>246</v>
      </c>
      <c r="D60">
        <v>5</v>
      </c>
    </row>
    <row r="61" spans="1:8">
      <c r="A61" s="138">
        <v>1.3</v>
      </c>
      <c r="B61" s="139" t="s">
        <v>292</v>
      </c>
      <c r="C61" s="139"/>
      <c r="D61" s="139"/>
      <c r="E61" s="139">
        <v>80</v>
      </c>
      <c r="G61">
        <f>E61/0.25</f>
        <v>320</v>
      </c>
    </row>
    <row r="62" spans="1:8">
      <c r="B62" s="146" t="s">
        <v>292</v>
      </c>
      <c r="C62" t="s">
        <v>293</v>
      </c>
    </row>
    <row r="67" spans="2:2">
      <c r="B67" t="s">
        <v>272</v>
      </c>
    </row>
    <row r="68" spans="2:2">
      <c r="B68" t="s">
        <v>273</v>
      </c>
    </row>
    <row r="69" spans="2:2">
      <c r="B69" t="s">
        <v>274</v>
      </c>
    </row>
    <row r="83" spans="2:5" ht="15.75" thickBot="1"/>
    <row r="84" spans="2:5" ht="15.75" thickBot="1">
      <c r="B84" s="43" t="s">
        <v>116</v>
      </c>
      <c r="C84" s="167">
        <v>966404</v>
      </c>
      <c r="D84" s="167"/>
      <c r="E84" s="167"/>
    </row>
    <row r="85" spans="2:5">
      <c r="B85" s="44" t="s">
        <v>118</v>
      </c>
      <c r="C85" s="168">
        <v>1063044</v>
      </c>
      <c r="D85" s="168"/>
      <c r="E85" s="168"/>
    </row>
  </sheetData>
  <mergeCells count="3">
    <mergeCell ref="C84:E84"/>
    <mergeCell ref="C85:E85"/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482E-F184-4120-81F6-13668903C5E2}">
  <dimension ref="A1:G28"/>
  <sheetViews>
    <sheetView topLeftCell="A4" workbookViewId="0">
      <selection activeCell="D18" sqref="D18"/>
    </sheetView>
  </sheetViews>
  <sheetFormatPr defaultRowHeight="15"/>
  <cols>
    <col min="1" max="1" width="3" bestFit="1" customWidth="1"/>
    <col min="2" max="2" width="33.140625" customWidth="1"/>
    <col min="3" max="3" width="14.28515625" customWidth="1"/>
    <col min="4" max="4" width="12.85546875" bestFit="1" customWidth="1"/>
    <col min="7" max="7" width="26.28515625" customWidth="1"/>
    <col min="8" max="8" width="10.140625" customWidth="1"/>
    <col min="9" max="9" width="9.42578125" customWidth="1"/>
  </cols>
  <sheetData>
    <row r="1" spans="1:4" ht="15.75" thickBot="1">
      <c r="A1" s="120"/>
      <c r="B1" s="121" t="s">
        <v>119</v>
      </c>
      <c r="C1" s="122"/>
      <c r="D1" s="123" t="s">
        <v>113</v>
      </c>
    </row>
    <row r="2" spans="1:4">
      <c r="A2" s="135" t="s">
        <v>6</v>
      </c>
      <c r="B2" s="136" t="s">
        <v>120</v>
      </c>
      <c r="C2" s="135" t="s">
        <v>121</v>
      </c>
      <c r="D2" s="137">
        <f>D13+D3</f>
        <v>44406548.431105047</v>
      </c>
    </row>
    <row r="3" spans="1:4">
      <c r="A3" s="124" t="s">
        <v>122</v>
      </c>
      <c r="B3" s="125" t="s">
        <v>123</v>
      </c>
      <c r="C3" s="124" t="s">
        <v>124</v>
      </c>
      <c r="D3" s="126">
        <f>SUM(D4:D12)</f>
        <v>31514324.693042293</v>
      </c>
    </row>
    <row r="4" spans="1:4" ht="24">
      <c r="A4" s="100">
        <v>1</v>
      </c>
      <c r="B4" s="101" t="s">
        <v>125</v>
      </c>
      <c r="C4" s="103">
        <v>1</v>
      </c>
      <c r="D4" s="102">
        <f>(75*10000000)/73.3</f>
        <v>10231923.601637108</v>
      </c>
    </row>
    <row r="5" spans="1:4">
      <c r="A5" s="100">
        <v>2</v>
      </c>
      <c r="B5" s="101" t="s">
        <v>126</v>
      </c>
      <c r="C5" s="103">
        <v>0.39</v>
      </c>
      <c r="D5" s="104">
        <f>D4*C5</f>
        <v>3990450.2046384723</v>
      </c>
    </row>
    <row r="6" spans="1:4" ht="24">
      <c r="A6" s="100">
        <v>3</v>
      </c>
      <c r="B6" s="101" t="s">
        <v>127</v>
      </c>
      <c r="C6" s="103">
        <v>0.26</v>
      </c>
      <c r="D6" s="104">
        <f>C6*D4</f>
        <v>2660300.1364256484</v>
      </c>
    </row>
    <row r="7" spans="1:4">
      <c r="A7" s="100">
        <v>4</v>
      </c>
      <c r="B7" s="101" t="s">
        <v>128</v>
      </c>
      <c r="C7" s="103">
        <v>0.31</v>
      </c>
      <c r="D7" s="104">
        <f>D4*C7</f>
        <v>3171896.3165075034</v>
      </c>
    </row>
    <row r="8" spans="1:4">
      <c r="A8" s="100">
        <v>5</v>
      </c>
      <c r="B8" s="101" t="s">
        <v>129</v>
      </c>
      <c r="C8" s="103">
        <v>0.1</v>
      </c>
      <c r="D8" s="104">
        <f>C8*D4</f>
        <v>1023192.3601637109</v>
      </c>
    </row>
    <row r="9" spans="1:4">
      <c r="A9" s="100">
        <v>6</v>
      </c>
      <c r="B9" s="101" t="s">
        <v>130</v>
      </c>
      <c r="C9" s="103">
        <v>0.28999999999999998</v>
      </c>
      <c r="D9" s="104">
        <f>D4*C9</f>
        <v>2967257.8444747613</v>
      </c>
    </row>
    <row r="10" spans="1:4">
      <c r="A10" s="100">
        <v>7</v>
      </c>
      <c r="B10" s="101" t="s">
        <v>131</v>
      </c>
      <c r="C10" s="103">
        <v>0.12</v>
      </c>
      <c r="D10" s="104">
        <f>D4*C10</f>
        <v>1227830.8321964529</v>
      </c>
    </row>
    <row r="11" spans="1:4">
      <c r="A11" s="100">
        <v>8</v>
      </c>
      <c r="B11" s="101" t="s">
        <v>132</v>
      </c>
      <c r="C11" s="103">
        <v>0.55000000000000004</v>
      </c>
      <c r="D11" s="104">
        <f>D4*C11</f>
        <v>5627557.9809004096</v>
      </c>
    </row>
    <row r="12" spans="1:4">
      <c r="A12" s="100">
        <v>9</v>
      </c>
      <c r="B12" s="101" t="s">
        <v>133</v>
      </c>
      <c r="C12" s="103">
        <v>0.06</v>
      </c>
      <c r="D12" s="104">
        <f>D4*C12</f>
        <v>613915.41609822644</v>
      </c>
    </row>
    <row r="13" spans="1:4" ht="24">
      <c r="A13" s="127" t="s">
        <v>134</v>
      </c>
      <c r="B13" s="128" t="s">
        <v>135</v>
      </c>
      <c r="C13" s="127" t="s">
        <v>136</v>
      </c>
      <c r="D13" s="129">
        <f>SUM(D14:D18)</f>
        <v>12892223.738062758</v>
      </c>
    </row>
    <row r="14" spans="1:4">
      <c r="A14" s="100">
        <v>10</v>
      </c>
      <c r="B14" s="101" t="s">
        <v>137</v>
      </c>
      <c r="C14" s="103">
        <v>0.32</v>
      </c>
      <c r="D14" s="104">
        <f>D4*C14</f>
        <v>3274215.5525238747</v>
      </c>
    </row>
    <row r="15" spans="1:4">
      <c r="A15" s="100">
        <v>11</v>
      </c>
      <c r="B15" s="101" t="s">
        <v>138</v>
      </c>
      <c r="C15" s="103">
        <v>0.34</v>
      </c>
      <c r="D15" s="104">
        <f>D4*C15</f>
        <v>3478854.0245566173</v>
      </c>
    </row>
    <row r="16" spans="1:4">
      <c r="A16" s="100">
        <v>12</v>
      </c>
      <c r="B16" s="101" t="s">
        <v>139</v>
      </c>
      <c r="C16" s="103">
        <v>0.04</v>
      </c>
      <c r="D16" s="104">
        <f>D4*C16</f>
        <v>409276.94406548433</v>
      </c>
    </row>
    <row r="17" spans="1:7">
      <c r="A17" s="100">
        <v>13</v>
      </c>
      <c r="B17" s="101" t="s">
        <v>140</v>
      </c>
      <c r="C17" s="103">
        <v>0.19</v>
      </c>
      <c r="D17" s="104">
        <f>D4*C17</f>
        <v>1944065.4843110505</v>
      </c>
    </row>
    <row r="18" spans="1:7">
      <c r="A18" s="100">
        <v>14</v>
      </c>
      <c r="B18" s="101" t="s">
        <v>141</v>
      </c>
      <c r="C18" s="103">
        <v>0.37</v>
      </c>
      <c r="D18" s="104">
        <f>D4*C18</f>
        <v>3785811.7326057302</v>
      </c>
    </row>
    <row r="19" spans="1:7">
      <c r="A19" s="127" t="s">
        <v>17</v>
      </c>
      <c r="B19" s="128" t="s">
        <v>142</v>
      </c>
      <c r="C19" s="127">
        <v>16</v>
      </c>
      <c r="D19" s="130">
        <f>SUM(D20)</f>
        <v>1023192.3601637109</v>
      </c>
    </row>
    <row r="20" spans="1:7">
      <c r="A20" s="100">
        <v>16</v>
      </c>
      <c r="B20" s="101" t="s">
        <v>143</v>
      </c>
      <c r="C20" s="103">
        <v>0.1</v>
      </c>
      <c r="D20" s="104">
        <f>C20*D4</f>
        <v>1023192.3601637109</v>
      </c>
    </row>
    <row r="21" spans="1:7" ht="15.75" thickBot="1">
      <c r="A21" s="131"/>
      <c r="B21" s="132" t="s">
        <v>144</v>
      </c>
      <c r="C21" s="133" t="s">
        <v>145</v>
      </c>
      <c r="D21" s="134">
        <f>D2+D19</f>
        <v>45429740.791268758</v>
      </c>
      <c r="F21">
        <f>(D21/10000000)*73.3</f>
        <v>333</v>
      </c>
      <c r="G21">
        <f>52/0.52</f>
        <v>100</v>
      </c>
    </row>
    <row r="22" spans="1:7">
      <c r="A22" s="49"/>
    </row>
    <row r="28" spans="1:7">
      <c r="E28">
        <f>(I21*10000000)/73.3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AE11-1321-45BD-9058-32E40861681D}">
  <dimension ref="A1:I24"/>
  <sheetViews>
    <sheetView zoomScale="74" zoomScaleNormal="69" workbookViewId="0">
      <selection activeCell="F15" sqref="F15"/>
    </sheetView>
  </sheetViews>
  <sheetFormatPr defaultRowHeight="15"/>
  <cols>
    <col min="1" max="1" width="11.42578125" customWidth="1"/>
    <col min="2" max="2" width="29.140625" customWidth="1"/>
    <col min="3" max="3" width="16" customWidth="1"/>
    <col min="4" max="4" width="24.42578125" customWidth="1"/>
    <col min="5" max="5" width="12" bestFit="1" customWidth="1"/>
    <col min="6" max="6" width="15" bestFit="1" customWidth="1"/>
    <col min="8" max="8" width="11.140625" bestFit="1" customWidth="1"/>
    <col min="9" max="9" width="13.28515625" bestFit="1" customWidth="1"/>
    <col min="11" max="11" width="12.85546875" bestFit="1" customWidth="1"/>
    <col min="16" max="16" width="12.85546875" bestFit="1" customWidth="1"/>
  </cols>
  <sheetData>
    <row r="1" spans="1:9" ht="15.75" thickBot="1">
      <c r="A1" s="33"/>
      <c r="B1" s="45" t="s">
        <v>119</v>
      </c>
      <c r="C1" s="33"/>
      <c r="D1" s="50" t="s">
        <v>113</v>
      </c>
      <c r="E1" t="s">
        <v>307</v>
      </c>
      <c r="F1" t="s">
        <v>301</v>
      </c>
    </row>
    <row r="2" spans="1:9">
      <c r="A2" s="46" t="s">
        <v>24</v>
      </c>
      <c r="B2" s="47" t="s">
        <v>146</v>
      </c>
      <c r="C2" s="46" t="s">
        <v>147</v>
      </c>
      <c r="D2" s="51">
        <f>D3+D13+D15</f>
        <v>232516242.75736699</v>
      </c>
    </row>
    <row r="3" spans="1:9">
      <c r="A3" s="108" t="s">
        <v>115</v>
      </c>
      <c r="B3" s="109" t="s">
        <v>148</v>
      </c>
      <c r="C3" s="108" t="s">
        <v>149</v>
      </c>
      <c r="D3" s="110">
        <f>SUM(D4:D12)</f>
        <v>226466406.33171898</v>
      </c>
    </row>
    <row r="4" spans="1:9">
      <c r="A4" s="100">
        <v>1</v>
      </c>
      <c r="B4" s="101" t="s">
        <v>150</v>
      </c>
      <c r="C4" s="100" t="s">
        <v>151</v>
      </c>
      <c r="D4" s="111">
        <f>(1950*100000)</f>
        <v>195000000</v>
      </c>
      <c r="E4" t="s">
        <v>299</v>
      </c>
      <c r="F4">
        <f>D4*73.3</f>
        <v>14293500000</v>
      </c>
    </row>
    <row r="5" spans="1:9">
      <c r="A5" s="100">
        <v>2</v>
      </c>
      <c r="B5" s="101" t="s">
        <v>152</v>
      </c>
      <c r="C5" s="100" t="s">
        <v>151</v>
      </c>
      <c r="D5" s="111">
        <f>D4*0.012</f>
        <v>2340000</v>
      </c>
      <c r="E5" t="s">
        <v>298</v>
      </c>
      <c r="F5">
        <f>D5*73.3</f>
        <v>171522000</v>
      </c>
    </row>
    <row r="6" spans="1:9" ht="24">
      <c r="A6" s="100">
        <v>3</v>
      </c>
      <c r="B6" s="101" t="s">
        <v>153</v>
      </c>
      <c r="C6" s="112">
        <v>0.17499999999999999</v>
      </c>
      <c r="D6" s="111">
        <f>D5*C6</f>
        <v>409500</v>
      </c>
      <c r="E6" t="s">
        <v>298</v>
      </c>
      <c r="F6">
        <f t="shared" ref="F6:F20" si="0">D6*73.3</f>
        <v>30016350</v>
      </c>
    </row>
    <row r="7" spans="1:9">
      <c r="A7" s="100">
        <v>4</v>
      </c>
      <c r="B7" s="101" t="s">
        <v>154</v>
      </c>
      <c r="C7" s="100" t="s">
        <v>151</v>
      </c>
      <c r="D7" s="111">
        <v>6027830.8321964536</v>
      </c>
      <c r="E7" t="s">
        <v>289</v>
      </c>
      <c r="F7">
        <f t="shared" si="0"/>
        <v>441840000.00000006</v>
      </c>
    </row>
    <row r="8" spans="1:9" ht="24">
      <c r="A8" s="100">
        <v>5</v>
      </c>
      <c r="B8" s="101" t="s">
        <v>287</v>
      </c>
      <c r="C8" s="112">
        <v>7.0000000000000007E-2</v>
      </c>
      <c r="D8" s="111">
        <v>2152796.7257844475</v>
      </c>
      <c r="E8" t="s">
        <v>290</v>
      </c>
      <c r="F8">
        <f t="shared" si="0"/>
        <v>157800000</v>
      </c>
    </row>
    <row r="9" spans="1:9" ht="24">
      <c r="A9" s="100">
        <v>6</v>
      </c>
      <c r="B9" s="101" t="s">
        <v>155</v>
      </c>
      <c r="C9" s="112">
        <v>0.15</v>
      </c>
      <c r="D9" s="111">
        <f>D8*C9</f>
        <v>322919.50886766711</v>
      </c>
      <c r="E9" t="s">
        <v>290</v>
      </c>
      <c r="F9">
        <f t="shared" si="0"/>
        <v>23670000</v>
      </c>
    </row>
    <row r="10" spans="1:9" ht="24">
      <c r="A10" s="100">
        <v>7</v>
      </c>
      <c r="B10" s="101" t="s">
        <v>156</v>
      </c>
      <c r="C10" s="112">
        <v>0.15</v>
      </c>
      <c r="D10" s="111">
        <f>C10*D5</f>
        <v>351000</v>
      </c>
      <c r="E10" t="s">
        <v>290</v>
      </c>
      <c r="F10">
        <f t="shared" si="0"/>
        <v>25728300</v>
      </c>
    </row>
    <row r="11" spans="1:9" ht="24">
      <c r="A11" s="100">
        <v>8</v>
      </c>
      <c r="B11" s="101" t="s">
        <v>305</v>
      </c>
      <c r="C11" s="112">
        <v>0.05</v>
      </c>
      <c r="D11" s="111">
        <v>11598197.382196454</v>
      </c>
      <c r="E11" t="s">
        <v>289</v>
      </c>
      <c r="F11">
        <f>D11*73.3</f>
        <v>850147868.11500013</v>
      </c>
    </row>
    <row r="12" spans="1:9" ht="24">
      <c r="A12" s="100">
        <v>9</v>
      </c>
      <c r="B12" s="101" t="s">
        <v>157</v>
      </c>
      <c r="C12" s="112">
        <v>0.04</v>
      </c>
      <c r="D12" s="111">
        <f>C12*(D4+D5+D6+D7+D8+D9+D10)</f>
        <v>8264161.8826739434</v>
      </c>
      <c r="E12" t="s">
        <v>290</v>
      </c>
      <c r="F12">
        <f t="shared" si="0"/>
        <v>605763066</v>
      </c>
    </row>
    <row r="13" spans="1:9" ht="24">
      <c r="A13" s="108" t="s">
        <v>117</v>
      </c>
      <c r="B13" s="109" t="s">
        <v>158</v>
      </c>
      <c r="C13" s="108">
        <v>9</v>
      </c>
      <c r="D13" s="110">
        <f>SUM(D14:D14)</f>
        <v>3108458.3901773538</v>
      </c>
      <c r="F13">
        <f t="shared" si="0"/>
        <v>227850000.00000003</v>
      </c>
    </row>
    <row r="14" spans="1:9" ht="24">
      <c r="A14" s="100">
        <v>10</v>
      </c>
      <c r="B14" s="101" t="s">
        <v>300</v>
      </c>
      <c r="C14" s="112">
        <v>7.0000000000000007E-2</v>
      </c>
      <c r="D14" s="111">
        <f>Capex!D2*Opex!C14</f>
        <v>3108458.3901773538</v>
      </c>
      <c r="E14" t="s">
        <v>71</v>
      </c>
      <c r="F14">
        <f>D14*73.3</f>
        <v>227850000.00000003</v>
      </c>
    </row>
    <row r="15" spans="1:9" ht="26.25">
      <c r="A15" s="108" t="s">
        <v>159</v>
      </c>
      <c r="B15" s="109" t="s">
        <v>160</v>
      </c>
      <c r="C15" s="113">
        <v>0.6</v>
      </c>
      <c r="D15" s="110">
        <f>C15*(D5+D6+D8)</f>
        <v>2941378.0354706682</v>
      </c>
      <c r="E15" t="s">
        <v>290</v>
      </c>
      <c r="F15">
        <f t="shared" si="0"/>
        <v>215603009.99999997</v>
      </c>
      <c r="I15" s="35"/>
    </row>
    <row r="16" spans="1:9">
      <c r="A16" s="114" t="s">
        <v>26</v>
      </c>
      <c r="B16" s="115" t="s">
        <v>161</v>
      </c>
      <c r="C16" s="114" t="s">
        <v>162</v>
      </c>
      <c r="D16" s="116">
        <f>SUM(D17:D19)</f>
        <v>42588268.205193721</v>
      </c>
      <c r="F16">
        <f t="shared" si="0"/>
        <v>3121720059.4406996</v>
      </c>
    </row>
    <row r="17" spans="1:6" ht="28.5">
      <c r="A17" s="100">
        <v>11</v>
      </c>
      <c r="B17" s="101" t="s">
        <v>163</v>
      </c>
      <c r="C17" s="112">
        <v>0.15</v>
      </c>
      <c r="D17" s="111">
        <f>C17*(D5+D6+D8)</f>
        <v>735344.50886766706</v>
      </c>
      <c r="E17" t="s">
        <v>290</v>
      </c>
      <c r="F17">
        <f t="shared" si="0"/>
        <v>53900752.499999993</v>
      </c>
    </row>
    <row r="18" spans="1:6" ht="24">
      <c r="A18" s="100">
        <v>12</v>
      </c>
      <c r="B18" s="101" t="s">
        <v>164</v>
      </c>
      <c r="C18" s="112">
        <v>0.11</v>
      </c>
      <c r="D18" s="111">
        <f>C18*D2</f>
        <v>25576786.703310367</v>
      </c>
      <c r="E18" t="s">
        <v>289</v>
      </c>
      <c r="F18">
        <f t="shared" si="0"/>
        <v>1874778465.3526497</v>
      </c>
    </row>
    <row r="19" spans="1:6" ht="24">
      <c r="A19" s="100">
        <v>13</v>
      </c>
      <c r="B19" s="101" t="s">
        <v>285</v>
      </c>
      <c r="C19" s="112">
        <v>7.0000000000000007E-2</v>
      </c>
      <c r="D19" s="111">
        <f>C19*D2</f>
        <v>16276136.99301569</v>
      </c>
      <c r="E19" t="s">
        <v>290</v>
      </c>
      <c r="F19">
        <f t="shared" si="0"/>
        <v>1193040841.5880501</v>
      </c>
    </row>
    <row r="20" spans="1:6">
      <c r="A20" s="117"/>
      <c r="B20" s="99" t="s">
        <v>165</v>
      </c>
      <c r="C20" s="98" t="s">
        <v>166</v>
      </c>
      <c r="D20" s="118">
        <f>D2+D16</f>
        <v>275104510.96256071</v>
      </c>
      <c r="F20">
        <f t="shared" si="0"/>
        <v>20165160653.555698</v>
      </c>
    </row>
    <row r="22" spans="1:6">
      <c r="A22" s="48"/>
    </row>
    <row r="23" spans="1:6">
      <c r="F23">
        <f>5436818</f>
        <v>5436818</v>
      </c>
    </row>
    <row r="24" spans="1:6">
      <c r="D24">
        <f>(D20*73.3)/10000000</f>
        <v>2016.5160653555699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8401-7663-453E-8EB8-DBA5B6BBAC0E}">
  <dimension ref="A1:L49"/>
  <sheetViews>
    <sheetView tabSelected="1" topLeftCell="A25" zoomScale="91" workbookViewId="0">
      <selection activeCell="C43" sqref="C43"/>
    </sheetView>
  </sheetViews>
  <sheetFormatPr defaultRowHeight="15"/>
  <cols>
    <col min="1" max="1" width="9.28515625" bestFit="1" customWidth="1"/>
    <col min="2" max="2" width="61.85546875" bestFit="1" customWidth="1"/>
    <col min="3" max="9" width="13.42578125" bestFit="1" customWidth="1"/>
    <col min="10" max="10" width="16.42578125" bestFit="1" customWidth="1"/>
    <col min="12" max="12" width="10.42578125" bestFit="1" customWidth="1"/>
  </cols>
  <sheetData>
    <row r="1" spans="1:12" ht="15.75" thickBot="1"/>
    <row r="2" spans="1:12" ht="15.75" thickBot="1">
      <c r="A2" s="54"/>
      <c r="B2" s="54"/>
      <c r="C2" s="170" t="s">
        <v>288</v>
      </c>
      <c r="D2" s="171"/>
      <c r="E2" s="171"/>
      <c r="F2" s="171"/>
      <c r="G2" s="171"/>
      <c r="H2" s="171"/>
      <c r="I2" s="171"/>
      <c r="J2" s="171"/>
      <c r="K2" s="172"/>
    </row>
    <row r="3" spans="1:12" ht="15.75" thickBot="1">
      <c r="A3" s="53"/>
      <c r="B3" s="56" t="s">
        <v>167</v>
      </c>
      <c r="C3" s="55" t="s">
        <v>168</v>
      </c>
      <c r="D3" s="173" t="s">
        <v>169</v>
      </c>
      <c r="E3" s="174"/>
      <c r="F3" s="174"/>
      <c r="G3" s="174"/>
      <c r="H3" s="174"/>
      <c r="I3" s="174"/>
      <c r="J3" s="174"/>
      <c r="K3" s="175"/>
    </row>
    <row r="4" spans="1:12" ht="15.75" thickBot="1">
      <c r="A4" s="57" t="s">
        <v>6</v>
      </c>
      <c r="B4" s="57" t="s">
        <v>170</v>
      </c>
      <c r="C4" s="59">
        <v>0</v>
      </c>
      <c r="D4" s="60">
        <v>1</v>
      </c>
      <c r="E4" s="60">
        <v>2</v>
      </c>
      <c r="F4" s="60">
        <v>3</v>
      </c>
      <c r="G4" s="60">
        <v>4</v>
      </c>
      <c r="H4" s="60">
        <v>5</v>
      </c>
      <c r="I4" s="60">
        <v>6</v>
      </c>
      <c r="J4" s="61">
        <v>7</v>
      </c>
      <c r="K4" s="52"/>
    </row>
    <row r="5" spans="1:12" ht="15.75" thickBot="1">
      <c r="A5" s="22"/>
      <c r="B5" s="22"/>
      <c r="C5" s="62"/>
      <c r="D5" s="63"/>
      <c r="E5" s="63"/>
      <c r="F5" s="63"/>
      <c r="G5" s="63"/>
      <c r="H5" s="63"/>
      <c r="I5" s="63"/>
      <c r="J5" s="64"/>
      <c r="K5" s="22"/>
    </row>
    <row r="6" spans="1:12" ht="15.75" thickBot="1">
      <c r="A6" s="22">
        <v>1</v>
      </c>
      <c r="B6" s="22" t="s">
        <v>294</v>
      </c>
      <c r="C6" s="62"/>
      <c r="D6" s="63"/>
      <c r="E6" s="63"/>
      <c r="F6" s="63"/>
      <c r="G6" s="63"/>
      <c r="H6" s="63"/>
      <c r="I6" s="63"/>
      <c r="J6" s="65"/>
      <c r="K6" s="22"/>
    </row>
    <row r="7" spans="1:12" ht="15.75" thickBot="1">
      <c r="A7" s="22"/>
      <c r="B7" s="22" t="s">
        <v>171</v>
      </c>
      <c r="C7" s="155">
        <f>Capex!D21</f>
        <v>45429740.791268758</v>
      </c>
      <c r="D7" s="63"/>
      <c r="E7" s="63"/>
      <c r="F7" s="63"/>
      <c r="G7" s="63"/>
      <c r="H7" s="63"/>
      <c r="I7" s="63"/>
      <c r="J7" s="65"/>
      <c r="K7" s="22"/>
    </row>
    <row r="8" spans="1:12" ht="15.75" thickBot="1">
      <c r="A8" s="147"/>
      <c r="B8" s="147" t="s">
        <v>172</v>
      </c>
      <c r="C8" s="148"/>
      <c r="D8" s="149"/>
      <c r="E8" s="149"/>
      <c r="F8" s="149"/>
      <c r="G8" s="149"/>
      <c r="H8" s="149"/>
      <c r="I8" s="149"/>
      <c r="J8" s="150"/>
      <c r="K8" s="22"/>
    </row>
    <row r="9" spans="1:12" ht="15.75" thickBot="1">
      <c r="A9" s="22"/>
      <c r="B9" s="22" t="s">
        <v>295</v>
      </c>
      <c r="C9" s="158">
        <f>SUM(C7)</f>
        <v>45429740.791268758</v>
      </c>
      <c r="D9" s="63"/>
      <c r="E9" s="63"/>
      <c r="F9" s="63"/>
      <c r="G9" s="63"/>
      <c r="H9" s="63"/>
      <c r="I9" s="63"/>
      <c r="J9" s="65"/>
      <c r="K9" s="22"/>
    </row>
    <row r="10" spans="1:12" ht="15.75" thickBot="1">
      <c r="A10" s="22"/>
      <c r="B10" s="22"/>
      <c r="C10" s="62"/>
      <c r="D10" s="63"/>
      <c r="E10" s="63"/>
      <c r="F10" s="63"/>
      <c r="G10" s="63"/>
      <c r="H10" s="63"/>
      <c r="I10" s="63"/>
      <c r="J10" s="65"/>
      <c r="K10" s="22"/>
    </row>
    <row r="11" spans="1:12" ht="15.75" thickBot="1">
      <c r="A11" s="22">
        <v>2</v>
      </c>
      <c r="B11" s="22" t="s">
        <v>173</v>
      </c>
      <c r="C11" s="62"/>
      <c r="D11" s="159">
        <f>3.03*60000*1000</f>
        <v>181800000</v>
      </c>
      <c r="E11" s="159">
        <f>3.03*80000*1000</f>
        <v>242399999.99999997</v>
      </c>
      <c r="F11" s="159">
        <f>3.03*100000*1000</f>
        <v>303000000</v>
      </c>
      <c r="G11" s="159">
        <f t="shared" ref="G11:J11" si="0">3.03*100000*1000</f>
        <v>303000000</v>
      </c>
      <c r="H11" s="159">
        <f t="shared" si="0"/>
        <v>303000000</v>
      </c>
      <c r="I11" s="159">
        <f t="shared" si="0"/>
        <v>303000000</v>
      </c>
      <c r="J11" s="159">
        <f t="shared" si="0"/>
        <v>303000000</v>
      </c>
      <c r="K11" s="22"/>
      <c r="L11" s="105">
        <f>D11*73.3</f>
        <v>13325940000</v>
      </c>
    </row>
    <row r="12" spans="1:12" ht="15.75" thickBot="1">
      <c r="A12" s="22">
        <v>3</v>
      </c>
      <c r="B12" s="22" t="s">
        <v>174</v>
      </c>
      <c r="C12" s="62"/>
      <c r="D12" s="63"/>
      <c r="E12" s="63"/>
      <c r="F12" s="63"/>
      <c r="G12" s="63"/>
      <c r="H12" s="63"/>
      <c r="I12" s="63"/>
      <c r="J12" s="65"/>
      <c r="K12" s="22"/>
    </row>
    <row r="13" spans="1:12" ht="15.75" thickBot="1">
      <c r="A13" s="22"/>
      <c r="B13" s="22" t="s">
        <v>175</v>
      </c>
      <c r="C13" s="62"/>
      <c r="D13" s="63"/>
      <c r="E13" s="63"/>
      <c r="F13" s="63"/>
      <c r="G13" s="63"/>
      <c r="H13" s="63"/>
      <c r="I13" s="63"/>
      <c r="J13" s="65"/>
      <c r="K13" s="22"/>
    </row>
    <row r="14" spans="1:12" ht="15.75" thickBot="1">
      <c r="A14" s="22"/>
      <c r="B14" s="22" t="s">
        <v>176</v>
      </c>
      <c r="C14" s="62"/>
      <c r="D14" s="63"/>
      <c r="E14" s="63"/>
      <c r="F14" s="63"/>
      <c r="G14" s="63"/>
      <c r="H14" s="63"/>
      <c r="I14" s="63"/>
      <c r="J14" s="65"/>
      <c r="K14" s="22"/>
    </row>
    <row r="15" spans="1:12" ht="15.75" thickBot="1">
      <c r="A15" s="22"/>
      <c r="B15" s="22" t="s">
        <v>177</v>
      </c>
      <c r="C15" s="62"/>
      <c r="D15" s="63"/>
      <c r="E15" s="63"/>
      <c r="F15" s="63"/>
      <c r="G15" s="63"/>
      <c r="H15" s="63"/>
      <c r="I15" s="63"/>
      <c r="J15" s="65"/>
      <c r="K15" s="22"/>
    </row>
    <row r="16" spans="1:12" ht="15.75" thickBot="1">
      <c r="A16" s="22"/>
      <c r="B16" s="22"/>
      <c r="C16" s="62"/>
      <c r="D16" s="63"/>
      <c r="E16" s="63"/>
      <c r="F16" s="63"/>
      <c r="G16" s="63"/>
      <c r="H16" s="63"/>
      <c r="I16" s="63"/>
      <c r="J16" s="65"/>
      <c r="K16" s="22"/>
    </row>
    <row r="17" spans="1:11" ht="15.75" thickBot="1">
      <c r="A17" s="22">
        <v>4</v>
      </c>
      <c r="B17" s="22" t="s">
        <v>296</v>
      </c>
      <c r="C17" s="160">
        <f>C9</f>
        <v>45429740.791268758</v>
      </c>
      <c r="D17" s="161">
        <f>D11</f>
        <v>181800000</v>
      </c>
      <c r="E17" s="161">
        <f>E11</f>
        <v>242399999.99999997</v>
      </c>
      <c r="F17" s="67">
        <f t="shared" ref="F17:J17" si="1">F11</f>
        <v>303000000</v>
      </c>
      <c r="G17" s="67">
        <f t="shared" si="1"/>
        <v>303000000</v>
      </c>
      <c r="H17" s="67">
        <f t="shared" si="1"/>
        <v>303000000</v>
      </c>
      <c r="I17" s="67">
        <f t="shared" si="1"/>
        <v>303000000</v>
      </c>
      <c r="J17" s="67">
        <f t="shared" si="1"/>
        <v>303000000</v>
      </c>
      <c r="K17" s="22"/>
    </row>
    <row r="18" spans="1:11" ht="15.75" thickBot="1">
      <c r="A18" s="22"/>
      <c r="B18" s="22"/>
      <c r="C18" s="62"/>
      <c r="D18" s="63"/>
      <c r="E18" s="63"/>
      <c r="F18" s="63"/>
      <c r="G18" s="63"/>
      <c r="H18" s="63"/>
      <c r="I18" s="63"/>
      <c r="J18" s="65"/>
      <c r="K18" s="22"/>
    </row>
    <row r="19" spans="1:11" ht="15.75" thickBot="1">
      <c r="A19" s="58" t="s">
        <v>17</v>
      </c>
      <c r="B19" s="58" t="s">
        <v>178</v>
      </c>
      <c r="C19" s="62"/>
      <c r="D19" s="63"/>
      <c r="E19" s="63"/>
      <c r="F19" s="63"/>
      <c r="G19" s="63"/>
      <c r="H19" s="63"/>
      <c r="I19" s="63"/>
      <c r="J19" s="65"/>
      <c r="K19" s="22"/>
    </row>
    <row r="20" spans="1:11" ht="15.75" thickBot="1">
      <c r="A20" s="22"/>
      <c r="B20" s="22"/>
      <c r="C20" s="62"/>
      <c r="D20" s="63"/>
      <c r="E20" s="63"/>
      <c r="F20" s="63"/>
      <c r="G20" s="63"/>
      <c r="H20" s="63"/>
      <c r="I20" s="63"/>
      <c r="J20" s="65"/>
      <c r="K20" s="22"/>
    </row>
    <row r="21" spans="1:11" ht="15.75" thickBot="1">
      <c r="A21" s="22">
        <v>1</v>
      </c>
      <c r="B21" s="22" t="s">
        <v>179</v>
      </c>
      <c r="C21" s="66">
        <f>C9</f>
        <v>45429740.791268758</v>
      </c>
      <c r="D21" s="63"/>
      <c r="E21" s="63"/>
      <c r="F21" s="63"/>
      <c r="G21" s="63"/>
      <c r="H21" s="63"/>
      <c r="I21" s="63"/>
      <c r="J21" s="65"/>
      <c r="K21" s="22"/>
    </row>
    <row r="22" spans="1:11" ht="15.75" thickBot="1">
      <c r="A22" s="22"/>
      <c r="B22" s="22"/>
      <c r="C22" s="62"/>
      <c r="D22" s="63"/>
      <c r="E22" s="63"/>
      <c r="F22" s="63"/>
      <c r="G22" s="63"/>
      <c r="H22" s="63"/>
      <c r="I22" s="63"/>
      <c r="J22" s="65"/>
      <c r="K22" s="22"/>
    </row>
    <row r="23" spans="1:11" ht="15.75" thickBot="1">
      <c r="A23" s="22">
        <v>2</v>
      </c>
      <c r="B23" s="106" t="s">
        <v>180</v>
      </c>
      <c r="C23" s="62"/>
      <c r="D23" s="63"/>
      <c r="E23" s="63"/>
      <c r="F23" s="63"/>
      <c r="G23" s="63"/>
      <c r="H23" s="63"/>
      <c r="I23" s="63"/>
      <c r="J23" s="65"/>
      <c r="K23" s="22"/>
    </row>
    <row r="24" spans="1:11" ht="15.75" thickBot="1">
      <c r="A24" s="22"/>
      <c r="B24" s="22" t="s">
        <v>304</v>
      </c>
      <c r="C24" s="62"/>
      <c r="D24" s="107">
        <f>Opex!D8+Opex!D9+Opex!D10+Opex!D12+Opex!D15+Opex!D17+Opex!D19</f>
        <v>31043737.654680081</v>
      </c>
      <c r="E24" s="107">
        <v>31043737.654680081</v>
      </c>
      <c r="F24" s="107">
        <v>31043737.654680081</v>
      </c>
      <c r="G24" s="107">
        <v>31043737.654680081</v>
      </c>
      <c r="H24" s="107">
        <v>31043737.654680081</v>
      </c>
      <c r="I24" s="107">
        <v>31043737.654680081</v>
      </c>
      <c r="J24" s="107">
        <v>31043737.654680081</v>
      </c>
      <c r="K24" s="22"/>
    </row>
    <row r="25" spans="1:11" ht="15.75" thickBot="1">
      <c r="A25" s="22"/>
      <c r="B25" s="22" t="s">
        <v>297</v>
      </c>
      <c r="C25" s="62"/>
      <c r="D25" s="107">
        <f>Opex!D4*0.6</f>
        <v>117000000</v>
      </c>
      <c r="E25" s="107">
        <f>Opex!D4*0.8</f>
        <v>156000000</v>
      </c>
      <c r="F25" s="107">
        <v>195000000</v>
      </c>
      <c r="G25" s="107">
        <v>195000000</v>
      </c>
      <c r="H25" s="107">
        <v>195000000</v>
      </c>
      <c r="I25" s="107">
        <v>195000000</v>
      </c>
      <c r="J25" s="107">
        <v>195000000</v>
      </c>
      <c r="K25" s="22"/>
    </row>
    <row r="26" spans="1:11" ht="15.75" thickBot="1">
      <c r="A26" s="22"/>
      <c r="B26" s="22" t="s">
        <v>303</v>
      </c>
      <c r="C26" s="62"/>
      <c r="D26" s="107">
        <f>(Opex!D5+Opex!D6)*0.6</f>
        <v>1649700</v>
      </c>
      <c r="E26" s="107">
        <f>(Opex!D6+Opex!D5)*0.8</f>
        <v>2199600</v>
      </c>
      <c r="F26" s="107">
        <v>2749500</v>
      </c>
      <c r="G26" s="107">
        <v>2749500</v>
      </c>
      <c r="H26" s="107">
        <v>2749500</v>
      </c>
      <c r="I26" s="107">
        <v>2749500</v>
      </c>
      <c r="J26" s="107">
        <v>2749500</v>
      </c>
      <c r="K26" s="22"/>
    </row>
    <row r="27" spans="1:11" ht="15.75" thickBot="1">
      <c r="A27" s="22"/>
      <c r="B27" s="22" t="s">
        <v>302</v>
      </c>
      <c r="C27" s="62"/>
      <c r="D27" s="107">
        <f>(Opex!D7+Opex!D11+Opex!D18)*0.6</f>
        <v>25921688.950621963</v>
      </c>
      <c r="E27" s="107">
        <f>(Opex!D7+Opex!D11+Opex!D18)*0.8</f>
        <v>34562251.934162617</v>
      </c>
      <c r="F27" s="107">
        <f>Opex!D7+Opex!D11+Opex!D18</f>
        <v>43202814.917703271</v>
      </c>
      <c r="G27" s="107">
        <v>43202814.917703271</v>
      </c>
      <c r="H27" s="107">
        <v>43202814.917703271</v>
      </c>
      <c r="I27" s="107">
        <v>43202814.917703271</v>
      </c>
      <c r="J27" s="107">
        <v>43202814.917703271</v>
      </c>
      <c r="K27" s="22"/>
    </row>
    <row r="28" spans="1:11" ht="15.75" thickBot="1">
      <c r="A28" s="22"/>
      <c r="B28" s="22" t="s">
        <v>286</v>
      </c>
      <c r="C28" s="62"/>
      <c r="D28" s="67">
        <v>0</v>
      </c>
      <c r="E28" s="67">
        <v>0</v>
      </c>
      <c r="F28" s="67">
        <v>0</v>
      </c>
      <c r="G28" s="67">
        <v>0</v>
      </c>
      <c r="H28" s="67">
        <v>0</v>
      </c>
      <c r="I28" s="67">
        <v>0</v>
      </c>
      <c r="J28" s="67">
        <v>0</v>
      </c>
      <c r="K28" s="22"/>
    </row>
    <row r="29" spans="1:11" ht="15.75" thickBot="1">
      <c r="A29" s="22"/>
      <c r="B29" s="22" t="s">
        <v>181</v>
      </c>
      <c r="C29" s="62"/>
      <c r="D29" s="107">
        <f>SUM(D24:D28)</f>
        <v>175615126.60530204</v>
      </c>
      <c r="E29" s="107">
        <f t="shared" ref="E29:J29" si="2">SUM(E24:E28)</f>
        <v>223805589.58884269</v>
      </c>
      <c r="F29" s="107">
        <f t="shared" si="2"/>
        <v>271996052.57238334</v>
      </c>
      <c r="G29" s="107">
        <f t="shared" si="2"/>
        <v>271996052.57238334</v>
      </c>
      <c r="H29" s="107">
        <f t="shared" si="2"/>
        <v>271996052.57238334</v>
      </c>
      <c r="I29" s="107">
        <f t="shared" si="2"/>
        <v>271996052.57238334</v>
      </c>
      <c r="J29" s="107">
        <f t="shared" si="2"/>
        <v>271996052.57238334</v>
      </c>
      <c r="K29" s="22"/>
    </row>
    <row r="30" spans="1:11" ht="15.75" thickBot="1">
      <c r="A30" s="22"/>
      <c r="B30" s="22"/>
      <c r="C30" s="62"/>
      <c r="D30" s="63"/>
      <c r="E30" s="63"/>
      <c r="F30" s="63"/>
      <c r="G30" s="63"/>
      <c r="H30" s="63"/>
      <c r="I30" s="63"/>
      <c r="J30" s="65"/>
      <c r="K30" s="22"/>
    </row>
    <row r="31" spans="1:11" ht="15.75" thickBot="1">
      <c r="A31" s="22">
        <v>3</v>
      </c>
      <c r="B31" s="22" t="s">
        <v>182</v>
      </c>
      <c r="C31" s="62"/>
      <c r="D31" s="107">
        <f>D11-D29</f>
        <v>6184873.3946979642</v>
      </c>
      <c r="E31" s="107">
        <f>E11-E29</f>
        <v>18594410.41115728</v>
      </c>
      <c r="F31" s="107">
        <f t="shared" ref="F31:J31" si="3">F11-F29</f>
        <v>31003947.427616656</v>
      </c>
      <c r="G31" s="107">
        <f t="shared" si="3"/>
        <v>31003947.427616656</v>
      </c>
      <c r="H31" s="107">
        <f t="shared" si="3"/>
        <v>31003947.427616656</v>
      </c>
      <c r="I31" s="107">
        <f t="shared" si="3"/>
        <v>31003947.427616656</v>
      </c>
      <c r="J31" s="107">
        <f t="shared" si="3"/>
        <v>31003947.427616656</v>
      </c>
      <c r="K31" s="22"/>
    </row>
    <row r="32" spans="1:11" ht="15.75" thickBot="1">
      <c r="A32" s="22"/>
      <c r="B32" s="22"/>
      <c r="C32" s="62"/>
      <c r="D32" s="63"/>
      <c r="E32" s="63"/>
      <c r="F32" s="63"/>
      <c r="G32" s="63"/>
      <c r="H32" s="63"/>
      <c r="I32" s="63"/>
      <c r="J32" s="65"/>
      <c r="K32" s="22"/>
    </row>
    <row r="33" spans="1:11" ht="15.75" thickBot="1">
      <c r="A33" s="22">
        <v>4</v>
      </c>
      <c r="B33" s="22" t="s">
        <v>183</v>
      </c>
      <c r="C33" s="62"/>
      <c r="D33" s="107">
        <v>3108458.39017735</v>
      </c>
      <c r="E33" s="107">
        <v>3108458.3901773538</v>
      </c>
      <c r="F33" s="107">
        <v>3108458.3901773538</v>
      </c>
      <c r="G33" s="107">
        <v>3108458.39017735</v>
      </c>
      <c r="H33" s="107">
        <v>3108458.3901773538</v>
      </c>
      <c r="I33" s="107">
        <v>3108458.3901773538</v>
      </c>
      <c r="J33" s="107">
        <v>3108458.3901773538</v>
      </c>
      <c r="K33" s="22"/>
    </row>
    <row r="34" spans="1:11" ht="15.75" thickBot="1">
      <c r="A34" s="22"/>
      <c r="B34" s="22"/>
      <c r="C34" s="62"/>
      <c r="D34" s="107"/>
      <c r="E34" s="107"/>
      <c r="F34" s="107"/>
      <c r="G34" s="107"/>
      <c r="H34" s="107"/>
      <c r="I34" s="107"/>
      <c r="J34" s="107"/>
      <c r="K34" s="22"/>
    </row>
    <row r="35" spans="1:11" ht="15.75" thickBot="1">
      <c r="A35" s="22">
        <v>5</v>
      </c>
      <c r="B35" s="22" t="s">
        <v>306</v>
      </c>
      <c r="C35" s="62"/>
      <c r="D35" s="107">
        <f>(D31-D33)*30%</f>
        <v>922924.50135618425</v>
      </c>
      <c r="E35" s="107">
        <f t="shared" ref="E35:J35" si="4">(E31-E33)*30%</f>
        <v>4645785.6062939772</v>
      </c>
      <c r="F35" s="107">
        <f t="shared" si="4"/>
        <v>8368646.7112317905</v>
      </c>
      <c r="G35" s="107">
        <f t="shared" si="4"/>
        <v>8368646.7112317914</v>
      </c>
      <c r="H35" s="107">
        <f t="shared" si="4"/>
        <v>8368646.7112317905</v>
      </c>
      <c r="I35" s="107">
        <f t="shared" si="4"/>
        <v>8368646.7112317905</v>
      </c>
      <c r="J35" s="107">
        <f t="shared" si="4"/>
        <v>8368646.7112317905</v>
      </c>
      <c r="K35" s="22"/>
    </row>
    <row r="36" spans="1:11" ht="15.75" thickBot="1">
      <c r="A36" s="58" t="s">
        <v>24</v>
      </c>
      <c r="B36" s="58" t="s">
        <v>184</v>
      </c>
      <c r="C36" s="66">
        <f>-C21</f>
        <v>-45429740.791268758</v>
      </c>
      <c r="D36" s="107">
        <f>D31-D33-D35</f>
        <v>2153490.5031644301</v>
      </c>
      <c r="E36" s="107">
        <f t="shared" ref="E36:J36" si="5">E31-E33-E35</f>
        <v>10840166.41468595</v>
      </c>
      <c r="F36" s="107">
        <f t="shared" si="5"/>
        <v>19526842.326207511</v>
      </c>
      <c r="G36" s="107">
        <f t="shared" si="5"/>
        <v>19526842.326207515</v>
      </c>
      <c r="H36" s="107">
        <f t="shared" si="5"/>
        <v>19526842.326207511</v>
      </c>
      <c r="I36" s="107">
        <f t="shared" si="5"/>
        <v>19526842.326207511</v>
      </c>
      <c r="J36" s="107">
        <f t="shared" si="5"/>
        <v>19526842.326207511</v>
      </c>
      <c r="K36" s="22"/>
    </row>
    <row r="37" spans="1:11" ht="15.75" thickBot="1">
      <c r="A37" s="22"/>
      <c r="B37" s="22" t="s">
        <v>309</v>
      </c>
      <c r="C37" s="63">
        <f>C36</f>
        <v>-45429740.791268758</v>
      </c>
      <c r="D37" s="162">
        <f>C37+D36</f>
        <v>-43276250.288104326</v>
      </c>
      <c r="E37" s="162">
        <f t="shared" ref="E37:J37" si="6">D37+E36</f>
        <v>-32436083.873418376</v>
      </c>
      <c r="F37" s="162">
        <f t="shared" si="6"/>
        <v>-12909241.547210865</v>
      </c>
      <c r="G37" s="162">
        <f t="shared" si="6"/>
        <v>6617600.7789966501</v>
      </c>
      <c r="H37" s="162">
        <f t="shared" si="6"/>
        <v>26144443.105204161</v>
      </c>
      <c r="I37" s="162">
        <f t="shared" si="6"/>
        <v>45671285.431411669</v>
      </c>
      <c r="J37" s="162">
        <f t="shared" si="6"/>
        <v>65198127.75761918</v>
      </c>
      <c r="K37" s="152"/>
    </row>
    <row r="38" spans="1:11" ht="15.75" thickBot="1">
      <c r="A38" s="22"/>
      <c r="B38" s="22"/>
      <c r="C38" s="63"/>
      <c r="D38" s="63"/>
      <c r="E38" s="63"/>
      <c r="F38" s="63"/>
      <c r="G38" s="63"/>
      <c r="H38" s="63"/>
      <c r="I38" s="63"/>
      <c r="J38" s="63"/>
      <c r="K38" s="152"/>
    </row>
    <row r="39" spans="1:11" ht="15.75" thickBot="1">
      <c r="A39" s="22"/>
      <c r="B39" s="22" t="s">
        <v>308</v>
      </c>
      <c r="C39" s="63"/>
      <c r="D39" s="63">
        <f>1/(1+$C$44)</f>
        <v>0.90909090909090906</v>
      </c>
      <c r="E39" s="63">
        <f>D39/(1+$C$44)</f>
        <v>0.82644628099173545</v>
      </c>
      <c r="F39" s="63">
        <f t="shared" ref="F39:J39" si="7">E39/(1+$C$44)</f>
        <v>0.75131480090157765</v>
      </c>
      <c r="G39" s="63">
        <f t="shared" si="7"/>
        <v>0.68301345536507052</v>
      </c>
      <c r="H39" s="63">
        <f t="shared" si="7"/>
        <v>0.62092132305915493</v>
      </c>
      <c r="I39" s="63">
        <f t="shared" si="7"/>
        <v>0.56447393005377711</v>
      </c>
      <c r="J39" s="63">
        <f t="shared" si="7"/>
        <v>0.51315811823070645</v>
      </c>
      <c r="K39" s="152"/>
    </row>
    <row r="40" spans="1:11" ht="15.75" thickBot="1">
      <c r="A40" s="22"/>
      <c r="B40" s="22" t="s">
        <v>311</v>
      </c>
      <c r="C40" s="62"/>
      <c r="D40" s="154">
        <f t="shared" ref="D40:J40" si="8">D36*D39</f>
        <v>1957718.6392403911</v>
      </c>
      <c r="E40" s="154">
        <f t="shared" si="8"/>
        <v>8958815.2187487185</v>
      </c>
      <c r="F40" s="154">
        <f t="shared" si="8"/>
        <v>14670805.654551096</v>
      </c>
      <c r="G40" s="154">
        <f t="shared" si="8"/>
        <v>13337096.049591906</v>
      </c>
      <c r="H40" s="154">
        <f t="shared" si="8"/>
        <v>12124632.772356274</v>
      </c>
      <c r="I40" s="154">
        <f t="shared" si="8"/>
        <v>11022393.429414792</v>
      </c>
      <c r="J40" s="154">
        <f t="shared" si="8"/>
        <v>10020357.663104357</v>
      </c>
      <c r="K40" s="152"/>
    </row>
    <row r="41" spans="1:11" ht="15.75" thickBot="1">
      <c r="A41" s="22"/>
      <c r="B41" s="220" t="s">
        <v>185</v>
      </c>
      <c r="C41" s="153">
        <f>SUM(D40:J40)+SUM(C36:C36)</f>
        <v>26662078.635738783</v>
      </c>
      <c r="D41" s="68"/>
      <c r="E41" s="68"/>
      <c r="F41" s="68"/>
      <c r="G41" s="68"/>
      <c r="H41" s="68"/>
      <c r="I41" s="68"/>
      <c r="J41" s="69"/>
      <c r="K41" s="22"/>
    </row>
    <row r="42" spans="1:11" ht="15.75" thickBot="1">
      <c r="A42" s="22"/>
      <c r="B42" s="217" t="s">
        <v>186</v>
      </c>
      <c r="C42" s="151">
        <f>IRR(C36:J36,6%)</f>
        <v>0.22778720020296817</v>
      </c>
      <c r="D42" s="68"/>
      <c r="E42" s="68"/>
      <c r="F42" s="68"/>
      <c r="G42" s="68"/>
      <c r="H42" s="68"/>
      <c r="I42" s="68"/>
      <c r="J42" s="69"/>
      <c r="K42" s="22"/>
    </row>
    <row r="43" spans="1:11" ht="15.75" thickBot="1">
      <c r="A43" s="1"/>
      <c r="B43" s="218" t="s">
        <v>310</v>
      </c>
      <c r="C43" s="216">
        <f>3+(-F37/G36)</f>
        <v>3.6611023601027912</v>
      </c>
      <c r="D43" s="156"/>
      <c r="E43" s="156"/>
      <c r="F43" s="156"/>
      <c r="G43" s="156"/>
      <c r="H43" s="156"/>
      <c r="I43" s="156"/>
      <c r="J43" s="157"/>
      <c r="K43" s="1"/>
    </row>
    <row r="44" spans="1:11" ht="15.75" thickBot="1">
      <c r="B44" s="219" t="s">
        <v>291</v>
      </c>
      <c r="C44" s="221">
        <v>0.1</v>
      </c>
    </row>
    <row r="49" spans="3:10">
      <c r="J49" s="119"/>
    </row>
  </sheetData>
  <mergeCells count="2">
    <mergeCell ref="C2:K2"/>
    <mergeCell ref="D3:K3"/>
  </mergeCells>
  <hyperlinks>
    <hyperlink ref="B41" r:id="rId1" xr:uid="{1AE71A79-D5BA-4CA7-845E-4CB4AE685C06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0E76-D14B-4700-91F5-E77BABC315E0}">
  <dimension ref="A2:D29"/>
  <sheetViews>
    <sheetView topLeftCell="A12" workbookViewId="0">
      <selection activeCell="C25" sqref="C25"/>
    </sheetView>
  </sheetViews>
  <sheetFormatPr defaultRowHeight="15"/>
  <cols>
    <col min="2" max="2" width="23" bestFit="1" customWidth="1"/>
    <col min="3" max="3" width="41.85546875" customWidth="1"/>
    <col min="4" max="4" width="29.85546875" customWidth="1"/>
  </cols>
  <sheetData>
    <row r="2" spans="1:4">
      <c r="A2" s="166" t="s">
        <v>107</v>
      </c>
      <c r="B2" s="166"/>
      <c r="C2" s="166"/>
      <c r="D2" s="166"/>
    </row>
    <row r="3" spans="1:4">
      <c r="A3" s="22">
        <v>1</v>
      </c>
      <c r="B3" s="22" t="s">
        <v>58</v>
      </c>
      <c r="C3" s="22"/>
      <c r="D3" s="22"/>
    </row>
    <row r="4" spans="1:4">
      <c r="A4" s="22">
        <v>2</v>
      </c>
      <c r="B4" s="22" t="s">
        <v>59</v>
      </c>
      <c r="C4" s="22"/>
      <c r="D4" s="22"/>
    </row>
    <row r="5" spans="1:4">
      <c r="A5" s="22">
        <v>3</v>
      </c>
      <c r="B5" s="22" t="s">
        <v>60</v>
      </c>
      <c r="C5" s="22"/>
      <c r="D5" s="22"/>
    </row>
    <row r="6" spans="1:4">
      <c r="A6" s="22">
        <v>4</v>
      </c>
      <c r="B6" s="22" t="s">
        <v>61</v>
      </c>
      <c r="C6" s="22"/>
      <c r="D6" s="22"/>
    </row>
    <row r="7" spans="1:4">
      <c r="A7" s="22">
        <v>5</v>
      </c>
      <c r="B7" s="22" t="s">
        <v>62</v>
      </c>
      <c r="C7" s="22"/>
      <c r="D7" s="22"/>
    </row>
    <row r="8" spans="1:4">
      <c r="A8" s="22"/>
      <c r="B8" s="23" t="s">
        <v>93</v>
      </c>
      <c r="C8" s="22" t="s">
        <v>63</v>
      </c>
      <c r="D8" s="22" t="s">
        <v>102</v>
      </c>
    </row>
    <row r="9" spans="1:4">
      <c r="A9" s="22"/>
      <c r="B9" s="23" t="s">
        <v>95</v>
      </c>
      <c r="C9" s="22" t="s">
        <v>64</v>
      </c>
      <c r="D9" s="22" t="s">
        <v>103</v>
      </c>
    </row>
    <row r="10" spans="1:4">
      <c r="A10" s="22"/>
      <c r="B10" s="23" t="s">
        <v>96</v>
      </c>
      <c r="C10" s="22" t="s">
        <v>65</v>
      </c>
      <c r="D10" s="22" t="s">
        <v>104</v>
      </c>
    </row>
    <row r="11" spans="1:4">
      <c r="A11" s="22"/>
      <c r="B11" s="23" t="s">
        <v>97</v>
      </c>
      <c r="C11" s="22" t="s">
        <v>66</v>
      </c>
      <c r="D11" s="22" t="s">
        <v>105</v>
      </c>
    </row>
    <row r="12" spans="1:4">
      <c r="A12" s="22"/>
      <c r="B12" s="23"/>
      <c r="C12" s="22" t="s">
        <v>91</v>
      </c>
      <c r="D12" s="22" t="s">
        <v>106</v>
      </c>
    </row>
    <row r="13" spans="1:4">
      <c r="A13" s="22">
        <v>6</v>
      </c>
      <c r="B13" s="22" t="s">
        <v>67</v>
      </c>
      <c r="C13" s="22"/>
      <c r="D13" s="22"/>
    </row>
    <row r="14" spans="1:4">
      <c r="A14" s="22"/>
      <c r="B14" s="23" t="s">
        <v>93</v>
      </c>
      <c r="C14" s="22" t="s">
        <v>68</v>
      </c>
      <c r="D14" s="22" t="s">
        <v>84</v>
      </c>
    </row>
    <row r="15" spans="1:4">
      <c r="A15" s="22"/>
      <c r="B15" s="23" t="s">
        <v>95</v>
      </c>
      <c r="C15" s="22" t="s">
        <v>69</v>
      </c>
      <c r="D15" s="22" t="s">
        <v>85</v>
      </c>
    </row>
    <row r="16" spans="1:4">
      <c r="A16" s="22"/>
      <c r="B16" s="23" t="s">
        <v>96</v>
      </c>
      <c r="C16" s="22" t="s">
        <v>70</v>
      </c>
      <c r="D16" s="22" t="s">
        <v>86</v>
      </c>
    </row>
    <row r="17" spans="1:4">
      <c r="A17" s="22"/>
      <c r="B17" s="23" t="s">
        <v>97</v>
      </c>
      <c r="C17" s="22" t="s">
        <v>71</v>
      </c>
      <c r="D17" s="22" t="s">
        <v>87</v>
      </c>
    </row>
    <row r="18" spans="1:4">
      <c r="A18" s="22"/>
      <c r="B18" s="23" t="s">
        <v>94</v>
      </c>
      <c r="C18" s="22" t="s">
        <v>72</v>
      </c>
      <c r="D18" s="22" t="s">
        <v>88</v>
      </c>
    </row>
    <row r="19" spans="1:4">
      <c r="A19" s="22"/>
      <c r="B19" s="23" t="s">
        <v>98</v>
      </c>
      <c r="C19" s="22" t="s">
        <v>73</v>
      </c>
      <c r="D19" s="22" t="s">
        <v>89</v>
      </c>
    </row>
    <row r="20" spans="1:4">
      <c r="A20" s="22"/>
      <c r="B20" s="23" t="s">
        <v>99</v>
      </c>
      <c r="C20" s="22" t="s">
        <v>66</v>
      </c>
      <c r="D20" s="22" t="s">
        <v>90</v>
      </c>
    </row>
    <row r="21" spans="1:4">
      <c r="A21" s="22"/>
      <c r="B21" s="22"/>
      <c r="C21" s="22" t="s">
        <v>91</v>
      </c>
      <c r="D21" s="22" t="s">
        <v>92</v>
      </c>
    </row>
    <row r="22" spans="1:4">
      <c r="A22" s="22">
        <v>7</v>
      </c>
      <c r="B22" s="22" t="s">
        <v>74</v>
      </c>
      <c r="C22" s="22"/>
      <c r="D22" s="22"/>
    </row>
    <row r="23" spans="1:4">
      <c r="A23" s="22"/>
      <c r="B23" s="23" t="s">
        <v>93</v>
      </c>
      <c r="C23" s="22" t="s">
        <v>75</v>
      </c>
      <c r="D23" s="22" t="s">
        <v>80</v>
      </c>
    </row>
    <row r="24" spans="1:4">
      <c r="A24" s="22"/>
      <c r="B24" s="23" t="s">
        <v>95</v>
      </c>
      <c r="C24" s="22" t="s">
        <v>76</v>
      </c>
      <c r="D24" s="22" t="s">
        <v>81</v>
      </c>
    </row>
    <row r="25" spans="1:4">
      <c r="A25" s="22"/>
      <c r="B25" s="23" t="s">
        <v>96</v>
      </c>
      <c r="C25" s="22" t="s">
        <v>77</v>
      </c>
      <c r="D25" s="22" t="s">
        <v>82</v>
      </c>
    </row>
    <row r="26" spans="1:4">
      <c r="A26" s="22"/>
      <c r="B26" s="23" t="s">
        <v>97</v>
      </c>
      <c r="C26" s="22" t="s">
        <v>78</v>
      </c>
      <c r="D26" s="22" t="s">
        <v>82</v>
      </c>
    </row>
    <row r="27" spans="1:4">
      <c r="A27" s="22"/>
      <c r="B27" s="23" t="s">
        <v>94</v>
      </c>
      <c r="C27" s="22" t="s">
        <v>79</v>
      </c>
      <c r="D27" s="22" t="s">
        <v>83</v>
      </c>
    </row>
    <row r="28" spans="1:4">
      <c r="A28" s="22"/>
      <c r="B28" s="23" t="s">
        <v>98</v>
      </c>
      <c r="C28" s="22" t="s">
        <v>66</v>
      </c>
      <c r="D28" s="22" t="s">
        <v>100</v>
      </c>
    </row>
    <row r="29" spans="1:4">
      <c r="A29" s="22"/>
      <c r="B29" s="23"/>
      <c r="C29" s="22" t="s">
        <v>91</v>
      </c>
      <c r="D29" s="22" t="s">
        <v>101</v>
      </c>
    </row>
  </sheetData>
  <mergeCells count="1"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2006-FA69-488A-A2DC-172EB5524698}">
  <dimension ref="A1:I29"/>
  <sheetViews>
    <sheetView workbookViewId="0">
      <selection activeCell="P19" sqref="P19"/>
    </sheetView>
  </sheetViews>
  <sheetFormatPr defaultRowHeight="15"/>
  <cols>
    <col min="2" max="2" width="30.140625" bestFit="1" customWidth="1"/>
  </cols>
  <sheetData>
    <row r="1" spans="1:9">
      <c r="A1" s="197" t="s">
        <v>275</v>
      </c>
      <c r="B1" s="198"/>
      <c r="C1" s="201" t="s">
        <v>276</v>
      </c>
      <c r="D1" s="202"/>
      <c r="E1" s="198"/>
      <c r="F1" s="201" t="s">
        <v>277</v>
      </c>
      <c r="G1" s="202"/>
      <c r="H1" s="198"/>
      <c r="I1" s="75"/>
    </row>
    <row r="2" spans="1:9" ht="15.75" thickBot="1">
      <c r="A2" s="199"/>
      <c r="B2" s="200"/>
      <c r="C2" s="203"/>
      <c r="D2" s="204"/>
      <c r="E2" s="200"/>
      <c r="F2" s="203"/>
      <c r="G2" s="204"/>
      <c r="H2" s="200"/>
      <c r="I2" s="75"/>
    </row>
    <row r="3" spans="1:9" ht="15.75" thickBot="1">
      <c r="A3" s="205"/>
      <c r="B3" s="206"/>
      <c r="C3" s="76" t="s">
        <v>278</v>
      </c>
      <c r="D3" s="76" t="s">
        <v>2</v>
      </c>
      <c r="E3" s="76" t="s">
        <v>4</v>
      </c>
      <c r="F3" s="76" t="s">
        <v>278</v>
      </c>
      <c r="G3" s="76" t="s">
        <v>2</v>
      </c>
      <c r="H3" s="76" t="s">
        <v>4</v>
      </c>
      <c r="I3" s="75"/>
    </row>
    <row r="4" spans="1:9" ht="15.75" thickBot="1">
      <c r="A4" s="207"/>
      <c r="B4" s="208"/>
      <c r="C4" s="77" t="s">
        <v>1</v>
      </c>
      <c r="D4" s="77" t="s">
        <v>40</v>
      </c>
      <c r="E4" s="77" t="s">
        <v>42</v>
      </c>
      <c r="F4" s="77" t="s">
        <v>1</v>
      </c>
      <c r="G4" s="77" t="s">
        <v>40</v>
      </c>
      <c r="H4" s="77" t="s">
        <v>42</v>
      </c>
      <c r="I4" s="75"/>
    </row>
    <row r="5" spans="1:9" ht="15.75" thickBot="1">
      <c r="A5" s="78" t="s">
        <v>6</v>
      </c>
      <c r="B5" s="79" t="s">
        <v>7</v>
      </c>
      <c r="C5" s="180"/>
      <c r="D5" s="209"/>
      <c r="E5" s="209"/>
      <c r="F5" s="209"/>
      <c r="G5" s="209"/>
      <c r="H5" s="210"/>
      <c r="I5" s="75"/>
    </row>
    <row r="6" spans="1:9" ht="15.75" thickBot="1">
      <c r="A6" s="213">
        <v>1</v>
      </c>
      <c r="B6" s="80" t="s">
        <v>279</v>
      </c>
      <c r="C6" s="184"/>
      <c r="D6" s="211"/>
      <c r="E6" s="211"/>
      <c r="F6" s="211"/>
      <c r="G6" s="211"/>
      <c r="H6" s="212"/>
      <c r="I6" s="75"/>
    </row>
    <row r="7" spans="1:9" ht="15.75" thickBot="1">
      <c r="A7" s="214"/>
      <c r="B7" s="81" t="s">
        <v>37</v>
      </c>
      <c r="C7" s="82">
        <v>0.7</v>
      </c>
      <c r="D7" s="82">
        <v>1400</v>
      </c>
      <c r="E7" s="82">
        <v>974.4</v>
      </c>
      <c r="F7" s="82">
        <v>0.7</v>
      </c>
      <c r="G7" s="82">
        <v>1400</v>
      </c>
      <c r="H7" s="82">
        <v>974.4</v>
      </c>
      <c r="I7" s="75"/>
    </row>
    <row r="8" spans="1:9" ht="15.75" thickBot="1">
      <c r="A8" s="214"/>
      <c r="B8" s="81" t="s">
        <v>38</v>
      </c>
      <c r="C8" s="82">
        <v>0.6</v>
      </c>
      <c r="D8" s="82">
        <v>1600</v>
      </c>
      <c r="E8" s="82">
        <v>900.6</v>
      </c>
      <c r="F8" s="82">
        <v>0.6</v>
      </c>
      <c r="G8" s="82">
        <v>1600</v>
      </c>
      <c r="H8" s="82">
        <v>900.6</v>
      </c>
      <c r="I8" s="75"/>
    </row>
    <row r="9" spans="1:9" ht="15.75" thickBot="1">
      <c r="A9" s="214"/>
      <c r="B9" s="81" t="s">
        <v>39</v>
      </c>
      <c r="C9" s="82">
        <v>0.5</v>
      </c>
      <c r="D9" s="82">
        <v>150</v>
      </c>
      <c r="E9" s="82">
        <v>75</v>
      </c>
      <c r="F9" s="82">
        <v>0.5</v>
      </c>
      <c r="G9" s="82">
        <v>150</v>
      </c>
      <c r="H9" s="82">
        <v>75</v>
      </c>
      <c r="I9" s="75"/>
    </row>
    <row r="10" spans="1:9" ht="15.75" thickBot="1">
      <c r="A10" s="215"/>
      <c r="B10" s="83" t="s">
        <v>12</v>
      </c>
      <c r="C10" s="84">
        <v>1.8</v>
      </c>
      <c r="D10" s="84">
        <v>3150</v>
      </c>
      <c r="E10" s="84">
        <v>1950</v>
      </c>
      <c r="F10" s="84">
        <v>1.8</v>
      </c>
      <c r="G10" s="84">
        <v>3150</v>
      </c>
      <c r="H10" s="85">
        <v>1950</v>
      </c>
      <c r="I10" s="75">
        <f>H10*74</f>
        <v>144300</v>
      </c>
    </row>
    <row r="11" spans="1:9" ht="15.75" thickBot="1">
      <c r="A11" s="86">
        <v>2</v>
      </c>
      <c r="B11" s="80" t="s">
        <v>280</v>
      </c>
      <c r="C11" s="180"/>
      <c r="D11" s="181"/>
      <c r="E11" s="87">
        <v>260</v>
      </c>
      <c r="F11" s="186"/>
      <c r="G11" s="187"/>
      <c r="H11" s="82">
        <v>255</v>
      </c>
      <c r="I11" s="75">
        <f t="shared" ref="I11:I29" si="0">H11*74</f>
        <v>18870</v>
      </c>
    </row>
    <row r="12" spans="1:9" ht="15.75" thickBot="1">
      <c r="A12" s="78"/>
      <c r="B12" s="88" t="s">
        <v>16</v>
      </c>
      <c r="C12" s="182"/>
      <c r="D12" s="183"/>
      <c r="E12" s="89">
        <v>2210</v>
      </c>
      <c r="F12" s="188"/>
      <c r="G12" s="189"/>
      <c r="H12" s="90">
        <v>2205</v>
      </c>
      <c r="I12" s="75">
        <f t="shared" si="0"/>
        <v>163170</v>
      </c>
    </row>
    <row r="13" spans="1:9" ht="15.75" thickBot="1">
      <c r="A13" s="176"/>
      <c r="B13" s="177"/>
      <c r="C13" s="182"/>
      <c r="D13" s="183"/>
      <c r="E13" s="192"/>
      <c r="F13" s="188"/>
      <c r="G13" s="189"/>
      <c r="H13" s="192"/>
      <c r="I13" s="75">
        <f t="shared" si="0"/>
        <v>0</v>
      </c>
    </row>
    <row r="14" spans="1:9" ht="15.75" thickBot="1">
      <c r="A14" s="91" t="s">
        <v>17</v>
      </c>
      <c r="B14" s="88" t="s">
        <v>18</v>
      </c>
      <c r="C14" s="182"/>
      <c r="D14" s="183"/>
      <c r="E14" s="193"/>
      <c r="F14" s="188"/>
      <c r="G14" s="189"/>
      <c r="H14" s="193"/>
      <c r="I14" s="75">
        <f t="shared" si="0"/>
        <v>0</v>
      </c>
    </row>
    <row r="15" spans="1:9" ht="15.75" thickBot="1">
      <c r="A15" s="86">
        <v>1</v>
      </c>
      <c r="B15" s="80" t="s">
        <v>281</v>
      </c>
      <c r="C15" s="182"/>
      <c r="D15" s="183"/>
      <c r="E15" s="194">
        <v>454.4</v>
      </c>
      <c r="F15" s="188"/>
      <c r="G15" s="189"/>
      <c r="H15" s="194">
        <v>415</v>
      </c>
      <c r="I15" s="75">
        <f>H15*74</f>
        <v>30710</v>
      </c>
    </row>
    <row r="16" spans="1:9" ht="15.75" thickBot="1">
      <c r="A16" s="86">
        <v>2</v>
      </c>
      <c r="B16" s="80" t="s">
        <v>282</v>
      </c>
      <c r="C16" s="182"/>
      <c r="D16" s="183"/>
      <c r="E16" s="195"/>
      <c r="F16" s="188"/>
      <c r="G16" s="189"/>
      <c r="H16" s="195"/>
      <c r="I16" s="75">
        <f t="shared" si="0"/>
        <v>0</v>
      </c>
    </row>
    <row r="17" spans="1:9" ht="15.75" thickBot="1">
      <c r="A17" s="86">
        <v>3</v>
      </c>
      <c r="B17" s="92" t="s">
        <v>283</v>
      </c>
      <c r="C17" s="182"/>
      <c r="D17" s="183"/>
      <c r="E17" s="195"/>
      <c r="F17" s="188"/>
      <c r="G17" s="189"/>
      <c r="H17" s="195"/>
      <c r="I17" s="75">
        <f t="shared" si="0"/>
        <v>0</v>
      </c>
    </row>
    <row r="18" spans="1:9" ht="15.75" thickBot="1">
      <c r="A18" s="86">
        <v>5</v>
      </c>
      <c r="B18" s="93" t="s">
        <v>284</v>
      </c>
      <c r="C18" s="182"/>
      <c r="D18" s="183"/>
      <c r="E18" s="196"/>
      <c r="F18" s="188"/>
      <c r="G18" s="189"/>
      <c r="H18" s="196"/>
      <c r="I18" s="75">
        <f t="shared" si="0"/>
        <v>0</v>
      </c>
    </row>
    <row r="19" spans="1:9" ht="15.75" thickBot="1">
      <c r="A19" s="78"/>
      <c r="B19" s="88" t="s">
        <v>23</v>
      </c>
      <c r="C19" s="182"/>
      <c r="D19" s="183"/>
      <c r="E19" s="89">
        <v>454.4</v>
      </c>
      <c r="F19" s="188"/>
      <c r="G19" s="189"/>
      <c r="H19" s="90">
        <v>415</v>
      </c>
      <c r="I19" s="75">
        <f t="shared" si="0"/>
        <v>30710</v>
      </c>
    </row>
    <row r="20" spans="1:9" ht="15.75" thickBot="1">
      <c r="A20" s="176"/>
      <c r="B20" s="177"/>
      <c r="C20" s="182"/>
      <c r="D20" s="183"/>
      <c r="E20" s="94"/>
      <c r="F20" s="188"/>
      <c r="G20" s="189"/>
      <c r="H20" s="95"/>
      <c r="I20" s="75">
        <f t="shared" si="0"/>
        <v>0</v>
      </c>
    </row>
    <row r="21" spans="1:9" ht="15.75" thickBot="1">
      <c r="A21" s="78" t="s">
        <v>24</v>
      </c>
      <c r="B21" s="88" t="s">
        <v>25</v>
      </c>
      <c r="C21" s="182"/>
      <c r="D21" s="183"/>
      <c r="E21" s="89">
        <v>2664.4</v>
      </c>
      <c r="F21" s="188"/>
      <c r="G21" s="189"/>
      <c r="H21" s="90">
        <v>2620</v>
      </c>
      <c r="I21" s="75">
        <f t="shared" si="0"/>
        <v>193880</v>
      </c>
    </row>
    <row r="22" spans="1:9" ht="15.75" thickBot="1">
      <c r="A22" s="176"/>
      <c r="B22" s="177"/>
      <c r="C22" s="182"/>
      <c r="D22" s="183"/>
      <c r="E22" s="94"/>
      <c r="F22" s="188"/>
      <c r="G22" s="189"/>
      <c r="H22" s="95"/>
      <c r="I22" s="75">
        <f t="shared" si="0"/>
        <v>0</v>
      </c>
    </row>
    <row r="23" spans="1:9" ht="15.75" thickBot="1">
      <c r="A23" s="78" t="s">
        <v>26</v>
      </c>
      <c r="B23" s="88" t="s">
        <v>27</v>
      </c>
      <c r="C23" s="182"/>
      <c r="D23" s="183"/>
      <c r="E23" s="89">
        <v>35</v>
      </c>
      <c r="F23" s="188"/>
      <c r="G23" s="189"/>
      <c r="H23" s="90">
        <v>35</v>
      </c>
      <c r="I23" s="75">
        <f t="shared" si="0"/>
        <v>2590</v>
      </c>
    </row>
    <row r="24" spans="1:9" ht="15.75" thickBot="1">
      <c r="A24" s="176"/>
      <c r="B24" s="177"/>
      <c r="C24" s="182"/>
      <c r="D24" s="183"/>
      <c r="E24" s="94"/>
      <c r="F24" s="188"/>
      <c r="G24" s="189"/>
      <c r="H24" s="95"/>
      <c r="I24" s="75">
        <f t="shared" si="0"/>
        <v>0</v>
      </c>
    </row>
    <row r="25" spans="1:9" ht="15.75" thickBot="1">
      <c r="A25" s="78" t="s">
        <v>28</v>
      </c>
      <c r="B25" s="88" t="s">
        <v>29</v>
      </c>
      <c r="C25" s="182"/>
      <c r="D25" s="183"/>
      <c r="E25" s="89">
        <v>2699.4</v>
      </c>
      <c r="F25" s="188"/>
      <c r="G25" s="189"/>
      <c r="H25" s="90">
        <v>2655</v>
      </c>
      <c r="I25" s="75">
        <f t="shared" si="0"/>
        <v>196470</v>
      </c>
    </row>
    <row r="26" spans="1:9" ht="15.75" thickBot="1">
      <c r="A26" s="176"/>
      <c r="B26" s="177"/>
      <c r="C26" s="182"/>
      <c r="D26" s="183"/>
      <c r="E26" s="96"/>
      <c r="F26" s="188"/>
      <c r="G26" s="189"/>
      <c r="H26" s="97"/>
      <c r="I26" s="75">
        <f t="shared" si="0"/>
        <v>0</v>
      </c>
    </row>
    <row r="27" spans="1:9" ht="15.75" thickBot="1">
      <c r="A27" s="78" t="s">
        <v>30</v>
      </c>
      <c r="B27" s="88" t="s">
        <v>36</v>
      </c>
      <c r="C27" s="182"/>
      <c r="D27" s="183"/>
      <c r="E27" s="89">
        <v>52</v>
      </c>
      <c r="F27" s="188"/>
      <c r="G27" s="189"/>
      <c r="H27" s="90">
        <v>52</v>
      </c>
      <c r="I27" s="75">
        <f t="shared" si="0"/>
        <v>3848</v>
      </c>
    </row>
    <row r="28" spans="1:9" ht="15.75" thickBot="1">
      <c r="A28" s="178"/>
      <c r="B28" s="179"/>
      <c r="C28" s="182"/>
      <c r="D28" s="183"/>
      <c r="E28" s="96"/>
      <c r="F28" s="188"/>
      <c r="G28" s="189"/>
      <c r="H28" s="97"/>
      <c r="I28" s="75">
        <f t="shared" si="0"/>
        <v>0</v>
      </c>
    </row>
    <row r="29" spans="1:9" ht="15.75" thickBot="1">
      <c r="A29" s="78" t="s">
        <v>31</v>
      </c>
      <c r="B29" s="88" t="s">
        <v>32</v>
      </c>
      <c r="C29" s="184"/>
      <c r="D29" s="185"/>
      <c r="E29" s="89">
        <v>2751.4</v>
      </c>
      <c r="F29" s="190"/>
      <c r="G29" s="191"/>
      <c r="H29" s="90">
        <v>2707</v>
      </c>
      <c r="I29" s="75">
        <f t="shared" si="0"/>
        <v>200318</v>
      </c>
    </row>
  </sheetData>
  <mergeCells count="18">
    <mergeCell ref="A1:B2"/>
    <mergeCell ref="C1:E2"/>
    <mergeCell ref="F1:H2"/>
    <mergeCell ref="A3:B4"/>
    <mergeCell ref="C5:H6"/>
    <mergeCell ref="A6:A10"/>
    <mergeCell ref="H13:H14"/>
    <mergeCell ref="E15:E18"/>
    <mergeCell ref="H15:H18"/>
    <mergeCell ref="A20:B20"/>
    <mergeCell ref="A22:B22"/>
    <mergeCell ref="A26:B26"/>
    <mergeCell ref="A28:B28"/>
    <mergeCell ref="C11:D29"/>
    <mergeCell ref="F11:G29"/>
    <mergeCell ref="A13:B13"/>
    <mergeCell ref="E13:E14"/>
    <mergeCell ref="A24:B2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Capex and Opex</vt:lpstr>
      <vt:lpstr>Sheet1</vt:lpstr>
      <vt:lpstr>Equipment List</vt:lpstr>
      <vt:lpstr>Capex</vt:lpstr>
      <vt:lpstr>Opex</vt:lpstr>
      <vt:lpstr>Cash Flow</vt:lpstr>
      <vt:lpstr>Reference Sheet</vt:lpstr>
      <vt:lpstr>Reference 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Kumar</dc:creator>
  <cp:lastModifiedBy>Hardik Malhotra</cp:lastModifiedBy>
  <cp:lastPrinted>2021-10-13T09:48:19Z</cp:lastPrinted>
  <dcterms:created xsi:type="dcterms:W3CDTF">2021-09-28T07:47:51Z</dcterms:created>
  <dcterms:modified xsi:type="dcterms:W3CDTF">2021-10-18T09:07:22Z</dcterms:modified>
</cp:coreProperties>
</file>