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.singh\Desktop\Ankit Rathore\New Journey\Files\Automechanika\"/>
    </mc:Choice>
  </mc:AlternateContent>
  <xr:revisionPtr revIDLastSave="0" documentId="8_{3F612867-FF35-43EB-98CB-B1DA907D6BB7}" xr6:coauthVersionLast="47" xr6:coauthVersionMax="47" xr10:uidLastSave="{00000000-0000-0000-0000-000000000000}"/>
  <bookViews>
    <workbookView xWindow="-110" yWindow="-110" windowWidth="19420" windowHeight="10300" activeTab="1" xr2:uid="{3725CF40-6FBC-4A72-81D1-B6ADF3187956}"/>
  </bookViews>
  <sheets>
    <sheet name="CSA" sheetId="1" r:id="rId1"/>
    <sheet name="Import Analysis" sheetId="2" r:id="rId2"/>
    <sheet name="Country" sheetId="3" r:id="rId3"/>
    <sheet name="Jatin" sheetId="4" r:id="rId4"/>
    <sheet name="Others" sheetId="5" r:id="rId5"/>
    <sheet name="Tires" sheetId="6" r:id="rId6"/>
    <sheet name="Lubricants" sheetId="7" r:id="rId7"/>
    <sheet name="Batteries" sheetId="8" r:id="rId8"/>
    <sheet name="Brake parts" sheetId="9" r:id="rId9"/>
    <sheet name="ignition parts" sheetId="10" r:id="rId10"/>
    <sheet name="Tires_UNCOMTRADE" sheetId="11" r:id="rId11"/>
    <sheet name="Lubricants_UNCOM" sheetId="12" r:id="rId12"/>
    <sheet name="Batteries_DGFT" sheetId="13" r:id="rId13"/>
    <sheet name="Brake parts_DGFT" sheetId="14" r:id="rId14"/>
    <sheet name="Ignition parts_DGFT" sheetId="15" r:id="rId15"/>
  </sheets>
  <definedNames>
    <definedName name="_xlnm._FilterDatabase" localSheetId="10" hidden="1">Tires_UNCOMTRADE!$A$1:$AF$216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5" l="1"/>
  <c r="M49" i="15" s="1"/>
  <c r="M41" i="14"/>
  <c r="M40" i="14"/>
  <c r="N100" i="13"/>
  <c r="H98" i="13"/>
  <c r="I98" i="13" s="1"/>
  <c r="H97" i="13"/>
  <c r="I97" i="13" s="1"/>
  <c r="I96" i="13"/>
  <c r="H96" i="13"/>
  <c r="H95" i="13"/>
  <c r="I95" i="13" s="1"/>
  <c r="H94" i="13"/>
  <c r="I94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I84" i="13"/>
  <c r="H84" i="13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AF216" i="11"/>
  <c r="AE216" i="11"/>
  <c r="AD216" i="11"/>
  <c r="AC216" i="11"/>
  <c r="AB216" i="11"/>
  <c r="AA216" i="11"/>
  <c r="Z216" i="11"/>
  <c r="AI213" i="11"/>
  <c r="AH213" i="11"/>
  <c r="AG213" i="11"/>
  <c r="AF213" i="11"/>
  <c r="AE213" i="11"/>
  <c r="AD213" i="11"/>
  <c r="AC213" i="11"/>
  <c r="AB213" i="11"/>
  <c r="AA213" i="11"/>
  <c r="Z213" i="11"/>
  <c r="AF206" i="11"/>
  <c r="AE206" i="11"/>
  <c r="AD206" i="11"/>
  <c r="AC206" i="11"/>
  <c r="AB206" i="11"/>
  <c r="AA206" i="11"/>
  <c r="Z206" i="11"/>
  <c r="AF199" i="11"/>
  <c r="AE199" i="11"/>
  <c r="AD199" i="11"/>
  <c r="AC199" i="11"/>
  <c r="AB199" i="11"/>
  <c r="AA199" i="11"/>
  <c r="Z199" i="11"/>
  <c r="AF196" i="11"/>
  <c r="AE196" i="11"/>
  <c r="AD196" i="11"/>
  <c r="AC196" i="11"/>
  <c r="AB196" i="11"/>
  <c r="AA196" i="11"/>
  <c r="Z196" i="11"/>
  <c r="AF191" i="11"/>
  <c r="AE191" i="11"/>
  <c r="AD191" i="11"/>
  <c r="AC191" i="11"/>
  <c r="AB191" i="11"/>
  <c r="AA191" i="11"/>
  <c r="Z191" i="11"/>
  <c r="AF185" i="11"/>
  <c r="AE185" i="11"/>
  <c r="AD185" i="11"/>
  <c r="AC185" i="11"/>
  <c r="AB185" i="11"/>
  <c r="AA185" i="11"/>
  <c r="Z185" i="11"/>
  <c r="AF179" i="11"/>
  <c r="AE179" i="11"/>
  <c r="AD179" i="11"/>
  <c r="AC179" i="11"/>
  <c r="AB179" i="11"/>
  <c r="AA179" i="11"/>
  <c r="Z179" i="11"/>
  <c r="AF175" i="11"/>
  <c r="AE175" i="11"/>
  <c r="AD175" i="11"/>
  <c r="AC175" i="11"/>
  <c r="AB175" i="11"/>
  <c r="AA175" i="11"/>
  <c r="Z175" i="11"/>
  <c r="AF169" i="11"/>
  <c r="AE169" i="11"/>
  <c r="AD169" i="11"/>
  <c r="AC169" i="11"/>
  <c r="AB169" i="11"/>
  <c r="AA169" i="11"/>
  <c r="Z169" i="11"/>
  <c r="AI162" i="11"/>
  <c r="AH162" i="11"/>
  <c r="AG162" i="11"/>
  <c r="AF162" i="11"/>
  <c r="AE162" i="11"/>
  <c r="AD162" i="11"/>
  <c r="AC162" i="11"/>
  <c r="AB162" i="11"/>
  <c r="AA162" i="11"/>
  <c r="Z162" i="11"/>
  <c r="AF158" i="11"/>
  <c r="AE158" i="11"/>
  <c r="AD158" i="11"/>
  <c r="AC158" i="11"/>
  <c r="AB158" i="11"/>
  <c r="AA158" i="11"/>
  <c r="Z158" i="11"/>
  <c r="AF153" i="11"/>
  <c r="AE153" i="11"/>
  <c r="AD153" i="11"/>
  <c r="AC153" i="11"/>
  <c r="AB153" i="11"/>
  <c r="AA153" i="11"/>
  <c r="Z153" i="11"/>
  <c r="AF147" i="11"/>
  <c r="AE147" i="11"/>
  <c r="AD147" i="11"/>
  <c r="AC147" i="11"/>
  <c r="AB147" i="11"/>
  <c r="AA147" i="11"/>
  <c r="Z147" i="11"/>
  <c r="AF144" i="11"/>
  <c r="AE144" i="11"/>
  <c r="AD144" i="11"/>
  <c r="AC144" i="11"/>
  <c r="AB144" i="11"/>
  <c r="AA144" i="11"/>
  <c r="Z144" i="11"/>
  <c r="AI141" i="11"/>
  <c r="AH141" i="11"/>
  <c r="AG141" i="11"/>
  <c r="AF141" i="11"/>
  <c r="AE141" i="11"/>
  <c r="AD141" i="11"/>
  <c r="AC141" i="11"/>
  <c r="AB141" i="11"/>
  <c r="AA141" i="11"/>
  <c r="Z141" i="11"/>
  <c r="AF134" i="11"/>
  <c r="AE134" i="11"/>
  <c r="AD134" i="11"/>
  <c r="AC134" i="11"/>
  <c r="AB134" i="11"/>
  <c r="AA134" i="11"/>
  <c r="Z134" i="11"/>
  <c r="AF128" i="11"/>
  <c r="AE128" i="11"/>
  <c r="AD128" i="11"/>
  <c r="AC128" i="11"/>
  <c r="AB128" i="11"/>
  <c r="AA128" i="11"/>
  <c r="Z128" i="11"/>
  <c r="AF124" i="11"/>
  <c r="AE124" i="11"/>
  <c r="AD124" i="11"/>
  <c r="AC124" i="11"/>
  <c r="AB124" i="11"/>
  <c r="AA124" i="11"/>
  <c r="Z124" i="11"/>
  <c r="AF109" i="11"/>
  <c r="AE109" i="11"/>
  <c r="AD109" i="11"/>
  <c r="AC109" i="11"/>
  <c r="AB109" i="11"/>
  <c r="AA109" i="11"/>
  <c r="Z109" i="11"/>
  <c r="AF104" i="11"/>
  <c r="AE104" i="11"/>
  <c r="AD104" i="11"/>
  <c r="AC104" i="11"/>
  <c r="AB104" i="11"/>
  <c r="AA104" i="11"/>
  <c r="Z104" i="11"/>
  <c r="AF98" i="11"/>
  <c r="AE98" i="11"/>
  <c r="AD98" i="11"/>
  <c r="AC98" i="11"/>
  <c r="AB98" i="11"/>
  <c r="AA98" i="11"/>
  <c r="Z98" i="11"/>
  <c r="AF91" i="11"/>
  <c r="AE91" i="11"/>
  <c r="AD91" i="11"/>
  <c r="AC91" i="11"/>
  <c r="AB91" i="11"/>
  <c r="AA91" i="11"/>
  <c r="Z91" i="11"/>
  <c r="AF84" i="11"/>
  <c r="AE84" i="11"/>
  <c r="AD84" i="11"/>
  <c r="AC84" i="11"/>
  <c r="AB84" i="11"/>
  <c r="AA84" i="11"/>
  <c r="Z84" i="11"/>
  <c r="AF78" i="11"/>
  <c r="AE78" i="11"/>
  <c r="AD78" i="11"/>
  <c r="AC78" i="11"/>
  <c r="AB78" i="11"/>
  <c r="AA78" i="11"/>
  <c r="Z78" i="11"/>
  <c r="AF75" i="11"/>
  <c r="AE75" i="11"/>
  <c r="AD75" i="11"/>
  <c r="AC75" i="11"/>
  <c r="AB75" i="11"/>
  <c r="AA75" i="11"/>
  <c r="Z75" i="11"/>
  <c r="AF70" i="11"/>
  <c r="AE70" i="11"/>
  <c r="AD70" i="11"/>
  <c r="AC70" i="11"/>
  <c r="AB70" i="11"/>
  <c r="AA70" i="11"/>
  <c r="Z70" i="11"/>
  <c r="AF67" i="11"/>
  <c r="AE67" i="11"/>
  <c r="AD67" i="11"/>
  <c r="AC67" i="11"/>
  <c r="AB67" i="11"/>
  <c r="AA67" i="11"/>
  <c r="Z67" i="11"/>
  <c r="AF64" i="11"/>
  <c r="AE64" i="11"/>
  <c r="AD64" i="11"/>
  <c r="AC64" i="11"/>
  <c r="AB64" i="11"/>
  <c r="AA64" i="11"/>
  <c r="Z64" i="11"/>
  <c r="AI57" i="11"/>
  <c r="AH57" i="11"/>
  <c r="AG57" i="11"/>
  <c r="AF57" i="11"/>
  <c r="AE57" i="11"/>
  <c r="AD57" i="11"/>
  <c r="AC57" i="11"/>
  <c r="AB57" i="11"/>
  <c r="AA57" i="11"/>
  <c r="Z57" i="11"/>
  <c r="AF50" i="11"/>
  <c r="AE50" i="11"/>
  <c r="AD50" i="11"/>
  <c r="AC50" i="11"/>
  <c r="AB50" i="11"/>
  <c r="AA50" i="11"/>
  <c r="Z50" i="11"/>
  <c r="AF47" i="11"/>
  <c r="AE47" i="11"/>
  <c r="AD47" i="11"/>
  <c r="AC47" i="11"/>
  <c r="AB47" i="11"/>
  <c r="AA47" i="11"/>
  <c r="Z47" i="11"/>
  <c r="AF44" i="11"/>
  <c r="AE44" i="11"/>
  <c r="AD44" i="11"/>
  <c r="AC44" i="11"/>
  <c r="AB44" i="11"/>
  <c r="AA44" i="11"/>
  <c r="Z44" i="11"/>
  <c r="AF37" i="11"/>
  <c r="AE37" i="11"/>
  <c r="AD37" i="11"/>
  <c r="AC37" i="11"/>
  <c r="AB37" i="11"/>
  <c r="AA37" i="11"/>
  <c r="Z37" i="11"/>
  <c r="AF32" i="11"/>
  <c r="AE32" i="11"/>
  <c r="AD32" i="11"/>
  <c r="AC32" i="11"/>
  <c r="AB32" i="11"/>
  <c r="AA32" i="11"/>
  <c r="Z32" i="11"/>
  <c r="AF28" i="11"/>
  <c r="AE28" i="11"/>
  <c r="AD28" i="11"/>
  <c r="AC28" i="11"/>
  <c r="AB28" i="11"/>
  <c r="AA28" i="11"/>
  <c r="Z28" i="11"/>
  <c r="AF22" i="11"/>
  <c r="AE22" i="11"/>
  <c r="AD22" i="11"/>
  <c r="AC22" i="11"/>
  <c r="AB22" i="11"/>
  <c r="AA22" i="11"/>
  <c r="Z22" i="11"/>
  <c r="AF16" i="11"/>
  <c r="AE16" i="11"/>
  <c r="AD16" i="11"/>
  <c r="AC16" i="11"/>
  <c r="AB16" i="11"/>
  <c r="AA16" i="11"/>
  <c r="Z16" i="11"/>
  <c r="AF13" i="11"/>
  <c r="AE13" i="11"/>
  <c r="AD13" i="11"/>
  <c r="AC13" i="11"/>
  <c r="AB13" i="11"/>
  <c r="AA13" i="11"/>
  <c r="Z13" i="11"/>
  <c r="AF8" i="11"/>
  <c r="AE8" i="11"/>
  <c r="AD8" i="11"/>
  <c r="AC8" i="11"/>
  <c r="AB8" i="11"/>
  <c r="AA8" i="11"/>
  <c r="Z8" i="11"/>
  <c r="D27" i="10"/>
  <c r="F27" i="10" s="1"/>
  <c r="D26" i="10"/>
  <c r="E24" i="10"/>
  <c r="E23" i="10"/>
  <c r="F22" i="10"/>
  <c r="E22" i="10"/>
  <c r="F21" i="10"/>
  <c r="E21" i="10"/>
  <c r="E20" i="10"/>
  <c r="F19" i="10"/>
  <c r="E19" i="10"/>
  <c r="F18" i="10"/>
  <c r="E18" i="10"/>
  <c r="F17" i="10"/>
  <c r="E17" i="10"/>
  <c r="E16" i="10"/>
  <c r="F15" i="10"/>
  <c r="E15" i="10"/>
  <c r="F14" i="10"/>
  <c r="E14" i="10"/>
  <c r="F13" i="10"/>
  <c r="E13" i="10"/>
  <c r="E12" i="10"/>
  <c r="F11" i="10"/>
  <c r="E11" i="10"/>
  <c r="F10" i="10"/>
  <c r="E10" i="10"/>
  <c r="F9" i="10"/>
  <c r="E9" i="10"/>
  <c r="E8" i="10"/>
  <c r="F7" i="10"/>
  <c r="E7" i="10"/>
  <c r="F6" i="10"/>
  <c r="E6" i="10"/>
  <c r="D4" i="10"/>
  <c r="E4" i="10" s="1"/>
  <c r="F4" i="10" s="1"/>
  <c r="D19" i="9"/>
  <c r="D20" i="9" s="1"/>
  <c r="E17" i="9"/>
  <c r="F17" i="9" s="1"/>
  <c r="F16" i="9"/>
  <c r="E16" i="9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4" i="9"/>
  <c r="F4" i="9" s="1"/>
  <c r="E32" i="8"/>
  <c r="F32" i="8" s="1"/>
  <c r="E31" i="8"/>
  <c r="E30" i="8"/>
  <c r="E29" i="8"/>
  <c r="E28" i="8"/>
  <c r="F28" i="8" s="1"/>
  <c r="E27" i="8"/>
  <c r="F27" i="8" s="1"/>
  <c r="E26" i="8"/>
  <c r="F26" i="8" s="1"/>
  <c r="E25" i="8"/>
  <c r="F25" i="8" s="1"/>
  <c r="E24" i="8"/>
  <c r="F24" i="8" s="1"/>
  <c r="E23" i="8"/>
  <c r="E22" i="8"/>
  <c r="E21" i="8"/>
  <c r="F21" i="8" s="1"/>
  <c r="E20" i="8"/>
  <c r="F20" i="8" s="1"/>
  <c r="E19" i="8"/>
  <c r="F19" i="8" s="1"/>
  <c r="E18" i="8"/>
  <c r="E17" i="8"/>
  <c r="E16" i="8"/>
  <c r="E15" i="8"/>
  <c r="F15" i="8" s="1"/>
  <c r="E14" i="8"/>
  <c r="F14" i="8" s="1"/>
  <c r="E13" i="8"/>
  <c r="F13" i="8" s="1"/>
  <c r="F12" i="8"/>
  <c r="E12" i="8"/>
  <c r="E11" i="8"/>
  <c r="E10" i="8"/>
  <c r="E9" i="8"/>
  <c r="E8" i="8"/>
  <c r="F8" i="8" s="1"/>
  <c r="E7" i="8"/>
  <c r="F7" i="8" s="1"/>
  <c r="E6" i="8"/>
  <c r="F6" i="8" s="1"/>
  <c r="E5" i="8"/>
  <c r="E3" i="8"/>
  <c r="F3" i="8" s="1"/>
  <c r="D3" i="8"/>
  <c r="E62" i="7"/>
  <c r="E61" i="7"/>
  <c r="E60" i="7"/>
  <c r="F60" i="7" s="1"/>
  <c r="E59" i="7"/>
  <c r="E58" i="7"/>
  <c r="E57" i="7"/>
  <c r="E56" i="7"/>
  <c r="F55" i="7"/>
  <c r="E55" i="7"/>
  <c r="E54" i="7"/>
  <c r="E53" i="7"/>
  <c r="E52" i="7"/>
  <c r="E51" i="7"/>
  <c r="E50" i="7"/>
  <c r="F50" i="7" s="1"/>
  <c r="F49" i="7"/>
  <c r="E49" i="7"/>
  <c r="E48" i="7"/>
  <c r="E47" i="7"/>
  <c r="E46" i="7"/>
  <c r="E45" i="7"/>
  <c r="E44" i="7"/>
  <c r="F44" i="7" s="1"/>
  <c r="E43" i="7"/>
  <c r="E42" i="7"/>
  <c r="E41" i="7"/>
  <c r="E40" i="7"/>
  <c r="F39" i="7"/>
  <c r="E39" i="7"/>
  <c r="E38" i="7"/>
  <c r="E37" i="7"/>
  <c r="E36" i="7"/>
  <c r="E35" i="7"/>
  <c r="E34" i="7"/>
  <c r="F34" i="7" s="1"/>
  <c r="F33" i="7"/>
  <c r="E33" i="7"/>
  <c r="E32" i="7"/>
  <c r="E31" i="7"/>
  <c r="E30" i="7"/>
  <c r="E29" i="7"/>
  <c r="E28" i="7"/>
  <c r="F28" i="7" s="1"/>
  <c r="E27" i="7"/>
  <c r="E26" i="7"/>
  <c r="E25" i="7"/>
  <c r="E24" i="7"/>
  <c r="F23" i="7"/>
  <c r="E23" i="7"/>
  <c r="E22" i="7"/>
  <c r="E21" i="7"/>
  <c r="E20" i="7"/>
  <c r="E19" i="7"/>
  <c r="E18" i="7"/>
  <c r="F18" i="7" s="1"/>
  <c r="F17" i="7"/>
  <c r="E17" i="7"/>
  <c r="E16" i="7"/>
  <c r="E15" i="7"/>
  <c r="E14" i="7"/>
  <c r="E13" i="7"/>
  <c r="E12" i="7"/>
  <c r="F12" i="7" s="1"/>
  <c r="E11" i="7"/>
  <c r="E10" i="7"/>
  <c r="E9" i="7"/>
  <c r="E7" i="7"/>
  <c r="F7" i="7" s="1"/>
  <c r="K178" i="6"/>
  <c r="J178" i="6"/>
  <c r="J177" i="6"/>
  <c r="K177" i="6" s="1"/>
  <c r="K176" i="6"/>
  <c r="J176" i="6"/>
  <c r="J175" i="6"/>
  <c r="K175" i="6" s="1"/>
  <c r="K174" i="6"/>
  <c r="J174" i="6"/>
  <c r="J173" i="6"/>
  <c r="K173" i="6" s="1"/>
  <c r="K172" i="6"/>
  <c r="J172" i="6"/>
  <c r="J171" i="6"/>
  <c r="K171" i="6" s="1"/>
  <c r="K170" i="6"/>
  <c r="J170" i="6"/>
  <c r="J169" i="6"/>
  <c r="K169" i="6" s="1"/>
  <c r="K168" i="6"/>
  <c r="J168" i="6"/>
  <c r="J167" i="6"/>
  <c r="K167" i="6" s="1"/>
  <c r="K166" i="6"/>
  <c r="J166" i="6"/>
  <c r="J165" i="6"/>
  <c r="K165" i="6" s="1"/>
  <c r="K164" i="6"/>
  <c r="J164" i="6"/>
  <c r="J163" i="6"/>
  <c r="K163" i="6" s="1"/>
  <c r="K162" i="6"/>
  <c r="J162" i="6"/>
  <c r="J161" i="6"/>
  <c r="K161" i="6" s="1"/>
  <c r="K160" i="6"/>
  <c r="J160" i="6"/>
  <c r="J159" i="6"/>
  <c r="K159" i="6" s="1"/>
  <c r="K158" i="6"/>
  <c r="J158" i="6"/>
  <c r="J157" i="6"/>
  <c r="K157" i="6" s="1"/>
  <c r="K156" i="6"/>
  <c r="J156" i="6"/>
  <c r="J155" i="6"/>
  <c r="K155" i="6" s="1"/>
  <c r="K154" i="6"/>
  <c r="J154" i="6"/>
  <c r="J153" i="6"/>
  <c r="K153" i="6" s="1"/>
  <c r="K152" i="6"/>
  <c r="J152" i="6"/>
  <c r="J151" i="6"/>
  <c r="K151" i="6" s="1"/>
  <c r="K150" i="6"/>
  <c r="J150" i="6"/>
  <c r="J149" i="6"/>
  <c r="K149" i="6" s="1"/>
  <c r="K148" i="6"/>
  <c r="J148" i="6"/>
  <c r="J147" i="6"/>
  <c r="K147" i="6" s="1"/>
  <c r="K146" i="6"/>
  <c r="J146" i="6"/>
  <c r="J145" i="6"/>
  <c r="K145" i="6" s="1"/>
  <c r="K144" i="6"/>
  <c r="J144" i="6"/>
  <c r="J143" i="6"/>
  <c r="K143" i="6" s="1"/>
  <c r="K142" i="6"/>
  <c r="J142" i="6"/>
  <c r="J141" i="6"/>
  <c r="K141" i="6" s="1"/>
  <c r="K140" i="6"/>
  <c r="J140" i="6"/>
  <c r="J139" i="6"/>
  <c r="K139" i="6" s="1"/>
  <c r="K138" i="6"/>
  <c r="J138" i="6"/>
  <c r="J137" i="6"/>
  <c r="K137" i="6" s="1"/>
  <c r="K136" i="6"/>
  <c r="J136" i="6"/>
  <c r="J135" i="6"/>
  <c r="K135" i="6" s="1"/>
  <c r="K134" i="6"/>
  <c r="J134" i="6"/>
  <c r="J133" i="6"/>
  <c r="K133" i="6" s="1"/>
  <c r="K132" i="6"/>
  <c r="J132" i="6"/>
  <c r="K131" i="6"/>
  <c r="J131" i="6"/>
  <c r="K130" i="6"/>
  <c r="J130" i="6"/>
  <c r="J129" i="6"/>
  <c r="K129" i="6" s="1"/>
  <c r="K128" i="6"/>
  <c r="J128" i="6"/>
  <c r="J127" i="6"/>
  <c r="K127" i="6" s="1"/>
  <c r="K126" i="6"/>
  <c r="J126" i="6"/>
  <c r="J124" i="6"/>
  <c r="K124" i="6" s="1"/>
  <c r="K117" i="6"/>
  <c r="J117" i="6"/>
  <c r="J116" i="6"/>
  <c r="K116" i="6" s="1"/>
  <c r="K115" i="6"/>
  <c r="J115" i="6"/>
  <c r="J114" i="6"/>
  <c r="K114" i="6" s="1"/>
  <c r="K113" i="6"/>
  <c r="J113" i="6"/>
  <c r="J112" i="6"/>
  <c r="K112" i="6" s="1"/>
  <c r="J111" i="6"/>
  <c r="I108" i="6"/>
  <c r="I98" i="6"/>
  <c r="I89" i="6"/>
  <c r="I81" i="6"/>
  <c r="I73" i="6"/>
  <c r="I63" i="6"/>
  <c r="I52" i="6"/>
  <c r="J52" i="6" s="1"/>
  <c r="K52" i="6" s="1"/>
  <c r="J38" i="6"/>
  <c r="J36" i="6"/>
  <c r="J34" i="6"/>
  <c r="J32" i="6"/>
  <c r="J30" i="6"/>
  <c r="J28" i="6"/>
  <c r="F21" i="6"/>
  <c r="K111" i="6" s="1"/>
  <c r="F18" i="6"/>
  <c r="F17" i="6"/>
  <c r="F16" i="6"/>
  <c r="F15" i="6"/>
  <c r="F14" i="6"/>
  <c r="F13" i="6"/>
  <c r="F12" i="6"/>
  <c r="F11" i="6"/>
  <c r="F10" i="6"/>
  <c r="F9" i="6"/>
  <c r="F8" i="6"/>
  <c r="M118" i="5"/>
  <c r="M119" i="5" s="1"/>
  <c r="N116" i="5"/>
  <c r="O115" i="5"/>
  <c r="N115" i="5"/>
  <c r="N114" i="5"/>
  <c r="O113" i="5"/>
  <c r="N113" i="5"/>
  <c r="N112" i="5"/>
  <c r="O111" i="5"/>
  <c r="N111" i="5"/>
  <c r="N110" i="5"/>
  <c r="O109" i="5"/>
  <c r="N109" i="5"/>
  <c r="N108" i="5"/>
  <c r="O107" i="5"/>
  <c r="N107" i="5"/>
  <c r="N106" i="5"/>
  <c r="O105" i="5"/>
  <c r="N105" i="5"/>
  <c r="N104" i="5"/>
  <c r="O103" i="5"/>
  <c r="N103" i="5"/>
  <c r="N102" i="5"/>
  <c r="O101" i="5"/>
  <c r="N101" i="5"/>
  <c r="N100" i="5"/>
  <c r="O99" i="5"/>
  <c r="N99" i="5"/>
  <c r="N98" i="5"/>
  <c r="O97" i="5"/>
  <c r="N97" i="5"/>
  <c r="N96" i="5"/>
  <c r="O95" i="5"/>
  <c r="N95" i="5"/>
  <c r="N94" i="5"/>
  <c r="O93" i="5"/>
  <c r="N93" i="5"/>
  <c r="N92" i="5"/>
  <c r="O91" i="5"/>
  <c r="N91" i="5"/>
  <c r="N90" i="5"/>
  <c r="O89" i="5"/>
  <c r="N89" i="5"/>
  <c r="N88" i="5"/>
  <c r="O87" i="5"/>
  <c r="N87" i="5"/>
  <c r="N86" i="5"/>
  <c r="O85" i="5"/>
  <c r="N85" i="5"/>
  <c r="N84" i="5"/>
  <c r="O83" i="5"/>
  <c r="N83" i="5"/>
  <c r="N82" i="5"/>
  <c r="O81" i="5"/>
  <c r="N81" i="5"/>
  <c r="N80" i="5"/>
  <c r="O79" i="5"/>
  <c r="N79" i="5"/>
  <c r="N78" i="5"/>
  <c r="O77" i="5"/>
  <c r="N77" i="5"/>
  <c r="N76" i="5"/>
  <c r="O75" i="5"/>
  <c r="N75" i="5"/>
  <c r="N74" i="5"/>
  <c r="O73" i="5"/>
  <c r="N73" i="5"/>
  <c r="N72" i="5"/>
  <c r="O71" i="5"/>
  <c r="N71" i="5"/>
  <c r="N70" i="5"/>
  <c r="O69" i="5"/>
  <c r="N69" i="5"/>
  <c r="N68" i="5"/>
  <c r="O67" i="5"/>
  <c r="N67" i="5"/>
  <c r="N66" i="5"/>
  <c r="O65" i="5"/>
  <c r="N65" i="5"/>
  <c r="N64" i="5"/>
  <c r="O63" i="5"/>
  <c r="N63" i="5"/>
  <c r="N62" i="5"/>
  <c r="O61" i="5"/>
  <c r="N61" i="5"/>
  <c r="N60" i="5"/>
  <c r="M58" i="5"/>
  <c r="O114" i="5" s="1"/>
  <c r="M35" i="5"/>
  <c r="O35" i="5" s="1"/>
  <c r="M34" i="5"/>
  <c r="O32" i="5"/>
  <c r="N32" i="5"/>
  <c r="N31" i="5"/>
  <c r="N30" i="5"/>
  <c r="N29" i="5"/>
  <c r="O28" i="5"/>
  <c r="N28" i="5"/>
  <c r="O27" i="5"/>
  <c r="N27" i="5"/>
  <c r="N26" i="5"/>
  <c r="N25" i="5"/>
  <c r="N24" i="5"/>
  <c r="O23" i="5"/>
  <c r="N23" i="5"/>
  <c r="N22" i="5"/>
  <c r="N21" i="5"/>
  <c r="N20" i="5"/>
  <c r="O19" i="5"/>
  <c r="N19" i="5"/>
  <c r="N18" i="5"/>
  <c r="N17" i="5"/>
  <c r="N16" i="5"/>
  <c r="N15" i="5"/>
  <c r="N14" i="5"/>
  <c r="O13" i="5"/>
  <c r="N13" i="5"/>
  <c r="N12" i="5"/>
  <c r="N11" i="5"/>
  <c r="N10" i="5"/>
  <c r="O9" i="5"/>
  <c r="N9" i="5"/>
  <c r="N8" i="5"/>
  <c r="N7" i="5"/>
  <c r="M5" i="5"/>
  <c r="J120" i="4"/>
  <c r="K120" i="4" s="1"/>
  <c r="J119" i="4"/>
  <c r="K119" i="4" s="1"/>
  <c r="J118" i="4"/>
  <c r="J116" i="4"/>
  <c r="K116" i="4" s="1"/>
  <c r="J115" i="4"/>
  <c r="J114" i="4"/>
  <c r="K114" i="4" s="1"/>
  <c r="J112" i="4"/>
  <c r="K112" i="4" s="1"/>
  <c r="J111" i="4"/>
  <c r="K111" i="4" s="1"/>
  <c r="J110" i="4"/>
  <c r="K110" i="4" s="1"/>
  <c r="J108" i="4"/>
  <c r="K108" i="4" s="1"/>
  <c r="J107" i="4"/>
  <c r="J106" i="4"/>
  <c r="J104" i="4"/>
  <c r="K104" i="4" s="1"/>
  <c r="J103" i="4"/>
  <c r="K103" i="4" s="1"/>
  <c r="J102" i="4"/>
  <c r="K102" i="4" s="1"/>
  <c r="J100" i="4"/>
  <c r="K100" i="4" s="1"/>
  <c r="J99" i="4"/>
  <c r="J98" i="4"/>
  <c r="J96" i="4"/>
  <c r="K96" i="4" s="1"/>
  <c r="J95" i="4"/>
  <c r="K95" i="4" s="1"/>
  <c r="J94" i="4"/>
  <c r="K94" i="4" s="1"/>
  <c r="K89" i="4"/>
  <c r="J89" i="4"/>
  <c r="J87" i="4"/>
  <c r="K87" i="4" s="1"/>
  <c r="J85" i="4"/>
  <c r="K85" i="4" s="1"/>
  <c r="J83" i="4"/>
  <c r="K83" i="4" s="1"/>
  <c r="J81" i="4"/>
  <c r="K81" i="4" s="1"/>
  <c r="J79" i="4"/>
  <c r="K79" i="4" s="1"/>
  <c r="J74" i="4"/>
  <c r="K74" i="4" s="1"/>
  <c r="J72" i="4"/>
  <c r="J70" i="4"/>
  <c r="K70" i="4" s="1"/>
  <c r="J68" i="4"/>
  <c r="J66" i="4"/>
  <c r="J64" i="4"/>
  <c r="K64" i="4" s="1"/>
  <c r="J60" i="4"/>
  <c r="K60" i="4" s="1"/>
  <c r="J58" i="4"/>
  <c r="K58" i="4" s="1"/>
  <c r="J56" i="4"/>
  <c r="K56" i="4" s="1"/>
  <c r="J54" i="4"/>
  <c r="K54" i="4" s="1"/>
  <c r="J52" i="4"/>
  <c r="K52" i="4" s="1"/>
  <c r="J50" i="4"/>
  <c r="K50" i="4" s="1"/>
  <c r="J45" i="4"/>
  <c r="K45" i="4" s="1"/>
  <c r="J44" i="4"/>
  <c r="K44" i="4" s="1"/>
  <c r="J42" i="4"/>
  <c r="K42" i="4" s="1"/>
  <c r="J41" i="4"/>
  <c r="K41" i="4" s="1"/>
  <c r="J39" i="4"/>
  <c r="K39" i="4" s="1"/>
  <c r="J38" i="4"/>
  <c r="K38" i="4" s="1"/>
  <c r="J36" i="4"/>
  <c r="K36" i="4" s="1"/>
  <c r="J35" i="4"/>
  <c r="K35" i="4" s="1"/>
  <c r="J33" i="4"/>
  <c r="K33" i="4" s="1"/>
  <c r="J32" i="4"/>
  <c r="K32" i="4" s="1"/>
  <c r="K30" i="4"/>
  <c r="J30" i="4"/>
  <c r="G14" i="4" s="1"/>
  <c r="H19" i="2" s="1"/>
  <c r="P29" i="4"/>
  <c r="J29" i="4"/>
  <c r="K29" i="4" s="1"/>
  <c r="K28" i="4"/>
  <c r="J28" i="4"/>
  <c r="F21" i="4"/>
  <c r="F18" i="4"/>
  <c r="F17" i="4"/>
  <c r="G16" i="4"/>
  <c r="F16" i="4"/>
  <c r="G15" i="4"/>
  <c r="F15" i="4"/>
  <c r="F14" i="4"/>
  <c r="F13" i="4"/>
  <c r="F12" i="4"/>
  <c r="F11" i="4"/>
  <c r="F10" i="4"/>
  <c r="F9" i="4"/>
  <c r="F8" i="4"/>
  <c r="Y32" i="3"/>
  <c r="V30" i="3"/>
  <c r="O29" i="3"/>
  <c r="V29" i="3" s="1"/>
  <c r="N28" i="3"/>
  <c r="V28" i="3" s="1"/>
  <c r="N27" i="3"/>
  <c r="V27" i="3" s="1"/>
  <c r="M26" i="3"/>
  <c r="V26" i="3" s="1"/>
  <c r="M25" i="3"/>
  <c r="V25" i="3" s="1"/>
  <c r="N24" i="3"/>
  <c r="M24" i="3"/>
  <c r="L24" i="3"/>
  <c r="L23" i="3"/>
  <c r="V23" i="3" s="1"/>
  <c r="L22" i="3"/>
  <c r="V22" i="3" s="1"/>
  <c r="O21" i="3"/>
  <c r="V21" i="3" s="1"/>
  <c r="K21" i="3"/>
  <c r="K20" i="3"/>
  <c r="V20" i="3" s="1"/>
  <c r="V19" i="3"/>
  <c r="L19" i="3"/>
  <c r="J19" i="3"/>
  <c r="O18" i="3"/>
  <c r="V18" i="3" s="1"/>
  <c r="J18" i="3"/>
  <c r="O17" i="3"/>
  <c r="N17" i="3"/>
  <c r="M17" i="3"/>
  <c r="L17" i="3"/>
  <c r="K17" i="3"/>
  <c r="J17" i="3"/>
  <c r="V17" i="3" s="1"/>
  <c r="AC16" i="3"/>
  <c r="AD16" i="3" s="1"/>
  <c r="L16" i="3"/>
  <c r="J16" i="3"/>
  <c r="V16" i="3" s="1"/>
  <c r="O15" i="3"/>
  <c r="N15" i="3"/>
  <c r="M15" i="3"/>
  <c r="K15" i="3"/>
  <c r="J15" i="3"/>
  <c r="V15" i="3" s="1"/>
  <c r="AC14" i="3"/>
  <c r="Z14" i="3"/>
  <c r="I14" i="3"/>
  <c r="V14" i="3" s="1"/>
  <c r="AC13" i="3"/>
  <c r="Z13" i="3"/>
  <c r="O13" i="3"/>
  <c r="N13" i="3"/>
  <c r="V13" i="3" s="1"/>
  <c r="M13" i="3"/>
  <c r="K13" i="3"/>
  <c r="J13" i="3"/>
  <c r="I13" i="3"/>
  <c r="AC12" i="3"/>
  <c r="Z12" i="3"/>
  <c r="I12" i="3"/>
  <c r="V12" i="3" s="1"/>
  <c r="AC11" i="3"/>
  <c r="Z11" i="3"/>
  <c r="V11" i="3"/>
  <c r="I11" i="3"/>
  <c r="AC10" i="3"/>
  <c r="Z10" i="3"/>
  <c r="O10" i="3"/>
  <c r="V10" i="3" s="1"/>
  <c r="L10" i="3"/>
  <c r="J10" i="3"/>
  <c r="I10" i="3"/>
  <c r="AC9" i="3"/>
  <c r="Z9" i="3"/>
  <c r="L9" i="3"/>
  <c r="K9" i="3"/>
  <c r="V9" i="3" s="1"/>
  <c r="I9" i="3"/>
  <c r="AC8" i="3"/>
  <c r="Z8" i="3"/>
  <c r="O8" i="3"/>
  <c r="N8" i="3"/>
  <c r="M8" i="3"/>
  <c r="L8" i="3"/>
  <c r="K8" i="3"/>
  <c r="J8" i="3"/>
  <c r="I8" i="3"/>
  <c r="V8" i="3" s="1"/>
  <c r="AC7" i="3"/>
  <c r="Z7" i="3"/>
  <c r="O7" i="3"/>
  <c r="N7" i="3"/>
  <c r="V7" i="3" s="1"/>
  <c r="M7" i="3"/>
  <c r="L7" i="3"/>
  <c r="K7" i="3"/>
  <c r="I7" i="3"/>
  <c r="AC6" i="3"/>
  <c r="Z6" i="3"/>
  <c r="N6" i="3"/>
  <c r="V6" i="3" s="1"/>
  <c r="M6" i="3"/>
  <c r="K6" i="3"/>
  <c r="J6" i="3"/>
  <c r="I6" i="3"/>
  <c r="AC5" i="3"/>
  <c r="Z5" i="3"/>
  <c r="O5" i="3"/>
  <c r="V5" i="3" s="1"/>
  <c r="N5" i="3"/>
  <c r="M5" i="3"/>
  <c r="K5" i="3"/>
  <c r="J5" i="3"/>
  <c r="I5" i="3"/>
  <c r="L60" i="2"/>
  <c r="M60" i="2" s="1"/>
  <c r="N60" i="2" s="1"/>
  <c r="O60" i="2" s="1"/>
  <c r="P60" i="2" s="1"/>
  <c r="Q62" i="2" s="1"/>
  <c r="J60" i="2"/>
  <c r="K60" i="2" s="1"/>
  <c r="U43" i="2"/>
  <c r="U42" i="2"/>
  <c r="U41" i="2"/>
  <c r="U40" i="2"/>
  <c r="U39" i="2"/>
  <c r="U38" i="2"/>
  <c r="U37" i="2"/>
  <c r="U36" i="2"/>
  <c r="U35" i="2"/>
  <c r="U34" i="2"/>
  <c r="U45" i="2" s="1"/>
  <c r="U46" i="2" s="1"/>
  <c r="G32" i="2"/>
  <c r="H11" i="2" s="1"/>
  <c r="U27" i="2"/>
  <c r="W27" i="2" s="1"/>
  <c r="U26" i="2"/>
  <c r="U25" i="2"/>
  <c r="H25" i="2"/>
  <c r="K25" i="2" s="1"/>
  <c r="U24" i="2"/>
  <c r="U23" i="2"/>
  <c r="G23" i="2"/>
  <c r="U22" i="2"/>
  <c r="W22" i="2" s="1"/>
  <c r="G22" i="2"/>
  <c r="U21" i="2"/>
  <c r="W21" i="2" s="1"/>
  <c r="H21" i="2"/>
  <c r="J21" i="2" s="1"/>
  <c r="G21" i="2"/>
  <c r="U20" i="2"/>
  <c r="H20" i="2"/>
  <c r="G20" i="2"/>
  <c r="U19" i="2"/>
  <c r="G19" i="2"/>
  <c r="U18" i="2"/>
  <c r="W18" i="2" s="1"/>
  <c r="G18" i="2"/>
  <c r="U17" i="2"/>
  <c r="W17" i="2" s="1"/>
  <c r="H17" i="2"/>
  <c r="G17" i="2"/>
  <c r="H16" i="2"/>
  <c r="J16" i="2" s="1"/>
  <c r="G16" i="2"/>
  <c r="G15" i="2"/>
  <c r="H14" i="2"/>
  <c r="J14" i="2" s="1"/>
  <c r="G14" i="2"/>
  <c r="H13" i="2"/>
  <c r="K13" i="2" s="1"/>
  <c r="G13" i="2"/>
  <c r="W11" i="2"/>
  <c r="D60" i="2" s="1"/>
  <c r="J62" i="2" s="1"/>
  <c r="U11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42" i="2" l="1"/>
  <c r="W38" i="2"/>
  <c r="W34" i="2"/>
  <c r="N27" i="2"/>
  <c r="N18" i="2"/>
  <c r="K29" i="2"/>
  <c r="N17" i="2"/>
  <c r="N13" i="2"/>
  <c r="N32" i="2" s="1"/>
  <c r="K30" i="2"/>
  <c r="N16" i="2"/>
  <c r="N22" i="2"/>
  <c r="K16" i="2"/>
  <c r="W37" i="2"/>
  <c r="N28" i="2"/>
  <c r="N26" i="2"/>
  <c r="W19" i="2"/>
  <c r="W40" i="2"/>
  <c r="N30" i="2"/>
  <c r="N25" i="2"/>
  <c r="W43" i="2"/>
  <c r="N29" i="2"/>
  <c r="W26" i="2"/>
  <c r="K21" i="2"/>
  <c r="W41" i="2"/>
  <c r="K28" i="2"/>
  <c r="W23" i="2"/>
  <c r="W36" i="2"/>
  <c r="N19" i="2"/>
  <c r="N14" i="2"/>
  <c r="N20" i="2"/>
  <c r="W35" i="2"/>
  <c r="W39" i="2"/>
  <c r="N21" i="2"/>
  <c r="K19" i="2"/>
  <c r="J19" i="2"/>
  <c r="K20" i="2"/>
  <c r="W24" i="2"/>
  <c r="M13" i="2"/>
  <c r="U16" i="2" s="1"/>
  <c r="K32" i="6"/>
  <c r="F14" i="7"/>
  <c r="F19" i="7"/>
  <c r="F30" i="7"/>
  <c r="F35" i="7"/>
  <c r="F46" i="7"/>
  <c r="F51" i="7"/>
  <c r="F62" i="7"/>
  <c r="F13" i="7"/>
  <c r="F24" i="7"/>
  <c r="F45" i="7"/>
  <c r="F61" i="7"/>
  <c r="K14" i="2"/>
  <c r="K66" i="4"/>
  <c r="O30" i="5"/>
  <c r="O26" i="5"/>
  <c r="O22" i="5"/>
  <c r="O18" i="5"/>
  <c r="O14" i="5"/>
  <c r="O10" i="5"/>
  <c r="N5" i="5"/>
  <c r="O15" i="5"/>
  <c r="O24" i="5"/>
  <c r="J13" i="2"/>
  <c r="W20" i="2"/>
  <c r="V24" i="3"/>
  <c r="K68" i="4"/>
  <c r="K106" i="4"/>
  <c r="O11" i="5"/>
  <c r="O20" i="5"/>
  <c r="O29" i="5"/>
  <c r="F9" i="7"/>
  <c r="F20" i="7"/>
  <c r="F25" i="7"/>
  <c r="F36" i="7"/>
  <c r="F41" i="7"/>
  <c r="F52" i="7"/>
  <c r="F57" i="7"/>
  <c r="F9" i="8"/>
  <c r="F22" i="8"/>
  <c r="J20" i="2"/>
  <c r="K28" i="6"/>
  <c r="K30" i="6"/>
  <c r="F29" i="7"/>
  <c r="K17" i="2"/>
  <c r="G13" i="4"/>
  <c r="H18" i="2" s="1"/>
  <c r="G17" i="4"/>
  <c r="H22" i="2" s="1"/>
  <c r="K98" i="4"/>
  <c r="K107" i="4"/>
  <c r="K115" i="4"/>
  <c r="O7" i="5"/>
  <c r="O16" i="5"/>
  <c r="O25" i="5"/>
  <c r="K34" i="6"/>
  <c r="F10" i="7"/>
  <c r="F15" i="7"/>
  <c r="F26" i="7"/>
  <c r="F31" i="7"/>
  <c r="F42" i="7"/>
  <c r="F47" i="7"/>
  <c r="F58" i="7"/>
  <c r="F10" i="8"/>
  <c r="F16" i="8"/>
  <c r="F23" i="8"/>
  <c r="F29" i="8"/>
  <c r="F40" i="7"/>
  <c r="W25" i="2"/>
  <c r="J17" i="2"/>
  <c r="K99" i="4"/>
  <c r="O12" i="5"/>
  <c r="O21" i="5"/>
  <c r="K36" i="6"/>
  <c r="F16" i="7"/>
  <c r="F21" i="7"/>
  <c r="F32" i="7"/>
  <c r="F37" i="7"/>
  <c r="F48" i="7"/>
  <c r="F53" i="7"/>
  <c r="F11" i="8"/>
  <c r="F17" i="8"/>
  <c r="F30" i="8"/>
  <c r="F56" i="7"/>
  <c r="K72" i="4"/>
  <c r="K118" i="4"/>
  <c r="O8" i="5"/>
  <c r="O17" i="5"/>
  <c r="O31" i="5"/>
  <c r="K38" i="6"/>
  <c r="F11" i="7"/>
  <c r="F22" i="7"/>
  <c r="F27" i="7"/>
  <c r="F38" i="7"/>
  <c r="F43" i="7"/>
  <c r="F54" i="7"/>
  <c r="F59" i="7"/>
  <c r="F5" i="8"/>
  <c r="F18" i="8"/>
  <c r="F31" i="8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F23" i="10"/>
  <c r="F8" i="10"/>
  <c r="F12" i="10"/>
  <c r="F16" i="10"/>
  <c r="F20" i="10"/>
  <c r="F24" i="10"/>
  <c r="N58" i="5"/>
  <c r="O62" i="5"/>
  <c r="O66" i="5"/>
  <c r="O70" i="5"/>
  <c r="O74" i="5"/>
  <c r="O78" i="5"/>
  <c r="O82" i="5"/>
  <c r="O86" i="5"/>
  <c r="O90" i="5"/>
  <c r="O94" i="5"/>
  <c r="O98" i="5"/>
  <c r="O102" i="5"/>
  <c r="O106" i="5"/>
  <c r="O110" i="5"/>
  <c r="K22" i="2" l="1"/>
  <c r="J22" i="2"/>
  <c r="K18" i="2"/>
  <c r="J18" i="2"/>
  <c r="U29" i="2"/>
  <c r="U30" i="2" s="1"/>
  <c r="W16" i="2"/>
  <c r="W29" i="2" s="1"/>
  <c r="O5" i="5"/>
  <c r="H26" i="2"/>
  <c r="K26" i="2" s="1"/>
  <c r="R58" i="5"/>
  <c r="H27" i="2" s="1"/>
  <c r="K27" i="2" s="1"/>
  <c r="O58" i="5"/>
  <c r="W45" i="2"/>
  <c r="K32" i="2" l="1"/>
  <c r="J106" i="1" l="1"/>
  <c r="I25" i="1"/>
  <c r="I24" i="1"/>
  <c r="I106" i="1"/>
  <c r="C89" i="1"/>
  <c r="D89" i="1" s="1"/>
  <c r="D94" i="1" s="1"/>
  <c r="E94" i="1" s="1"/>
  <c r="E103" i="1" s="1"/>
  <c r="J101" i="1"/>
  <c r="I84" i="1"/>
  <c r="I101" i="1" s="1"/>
  <c r="I83" i="1"/>
  <c r="J83" i="1"/>
  <c r="J93" i="1"/>
  <c r="J94" i="1"/>
  <c r="J96" i="1"/>
  <c r="J97" i="1"/>
  <c r="J98" i="1"/>
  <c r="J99" i="1"/>
  <c r="J100" i="1"/>
  <c r="J92" i="1"/>
  <c r="E93" i="1"/>
  <c r="E95" i="1"/>
  <c r="E96" i="1"/>
  <c r="E97" i="1"/>
  <c r="E98" i="1"/>
  <c r="E99" i="1"/>
  <c r="E100" i="1"/>
  <c r="E101" i="1"/>
  <c r="E92" i="1"/>
  <c r="F108" i="1"/>
  <c r="E106" i="1"/>
  <c r="I32" i="1"/>
  <c r="J44" i="1"/>
  <c r="J45" i="1" s="1"/>
  <c r="I92" i="1" s="1"/>
  <c r="D80" i="1"/>
  <c r="D55" i="1"/>
  <c r="D60" i="1"/>
  <c r="D21" i="1"/>
  <c r="I67" i="1"/>
  <c r="N98" i="1" s="1"/>
  <c r="I66" i="1"/>
  <c r="I63" i="1"/>
  <c r="I99" i="1" s="1"/>
  <c r="L63" i="1"/>
  <c r="L62" i="1"/>
  <c r="D37" i="1"/>
  <c r="D95" i="1" s="1"/>
  <c r="D41" i="1"/>
  <c r="D98" i="1" s="1"/>
  <c r="I55" i="1"/>
  <c r="I56" i="1" s="1"/>
  <c r="I57" i="1" s="1"/>
  <c r="J57" i="1" s="1"/>
  <c r="I97" i="1" s="1"/>
  <c r="I73" i="1"/>
  <c r="I74" i="1" s="1"/>
  <c r="I75" i="1" s="1"/>
  <c r="I93" i="1" s="1"/>
  <c r="I72" i="1"/>
  <c r="I31" i="1"/>
  <c r="K30" i="1"/>
  <c r="K29" i="1"/>
  <c r="J49" i="1"/>
  <c r="J50" i="1" s="1"/>
  <c r="I100" i="1" s="1"/>
  <c r="I79" i="1"/>
  <c r="I80" i="1" s="1"/>
  <c r="J80" i="1" s="1"/>
  <c r="I98" i="1" s="1"/>
  <c r="J32" i="1" l="1"/>
  <c r="I94" i="1" s="1"/>
  <c r="I50" i="1"/>
  <c r="I36" i="1"/>
  <c r="I35" i="1"/>
  <c r="I37" i="1" s="1"/>
  <c r="I38" i="1" s="1"/>
  <c r="I39" i="1" s="1"/>
  <c r="J39" i="1" s="1"/>
  <c r="I96" i="1" s="1"/>
  <c r="J29" i="1"/>
  <c r="J30" i="1"/>
  <c r="J25" i="1"/>
  <c r="I95" i="1" s="1"/>
  <c r="J95" i="1" s="1"/>
  <c r="J103" i="1" s="1"/>
  <c r="D28" i="1"/>
  <c r="C85" i="1"/>
  <c r="E60" i="1"/>
  <c r="D64" i="1"/>
  <c r="C70" i="1"/>
  <c r="D70" i="1" s="1"/>
  <c r="C98" i="1"/>
  <c r="C95" i="1"/>
  <c r="C71" i="1"/>
  <c r="C47" i="1"/>
  <c r="C37" i="1"/>
  <c r="D36" i="1" s="1"/>
  <c r="C24" i="1"/>
  <c r="I102" i="1" l="1"/>
  <c r="C97" i="1"/>
  <c r="D47" i="1"/>
  <c r="D97" i="1" s="1"/>
  <c r="C93" i="1"/>
  <c r="D71" i="1"/>
  <c r="D93" i="1" s="1"/>
  <c r="C92" i="1"/>
  <c r="D65" i="1"/>
  <c r="D92" i="1" s="1"/>
  <c r="C96" i="1"/>
  <c r="C102" i="1" s="1"/>
  <c r="D22" i="1"/>
  <c r="D96" i="1" s="1"/>
  <c r="C100" i="1"/>
  <c r="D56" i="1"/>
  <c r="D100" i="1" s="1"/>
  <c r="C99" i="1"/>
  <c r="D61" i="1"/>
  <c r="D99" i="1" s="1"/>
  <c r="C101" i="1"/>
  <c r="E79" i="1"/>
  <c r="D101" i="1" s="1"/>
  <c r="E70" i="1"/>
  <c r="D102" i="1" l="1"/>
</calcChain>
</file>

<file path=xl/sharedStrings.xml><?xml version="1.0" encoding="utf-8"?>
<sst xmlns="http://schemas.openxmlformats.org/spreadsheetml/2006/main" count="3634" uniqueCount="477">
  <si>
    <t>Motherson Sumi Systems Ltd</t>
  </si>
  <si>
    <t>Sundaram Clayton Ltd</t>
  </si>
  <si>
    <t>Bosch Ltd</t>
  </si>
  <si>
    <t>Endurance Technologies Ltd</t>
  </si>
  <si>
    <t>Minda Industries Ltd</t>
  </si>
  <si>
    <t>WABCO India Ltd</t>
  </si>
  <si>
    <t xml:space="preserve">Contienetal </t>
  </si>
  <si>
    <t xml:space="preserve">VARROC ENGINEERING </t>
  </si>
  <si>
    <t>HELLA</t>
  </si>
  <si>
    <t>Rane Holdings Ltd.</t>
  </si>
  <si>
    <t>Jamna Auto Industries:</t>
  </si>
  <si>
    <t xml:space="preserve">Automotive Axles Ltd: </t>
  </si>
  <si>
    <t>Munjal Showa Ltd:</t>
  </si>
  <si>
    <t xml:space="preserve">India Nippon Electricals Ltd: </t>
  </si>
  <si>
    <t>Menon Bearings Ltd:</t>
  </si>
  <si>
    <t xml:space="preserve">Mahindra CIE Automotive Ltd: </t>
  </si>
  <si>
    <t>Bridgestone</t>
  </si>
  <si>
    <t xml:space="preserve">ZF Friedrichshafen AG. </t>
  </si>
  <si>
    <t>Goodyear Tire and Rubber Company</t>
  </si>
  <si>
    <t>MRF</t>
  </si>
  <si>
    <t xml:space="preserve"> </t>
  </si>
  <si>
    <t xml:space="preserve">Apollo </t>
  </si>
  <si>
    <t xml:space="preserve">Tenneco </t>
  </si>
  <si>
    <t>Total Revenue</t>
  </si>
  <si>
    <t>Outside India</t>
  </si>
  <si>
    <t>Within India</t>
  </si>
  <si>
    <t>Mn INR</t>
  </si>
  <si>
    <t>https://trendlyne-media-mumbai-new.s3.amazonaws.com/uploaded-documents/annual-report/878/c1a1811aacc74026b32f3a1421b03787-31032022.pdf?X-Amz-Algorithm=AWS4-HMAC-SHA256&amp;X-Amz-Credential=AKIAUABWFMACZWBGWY6M%2F20221122%2Fap-south-1%2Fs3%2Faws4_request&amp;X-Amz-Date=20221122T051300Z&amp;X-Amz-Expires=7200&amp;X-Amz-SignedHeaders=host&amp;X-Amz-Signature=9658380418baea8460c8e448fc46c53da4b9ce0511acf702479d69c164ace31d</t>
  </si>
  <si>
    <t>Sale of products</t>
  </si>
  <si>
    <t>Sale of services</t>
  </si>
  <si>
    <t>Other operating revenue</t>
  </si>
  <si>
    <t>https://www.bosch.in/media/our_company/shareholder_information/2022/annual_report.pdf</t>
  </si>
  <si>
    <t>Automotive segemnt</t>
  </si>
  <si>
    <t>Aftermarket Revenue</t>
  </si>
  <si>
    <t xml:space="preserve">OEM Revenue </t>
  </si>
  <si>
    <t>Total</t>
  </si>
  <si>
    <t>https://www.unominda.com/uploads/Investor/2022/minda-ar-2021-22.pdf</t>
  </si>
  <si>
    <t>Aftermarket sales</t>
  </si>
  <si>
    <t>https://trendlyne-media-mumbai-new.s3.amazonaws.com/uploaded-documents/annual-report/4797/8a0a06224f5e4895952673eae9dca3c7-31032022.pdf?X-Amz-Algorithm=AWS4-HMAC-SHA256&amp;X-Amz-Credential=AKIAUABWFMACZWBGWY6M%2F20221122%2Fap-south-1%2Fs3%2Faws4_request&amp;X-Amz-Date=20221122T070853Z&amp;X-Amz-Expires=7200&amp;X-Amz-SignedHeaders=host&amp;X-Amz-Signature=011b945a22df97fc02931d81dbb3a1555943dfd2b367ac63cf4171f1b2a78a25</t>
  </si>
  <si>
    <t>2W and 3W auto component manufacturer in India</t>
  </si>
  <si>
    <t>Aftermarket Division</t>
  </si>
  <si>
    <t>https://varroc.com/wp-content/uploads/bsk-pdf-manager/2022/9/Varroc_Annual_Report_FY_2021-22_&amp;_AGM_Notice.pdf</t>
  </si>
  <si>
    <t>Revenue from Operations</t>
  </si>
  <si>
    <t>Other Income</t>
  </si>
  <si>
    <t>https://trendlyne-media-mumbai-new.s3.amazonaws.com/uploaded-documents/annual-report/1111/e2913020262244c09696ca4526b0ec74-31032022.pdf?X-Amz-Algorithm=AWS4-HMAC-SHA256&amp;X-Amz-Credential=AKIAUABWFMACZWBGWY6M%2F20221122%2Fap-south-1%2Fs3%2Faws4_request&amp;X-Amz-Date=20221122T081113Z&amp;X-Amz-Expires=7200&amp;X-Amz-SignedHeaders=host&amp;X-Amz-Signature=478960ae0ba972da9922e06a1168ab09b66a52959267f2bb47a12d26c829995f</t>
  </si>
  <si>
    <t>Revenue from operations</t>
  </si>
  <si>
    <t>Other income</t>
  </si>
  <si>
    <t>https://www.autoaxle.com/Downloads/Annual%20Report%202021-22.pdf</t>
  </si>
  <si>
    <t>Lumax Industries Limited</t>
  </si>
  <si>
    <t>Revenue</t>
  </si>
  <si>
    <t>https://www.lumaxworld.in/lumaxindustries/pdf/Annual_Report_for_Year_ended_March312022.pdf</t>
  </si>
  <si>
    <t>Consider</t>
  </si>
  <si>
    <t xml:space="preserve">Other Income </t>
  </si>
  <si>
    <t>Madras Rubber Factory limited</t>
  </si>
  <si>
    <t>Apollo Tyres Limited</t>
  </si>
  <si>
    <t>Sales</t>
  </si>
  <si>
    <t xml:space="preserve">Other Operating Income </t>
  </si>
  <si>
    <t>https://corporate.apollotyres.com/content/dam/orbit/apollo-corporate/investors/financial-reporting/annual-report/2021-22/AGM%20Notice%20and%20Annual%20Report%20FY22.pdf</t>
  </si>
  <si>
    <t>Replacment Revenue</t>
  </si>
  <si>
    <t>OEM Revenue</t>
  </si>
  <si>
    <t>India Nippon Electricals Ltd</t>
  </si>
  <si>
    <t>https://indianippon.com/wp-content/uploads/2022/11/annual_report_2021_22.pdf.pdf</t>
  </si>
  <si>
    <t>High Aftermarket %</t>
  </si>
  <si>
    <t>munjalshowa.net/wp-content/uploads/2022/07/37th-Annual-Report.pdf</t>
  </si>
  <si>
    <t>Aftermarket rev</t>
  </si>
  <si>
    <t>Munjal Showa Ltd</t>
  </si>
  <si>
    <t>Hyundai Mobis</t>
  </si>
  <si>
    <t>Febi Bilstein</t>
  </si>
  <si>
    <t>Yazaki</t>
  </si>
  <si>
    <t>https://www.yazaki-group.com/global/about/ar.html</t>
  </si>
  <si>
    <t xml:space="preserve">Gabriel India Limited </t>
  </si>
  <si>
    <t>Net sales</t>
  </si>
  <si>
    <t>Aftermarket Sales</t>
  </si>
  <si>
    <t>https://www.anandgroupindia.com/wp-content/uploads/2022/07/Gabriel-India-Annual-Report-2021-22.pdf</t>
  </si>
  <si>
    <t>Hella KGaA Hueck &amp; Co.</t>
  </si>
  <si>
    <t>Overall Apac sales</t>
  </si>
  <si>
    <t>Asia aftermarket sales</t>
  </si>
  <si>
    <t>Euro MN</t>
  </si>
  <si>
    <t>India</t>
  </si>
  <si>
    <t>https://www.hella.com/hella-com/assets/media_global/2022.08.18_HELLA_Annual_Report_FY_2021-2022_secured.pdf</t>
  </si>
  <si>
    <t>Apac sales overall</t>
  </si>
  <si>
    <t>Total sales</t>
  </si>
  <si>
    <t>https://www.zf.com/mobile/en/company/annual_report/annual_report.html</t>
  </si>
  <si>
    <t xml:space="preserve">Aftermarket overall sales </t>
  </si>
  <si>
    <t>Aftermarket and non-automotive</t>
  </si>
  <si>
    <t>DENSO CORPORATION</t>
  </si>
  <si>
    <t>Rev total</t>
  </si>
  <si>
    <t>yen</t>
  </si>
  <si>
    <t>USD MN</t>
  </si>
  <si>
    <t>Magneti Marelli</t>
  </si>
  <si>
    <t>Rev</t>
  </si>
  <si>
    <t>APAC</t>
  </si>
  <si>
    <t>https://www.marelli.com/public/uploads/2022/07/Marelli-Sustainability-Report-2021.pdf</t>
  </si>
  <si>
    <t>Ossca Parts Co., Ltd</t>
  </si>
  <si>
    <t xml:space="preserve">Bridgestone </t>
  </si>
  <si>
    <t>billion JPY</t>
  </si>
  <si>
    <t xml:space="preserve">Revenue </t>
  </si>
  <si>
    <t xml:space="preserve">china,Asia-pacific revenue </t>
  </si>
  <si>
    <t xml:space="preserve">Goodyear Tire  and Rubber Company </t>
  </si>
  <si>
    <t>Million USD</t>
  </si>
  <si>
    <t xml:space="preserve">Asia-pacific revenue </t>
  </si>
  <si>
    <t>Hyundai mobis</t>
  </si>
  <si>
    <t>Valeo</t>
  </si>
  <si>
    <t>rev</t>
  </si>
  <si>
    <t>ASIA</t>
  </si>
  <si>
    <t xml:space="preserve">Inida </t>
  </si>
  <si>
    <t>Aftermaket Slaes overall</t>
  </si>
  <si>
    <t>euro mn</t>
  </si>
  <si>
    <t>Apac</t>
  </si>
  <si>
    <t>Aftermarket  only</t>
  </si>
  <si>
    <t xml:space="preserve">Overal aftermarket </t>
  </si>
  <si>
    <t xml:space="preserve">Apac Aftermanrket </t>
  </si>
  <si>
    <t xml:space="preserve">Aftermanrket </t>
  </si>
  <si>
    <t xml:space="preserve">Apac aftermanrlet </t>
  </si>
  <si>
    <t>EXIDE</t>
  </si>
  <si>
    <t>inr cr</t>
  </si>
  <si>
    <t>Aftermanrket india</t>
  </si>
  <si>
    <t>usd mn</t>
  </si>
  <si>
    <t>Revenue USD</t>
  </si>
  <si>
    <t>India Overall</t>
  </si>
  <si>
    <t xml:space="preserve">Aftermarket India </t>
  </si>
  <si>
    <t>MN USD</t>
  </si>
  <si>
    <t>INDIA REV</t>
  </si>
  <si>
    <t>Revenue USD million</t>
  </si>
  <si>
    <t>Castrol</t>
  </si>
  <si>
    <t>REV</t>
  </si>
  <si>
    <t xml:space="preserve">Aftermnrk </t>
  </si>
  <si>
    <t>2016-17</t>
  </si>
  <si>
    <t>INR cr</t>
  </si>
  <si>
    <t>USD billion</t>
  </si>
  <si>
    <t>Sales figures of top 10 Domestic &amp; International companies</t>
  </si>
  <si>
    <t>drive transmission and steering</t>
  </si>
  <si>
    <t>Percentage of Imports by product segmentation (figures)</t>
  </si>
  <si>
    <t>electricals and electronics</t>
  </si>
  <si>
    <t>Percentage of Imports by country(figures)</t>
  </si>
  <si>
    <t>Engine components</t>
  </si>
  <si>
    <t>Any forecast numbers for the upcoming year</t>
  </si>
  <si>
    <t>suspension and braking</t>
  </si>
  <si>
    <t>consumable &amp; misc</t>
  </si>
  <si>
    <t>cooling system</t>
  </si>
  <si>
    <t>India Aftermarket</t>
  </si>
  <si>
    <t>Import</t>
  </si>
  <si>
    <t>rubber components</t>
  </si>
  <si>
    <t>FY 2022</t>
  </si>
  <si>
    <t>% of Total</t>
  </si>
  <si>
    <t>% of Import</t>
  </si>
  <si>
    <t>Calculated % of Import</t>
  </si>
  <si>
    <t>USD Billion</t>
  </si>
  <si>
    <t>Tires</t>
  </si>
  <si>
    <t>Lubricants</t>
  </si>
  <si>
    <t>Collision Body Parts</t>
  </si>
  <si>
    <t>Brake Parts</t>
  </si>
  <si>
    <t>Batteries</t>
  </si>
  <si>
    <t>Steering System Hard Parts</t>
  </si>
  <si>
    <t>Filters</t>
  </si>
  <si>
    <t>Engine Control Units</t>
  </si>
  <si>
    <t xml:space="preserve">Lighting </t>
  </si>
  <si>
    <t>Starters/ Alternators</t>
  </si>
  <si>
    <t>Starters / Alternators</t>
  </si>
  <si>
    <t>Exhaust Components</t>
  </si>
  <si>
    <t>Spark Plugs</t>
  </si>
  <si>
    <t>Others*</t>
  </si>
  <si>
    <t>Ignition Parts</t>
  </si>
  <si>
    <t>Steering system hard parts</t>
  </si>
  <si>
    <t>Engine control units</t>
  </si>
  <si>
    <t>Others</t>
  </si>
  <si>
    <t>Percentage of Imports by country (figures)</t>
  </si>
  <si>
    <t>China</t>
  </si>
  <si>
    <t>South Korea</t>
  </si>
  <si>
    <t>Japan</t>
  </si>
  <si>
    <t>Germany</t>
  </si>
  <si>
    <t>Singapore</t>
  </si>
  <si>
    <t>USA</t>
  </si>
  <si>
    <t>Hs Code</t>
  </si>
  <si>
    <t>Thailand</t>
  </si>
  <si>
    <t>France</t>
  </si>
  <si>
    <t>United Kingdom</t>
  </si>
  <si>
    <t>Remanufactured engine and transmission</t>
  </si>
  <si>
    <t>8702-Assembling complete vehicle engine, gearbox</t>
  </si>
  <si>
    <t>Vietnam</t>
  </si>
  <si>
    <t>Remanufactured rack and pinion steering gear</t>
  </si>
  <si>
    <t>Heating Ventilation and Air Conditioning (HVAC) and engine cooling components</t>
  </si>
  <si>
    <t>Light vehicle exhaust emission control systems</t>
  </si>
  <si>
    <t>Fuel-delivery systems</t>
  </si>
  <si>
    <t xml:space="preserve">90328990 -Engine Control Module </t>
  </si>
  <si>
    <t>Ignition parts</t>
  </si>
  <si>
    <t xml:space="preserve">8511-Ignition system </t>
  </si>
  <si>
    <t>Automotive sensors</t>
  </si>
  <si>
    <t>90330000-Rain Sensor, 87089900,90318000-Speed Sensor, 90271000-Oxygen Sensor</t>
  </si>
  <si>
    <t>Ignition wire sets</t>
  </si>
  <si>
    <t xml:space="preserve">85446010- wiring sets for vehicles , aircrafts and ships </t>
  </si>
  <si>
    <t>Fuel pumps</t>
  </si>
  <si>
    <t>841330-Fuel lubricating or cooling medium pumps for internal combustion piston engines: 84133010-Injection pumps for diesel engines</t>
  </si>
  <si>
    <t>Selected automotive remanufactured pumps</t>
  </si>
  <si>
    <t>sports compact underhood components, belt, hoses, gaskets and seals, battery, carburetor, gauge, and internal engine hard parts</t>
  </si>
  <si>
    <t>calculated</t>
  </si>
  <si>
    <t>brake parts</t>
  </si>
  <si>
    <t>KOREA RP</t>
  </si>
  <si>
    <t>Viet Nam</t>
  </si>
  <si>
    <t>SINGAPORE</t>
  </si>
  <si>
    <t>Sri Lanka</t>
  </si>
  <si>
    <t>Brazil</t>
  </si>
  <si>
    <t>U K</t>
  </si>
  <si>
    <t>Romania</t>
  </si>
  <si>
    <t>BELGIUM</t>
  </si>
  <si>
    <t>UAE</t>
  </si>
  <si>
    <t>AUSTRALIA</t>
  </si>
  <si>
    <t>CZECH REPUBLIC</t>
  </si>
  <si>
    <t>INDONESIA</t>
  </si>
  <si>
    <t>Phillipines</t>
  </si>
  <si>
    <t>HONG KONG</t>
  </si>
  <si>
    <t>GERMANY</t>
  </si>
  <si>
    <t>TAIWAN</t>
  </si>
  <si>
    <t>ITALY</t>
  </si>
  <si>
    <t>MARSHALL ISLAND</t>
  </si>
  <si>
    <t>SWEDEN</t>
  </si>
  <si>
    <t>THAILAND</t>
  </si>
  <si>
    <t>SLOVENIA</t>
  </si>
  <si>
    <t>HUNGARY</t>
  </si>
  <si>
    <t>India Aftermarket in USD billion</t>
  </si>
  <si>
    <t>Lighting</t>
  </si>
  <si>
    <t>Period</t>
  </si>
  <si>
    <t>Trade Flow</t>
  </si>
  <si>
    <t>Reporter</t>
  </si>
  <si>
    <t>Partner</t>
  </si>
  <si>
    <t>Commodity Code</t>
  </si>
  <si>
    <t>Trade Value (US$)</t>
  </si>
  <si>
    <t>%</t>
  </si>
  <si>
    <t>Netweight (kg)</t>
  </si>
  <si>
    <t>Qty Unit</t>
  </si>
  <si>
    <t>Qty</t>
  </si>
  <si>
    <t>Flag</t>
  </si>
  <si>
    <t>World</t>
  </si>
  <si>
    <t>Number of items</t>
  </si>
  <si>
    <t>Rep. of Korea</t>
  </si>
  <si>
    <t>Philippines</t>
  </si>
  <si>
    <t>Starters/Alternators</t>
  </si>
  <si>
    <t>Spark Plug</t>
  </si>
  <si>
    <t xml:space="preserve">Exhasut Components </t>
  </si>
  <si>
    <t>Spain</t>
  </si>
  <si>
    <t>Czechia</t>
  </si>
  <si>
    <t>Total Automotive aftermarket import</t>
  </si>
  <si>
    <t xml:space="preserve">87089400 STERNG WHEELS,STERNG COLUMNS AND STERNG BOXS Unit: KGS    </t>
  </si>
  <si>
    <t>USD Million</t>
  </si>
  <si>
    <t>S.No.</t>
  </si>
  <si>
    <t>Country / Region</t>
  </si>
  <si>
    <t>Values in US$ Million</t>
  </si>
  <si>
    <t>Quntity in thousands</t>
  </si>
  <si>
    <t>2019-2020</t>
  </si>
  <si>
    <t>2020-2021</t>
  </si>
  <si>
    <t>%Growth</t>
  </si>
  <si>
    <t>CHINA P RP</t>
  </si>
  <si>
    <t>JAPAN</t>
  </si>
  <si>
    <t>U S A</t>
  </si>
  <si>
    <t>PHILIPPINES</t>
  </si>
  <si>
    <t>CANADA</t>
  </si>
  <si>
    <t>FRANCE</t>
  </si>
  <si>
    <t>SPAIN</t>
  </si>
  <si>
    <t>NETHERLAND</t>
  </si>
  <si>
    <t>TURKEY</t>
  </si>
  <si>
    <t>POLAND</t>
  </si>
  <si>
    <t>U ARAB EMTS</t>
  </si>
  <si>
    <t>AUSTRIA</t>
  </si>
  <si>
    <t>BRAZIL</t>
  </si>
  <si>
    <t>ROMANIA</t>
  </si>
  <si>
    <t>MEXICO</t>
  </si>
  <si>
    <t>SOUTH AFRICA</t>
  </si>
  <si>
    <t>Other</t>
  </si>
  <si>
    <t>ESTONIA</t>
  </si>
  <si>
    <t>VIETNAM SOC REP</t>
  </si>
  <si>
    <t>UNSPECIFIED</t>
  </si>
  <si>
    <t>DENMARK</t>
  </si>
  <si>
    <t>ALBANIA</t>
  </si>
  <si>
    <t>BELIZE</t>
  </si>
  <si>
    <t>CHILE</t>
  </si>
  <si>
    <t>SWITZERLAND</t>
  </si>
  <si>
    <t>OMAN</t>
  </si>
  <si>
    <t>SLOVAK REP</t>
  </si>
  <si>
    <t>MALAYSIA</t>
  </si>
  <si>
    <t>India's Total</t>
  </si>
  <si>
    <t>%Share</t>
  </si>
  <si>
    <t xml:space="preserve">90328990 OTHR ATMTC RGLTNG/CNTRLNG INSTRMNTSANDAPPRTS Unit: NOS  </t>
  </si>
  <si>
    <t>Vehicles</t>
  </si>
  <si>
    <t>RUSSIA</t>
  </si>
  <si>
    <t>ISRAEL</t>
  </si>
  <si>
    <t>IRELAND</t>
  </si>
  <si>
    <t>FINLAND</t>
  </si>
  <si>
    <t>BULGARIA</t>
  </si>
  <si>
    <t>EGYPT A RP</t>
  </si>
  <si>
    <t>NORWAY</t>
  </si>
  <si>
    <t>UKRAINE</t>
  </si>
  <si>
    <t>LUXEMBOURG</t>
  </si>
  <si>
    <t>LITHUANIA</t>
  </si>
  <si>
    <t>ANGOLA</t>
  </si>
  <si>
    <t>CROATIA</t>
  </si>
  <si>
    <t>NEW ZEALAND</t>
  </si>
  <si>
    <t>SAUDI ARAB</t>
  </si>
  <si>
    <t>QATAR</t>
  </si>
  <si>
    <t>SRI LANKA DSR</t>
  </si>
  <si>
    <t>SERBIA</t>
  </si>
  <si>
    <t>PORTUGAL</t>
  </si>
  <si>
    <t>CYPRUS</t>
  </si>
  <si>
    <t>BAHARAIN IS</t>
  </si>
  <si>
    <t>KUWAIT</t>
  </si>
  <si>
    <t>COSTA RICA</t>
  </si>
  <si>
    <t>TRINIDAD</t>
  </si>
  <si>
    <t>GEORGIA</t>
  </si>
  <si>
    <t>SENEGAL</t>
  </si>
  <si>
    <t>MALTA</t>
  </si>
  <si>
    <t>GREECE</t>
  </si>
  <si>
    <t>SWAZILAND</t>
  </si>
  <si>
    <t>JORDAN</t>
  </si>
  <si>
    <t>GUYANA</t>
  </si>
  <si>
    <t>HONDURAS</t>
  </si>
  <si>
    <t>GHANA</t>
  </si>
  <si>
    <t>ICELAND</t>
  </si>
  <si>
    <t>BANGLADESH PR</t>
  </si>
  <si>
    <t>ARGENTINA</t>
  </si>
  <si>
    <t>BR VIRGN IS</t>
  </si>
  <si>
    <t>KENYA</t>
  </si>
  <si>
    <t>LATVIA</t>
  </si>
  <si>
    <t>LIECHTENSTEIN</t>
  </si>
  <si>
    <t>PERU</t>
  </si>
  <si>
    <t>NETHERLANDANTIL</t>
  </si>
  <si>
    <t>MAURITIUS</t>
  </si>
  <si>
    <t>MYANMAR</t>
  </si>
  <si>
    <t>SIERRA LEONE</t>
  </si>
  <si>
    <t>SAMOA</t>
  </si>
  <si>
    <t>Indonesia</t>
  </si>
  <si>
    <t>Malaysia</t>
  </si>
  <si>
    <t>New Pneumatic Tires, Of Rubber, Of A Kind Used On Motor Cars (including Station Wagons And Racing Cars)</t>
  </si>
  <si>
    <t>New Pneumatic Tires, Of Rubber, Of A Kind Used On Buses Or Trucks</t>
  </si>
  <si>
    <t>NEW PNEUMATIC TYRES, OF RUBBER Of a kind used on aircraft</t>
  </si>
  <si>
    <t>Pneumatic tyres new of rubber for motorcycles</t>
  </si>
  <si>
    <t>Pneumatic tyres new of rubber for bicycles</t>
  </si>
  <si>
    <t>Of a kind used on agricultural or forestry vehicles and machines</t>
  </si>
  <si>
    <t>Of a kind used on construction, mining or industrial handling vehicles and machines</t>
  </si>
  <si>
    <t>Of a kind used on Light commercial vehicles</t>
  </si>
  <si>
    <t>Italy</t>
  </si>
  <si>
    <t>Switzerland</t>
  </si>
  <si>
    <t>United Arab Emirates</t>
  </si>
  <si>
    <t>Belgium</t>
  </si>
  <si>
    <t>Netherlands</t>
  </si>
  <si>
    <t>Poland</t>
  </si>
  <si>
    <t>Mexico</t>
  </si>
  <si>
    <t>Australia</t>
  </si>
  <si>
    <t>Luxembourg</t>
  </si>
  <si>
    <t>China, Hong Kong SAR</t>
  </si>
  <si>
    <t>Turkey</t>
  </si>
  <si>
    <t>Areas, nes</t>
  </si>
  <si>
    <t>Sweden</t>
  </si>
  <si>
    <t>South Africa</t>
  </si>
  <si>
    <t>Israel</t>
  </si>
  <si>
    <t>Panama</t>
  </si>
  <si>
    <t>Egypt</t>
  </si>
  <si>
    <t>Canada</t>
  </si>
  <si>
    <t>Lithuania</t>
  </si>
  <si>
    <t>Colombia</t>
  </si>
  <si>
    <t>Hungary</t>
  </si>
  <si>
    <t>Belarus</t>
  </si>
  <si>
    <t>Russian Federation</t>
  </si>
  <si>
    <t>Denmark</t>
  </si>
  <si>
    <t>Saudi Arabia</t>
  </si>
  <si>
    <t>Serbia</t>
  </si>
  <si>
    <t>Qatar</t>
  </si>
  <si>
    <t>Sudan</t>
  </si>
  <si>
    <t>Kuwait</t>
  </si>
  <si>
    <t>Morocco</t>
  </si>
  <si>
    <t>Portugal</t>
  </si>
  <si>
    <t>Austria</t>
  </si>
  <si>
    <t>Nigeria</t>
  </si>
  <si>
    <t>Bangladesh</t>
  </si>
  <si>
    <t>CuraÃ§ao</t>
  </si>
  <si>
    <t>MACEDONIA</t>
  </si>
  <si>
    <t>VIRGIN IS US</t>
  </si>
  <si>
    <t>MOZAMBIQUE</t>
  </si>
  <si>
    <t>CONGO P REP</t>
  </si>
  <si>
    <t>Total batteries import</t>
  </si>
  <si>
    <t>Classification</t>
  </si>
  <si>
    <t>Year</t>
  </si>
  <si>
    <t>Period Desc.</t>
  </si>
  <si>
    <t>Aggregate Level</t>
  </si>
  <si>
    <t>Is Leaf Code</t>
  </si>
  <si>
    <t>Trade Flow Code</t>
  </si>
  <si>
    <t>Reporter Code</t>
  </si>
  <si>
    <t>Reporter ISO</t>
  </si>
  <si>
    <t>Partner Code</t>
  </si>
  <si>
    <t>Partner ISO</t>
  </si>
  <si>
    <t>2nd Partner Code</t>
  </si>
  <si>
    <t>2nd Partner</t>
  </si>
  <si>
    <t>2nd Partner ISO</t>
  </si>
  <si>
    <t>Customs Proc. Code</t>
  </si>
  <si>
    <t>Customs</t>
  </si>
  <si>
    <t>Mode of Transport Code</t>
  </si>
  <si>
    <t>Mode of Transport</t>
  </si>
  <si>
    <t>Commodity</t>
  </si>
  <si>
    <t>Qty Unit Code</t>
  </si>
  <si>
    <t>Alt Qty Unit Code</t>
  </si>
  <si>
    <t>Alt Qty Unit</t>
  </si>
  <si>
    <t>Alt Qty</t>
  </si>
  <si>
    <t>Gross weight (kg)</t>
  </si>
  <si>
    <t>CIF Trade Value (US$)</t>
  </si>
  <si>
    <t>FOB Trade Value (US$)</t>
  </si>
  <si>
    <t>H5</t>
  </si>
  <si>
    <t>IND</t>
  </si>
  <si>
    <t>WLD</t>
  </si>
  <si>
    <t>Rubber; new pneumatic tyres, of a kind used on motor cars (including station wagons and racing cars)</t>
  </si>
  <si>
    <t>Rubber; new pneumatic tyres, of a kind used on buses or lorries</t>
  </si>
  <si>
    <t>Rubber; new pneumatic tyres, of a kind used on motorcycles</t>
  </si>
  <si>
    <t>Rubber; new pneumatic tyres, of a kind used on construction, mining or industrial handling vehicles and machines</t>
  </si>
  <si>
    <t>Rubber; new pneumatic tyres, of a kind used on agricultural or forestry vehicles and machines</t>
  </si>
  <si>
    <t>Rubber; new pneumatic tyres, of a kind used on light commercial vehicles</t>
  </si>
  <si>
    <t>AUS</t>
  </si>
  <si>
    <t>AUT</t>
  </si>
  <si>
    <t>BGD</t>
  </si>
  <si>
    <t>BEL</t>
  </si>
  <si>
    <t>BRA</t>
  </si>
  <si>
    <t>BLR</t>
  </si>
  <si>
    <t>CAN</t>
  </si>
  <si>
    <t>LKA</t>
  </si>
  <si>
    <t>CHN</t>
  </si>
  <si>
    <t>COL</t>
  </si>
  <si>
    <t>CZE</t>
  </si>
  <si>
    <t>DNK</t>
  </si>
  <si>
    <t>FRA</t>
  </si>
  <si>
    <t>DEU</t>
  </si>
  <si>
    <t>HKG</t>
  </si>
  <si>
    <t>HUN</t>
  </si>
  <si>
    <t>IDN</t>
  </si>
  <si>
    <t>ISR</t>
  </si>
  <si>
    <t>ITA</t>
  </si>
  <si>
    <t>JPN</t>
  </si>
  <si>
    <t>KOR</t>
  </si>
  <si>
    <t>KWT</t>
  </si>
  <si>
    <t>LTU</t>
  </si>
  <si>
    <t>LUX</t>
  </si>
  <si>
    <t>MYS</t>
  </si>
  <si>
    <t>MEX</t>
  </si>
  <si>
    <t>Other Asia, nes</t>
  </si>
  <si>
    <t>MAR</t>
  </si>
  <si>
    <t>NLD</t>
  </si>
  <si>
    <t>CUW</t>
  </si>
  <si>
    <t>NGA</t>
  </si>
  <si>
    <t>PAN</t>
  </si>
  <si>
    <t>PHL</t>
  </si>
  <si>
    <t>POL</t>
  </si>
  <si>
    <t>PRT</t>
  </si>
  <si>
    <t>QAT</t>
  </si>
  <si>
    <t>ROU</t>
  </si>
  <si>
    <t>RUS</t>
  </si>
  <si>
    <t>SAU</t>
  </si>
  <si>
    <t>SRB</t>
  </si>
  <si>
    <t>SGP</t>
  </si>
  <si>
    <t>VNM</t>
  </si>
  <si>
    <t>ZAF</t>
  </si>
  <si>
    <t>ESP</t>
  </si>
  <si>
    <t>SDN</t>
  </si>
  <si>
    <t>SWE</t>
  </si>
  <si>
    <t>CHE</t>
  </si>
  <si>
    <t>THA</t>
  </si>
  <si>
    <t>ARE</t>
  </si>
  <si>
    <t>TUR</t>
  </si>
  <si>
    <t>EGY</t>
  </si>
  <si>
    <t>GBR</t>
  </si>
  <si>
    <t>Quntity in thousands Tons</t>
  </si>
  <si>
    <t>http://www.eximguru.com/hs-codes/85068090-other.aspx</t>
  </si>
  <si>
    <t>https://www.dripcapital.com/hsn-code/search/Automotive%20Batteries</t>
  </si>
  <si>
    <t>85071000 LEAD ACID ACCUMULATORS OF A KIND USED FOR STARTING PISTON ENGINES Unit: NOS    </t>
  </si>
  <si>
    <t>85068090 OTHERS Unit: NOS</t>
  </si>
  <si>
    <t>NEPAL</t>
  </si>
  <si>
    <t>BOSNIA-HRZGOVIN</t>
  </si>
  <si>
    <t>sum</t>
  </si>
  <si>
    <t>USD million</t>
  </si>
  <si>
    <t>https://www.cybex.in/hs-codes/brakes-coaster-braking-hubs-hub-hs-codes-87149400.aspx#:~:text=HS%20Codes%2087149400%20%3A%20HS%20Classifcations,hub%20brakes%2C%20and%20parts%20thereof</t>
  </si>
  <si>
    <t>GUATEMALA</t>
  </si>
  <si>
    <t>https://www.exportgenius.in/hs-code/india/automobile-ignition-coil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</si>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</sst>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0.0"/>
    <numFmt numFmtId="167" formatCode="0.000"/>
    <numFmt numFmtId="168" formatCode="0.000%"/>
    <numFmt numFmtId="169" formatCode="#,##0.000"/>
    <numFmt numFmtId="170" formatCode="_(&quot;$&quot;* #,##0.00_);_(&quot;$&quot;* \(#,##0.00\);_(&quot;$&quot;* &quot;-&quot;??_);_(@_)"/>
    <numFmt numFmtId="171" formatCode="_(&quot;$&quot;* #,##0_);_(&quot;$&quot;* \(#,##0\);_(&quot;$&quot;* &quot;-&quot;??_);_(@_)"/>
    <numFmt numFmtId="172" formatCode="0.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202124"/>
      <name val="Arial"/>
      <family val="2"/>
    </font>
    <font>
      <sz val="10"/>
      <color rgb="FF181717"/>
      <name val="Verdana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E5E5E5"/>
      </left>
      <right style="thin">
        <color rgb="FF000000"/>
      </right>
      <top style="medium">
        <color rgb="FFE5E5E5"/>
      </top>
      <bottom style="medium">
        <color rgb="FFE5E5E5"/>
      </bottom>
      <diagonal/>
    </border>
    <border>
      <left style="thin">
        <color rgb="FF000000"/>
      </left>
      <right/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 style="thin">
        <color rgb="FF000000"/>
      </right>
      <top style="medium">
        <color rgb="FFE5E5E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E5E5E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E5E5E5"/>
      </right>
      <top/>
      <bottom style="thin">
        <color rgb="FF000000"/>
      </bottom>
      <diagonal/>
    </border>
    <border>
      <left style="medium">
        <color rgb="FFE5E5E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E5E5E5"/>
      </right>
      <top style="thin">
        <color rgb="FF000000"/>
      </top>
      <bottom style="thin">
        <color rgb="FF000000"/>
      </bottom>
      <diagonal/>
    </border>
    <border>
      <left style="medium">
        <color rgb="FFE5E5E5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5E5E5"/>
      </left>
      <right/>
      <top style="thin">
        <color rgb="FF000000"/>
      </top>
      <bottom style="medium">
        <color rgb="FFE5E5E5"/>
      </bottom>
      <diagonal/>
    </border>
    <border>
      <left/>
      <right style="thin">
        <color rgb="FF000000"/>
      </right>
      <top style="thin">
        <color rgb="FF000000"/>
      </top>
      <bottom style="medium">
        <color rgb="FFE5E5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5E5E5"/>
      </bottom>
      <diagonal/>
    </border>
    <border>
      <left style="thin">
        <color rgb="FF000000"/>
      </left>
      <right style="medium">
        <color rgb="FFE5E5E5"/>
      </right>
      <top style="thin">
        <color rgb="FF000000"/>
      </top>
      <bottom style="medium">
        <color rgb="FFE5E5E5"/>
      </bottom>
      <diagonal/>
    </border>
    <border>
      <left style="thin">
        <color rgb="FF000000"/>
      </left>
      <right style="thin">
        <color rgb="FF000000"/>
      </right>
      <top style="medium">
        <color rgb="FFE5E5E5"/>
      </top>
      <bottom style="medium">
        <color rgb="FFE5E5E5"/>
      </bottom>
      <diagonal/>
    </border>
    <border>
      <left style="thin">
        <color rgb="FF000000"/>
      </left>
      <right/>
      <top/>
      <bottom style="medium">
        <color rgb="FFE5E5E5"/>
      </bottom>
      <diagonal/>
    </border>
    <border>
      <left/>
      <right/>
      <top/>
      <bottom style="medium">
        <color rgb="FFE5E5E5"/>
      </bottom>
      <diagonal/>
    </border>
    <border>
      <left style="thin">
        <color rgb="FF000000"/>
      </left>
      <right style="medium">
        <color rgb="FFE5E5E5"/>
      </right>
      <top style="medium">
        <color rgb="FFE5E5E5"/>
      </top>
      <bottom style="thin">
        <color rgb="FF000000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0" xfId="0" applyNumberFormat="1"/>
    <xf numFmtId="3" fontId="0" fillId="0" borderId="1" xfId="0" applyNumberFormat="1" applyBorder="1"/>
    <xf numFmtId="164" fontId="0" fillId="0" borderId="0" xfId="2" applyNumberFormat="1" applyFont="1"/>
    <xf numFmtId="165" fontId="0" fillId="0" borderId="0" xfId="1" applyNumberFormat="1" applyFont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3" fillId="0" borderId="1" xfId="0" applyFont="1" applyBorder="1" applyAlignment="1">
      <alignment wrapText="1"/>
    </xf>
    <xf numFmtId="165" fontId="3" fillId="0" borderId="1" xfId="1" applyNumberFormat="1" applyFont="1" applyBorder="1"/>
    <xf numFmtId="43" fontId="0" fillId="0" borderId="0" xfId="0" applyNumberFormat="1"/>
    <xf numFmtId="165" fontId="0" fillId="0" borderId="0" xfId="0" applyNumberFormat="1"/>
    <xf numFmtId="0" fontId="3" fillId="0" borderId="1" xfId="0" applyFont="1" applyBorder="1"/>
    <xf numFmtId="165" fontId="0" fillId="0" borderId="1" xfId="1" applyNumberFormat="1" applyFont="1" applyBorder="1"/>
    <xf numFmtId="0" fontId="0" fillId="2" borderId="1" xfId="0" applyFill="1" applyBorder="1"/>
    <xf numFmtId="165" fontId="0" fillId="0" borderId="1" xfId="0" applyNumberFormat="1" applyBorder="1"/>
    <xf numFmtId="4" fontId="0" fillId="0" borderId="0" xfId="0" applyNumberFormat="1"/>
    <xf numFmtId="4" fontId="0" fillId="0" borderId="1" xfId="0" applyNumberFormat="1" applyBorder="1"/>
    <xf numFmtId="0" fontId="3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65" fontId="1" fillId="2" borderId="1" xfId="1" applyNumberFormat="1" applyFont="1" applyFill="1" applyBorder="1"/>
    <xf numFmtId="1" fontId="0" fillId="0" borderId="1" xfId="0" applyNumberFormat="1" applyBorder="1"/>
    <xf numFmtId="2" fontId="0" fillId="0" borderId="0" xfId="0" applyNumberFormat="1"/>
    <xf numFmtId="165" fontId="3" fillId="5" borderId="0" xfId="1" applyNumberFormat="1" applyFont="1" applyFill="1"/>
    <xf numFmtId="165" fontId="3" fillId="5" borderId="1" xfId="1" applyNumberFormat="1" applyFont="1" applyFill="1" applyBorder="1"/>
    <xf numFmtId="3" fontId="3" fillId="5" borderId="1" xfId="0" applyNumberFormat="1" applyFont="1" applyFill="1" applyBorder="1"/>
    <xf numFmtId="165" fontId="3" fillId="5" borderId="0" xfId="0" applyNumberFormat="1" applyFont="1" applyFill="1"/>
    <xf numFmtId="165" fontId="3" fillId="5" borderId="1" xfId="0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5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" fontId="0" fillId="0" borderId="12" xfId="0" applyNumberFormat="1" applyBorder="1"/>
    <xf numFmtId="0" fontId="0" fillId="2" borderId="13" xfId="0" applyFill="1" applyBorder="1"/>
    <xf numFmtId="1" fontId="3" fillId="6" borderId="14" xfId="0" applyNumberFormat="1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0" fillId="3" borderId="1" xfId="0" applyFill="1" applyBorder="1"/>
    <xf numFmtId="3" fontId="0" fillId="3" borderId="1" xfId="0" applyNumberFormat="1" applyFill="1" applyBorder="1"/>
    <xf numFmtId="0" fontId="3" fillId="8" borderId="1" xfId="0" applyFont="1" applyFill="1" applyBorder="1"/>
    <xf numFmtId="0" fontId="0" fillId="8" borderId="1" xfId="0" applyFill="1" applyBorder="1"/>
    <xf numFmtId="0" fontId="0" fillId="2" borderId="15" xfId="0" applyFill="1" applyBorder="1"/>
    <xf numFmtId="0" fontId="4" fillId="0" borderId="16" xfId="0" applyFont="1" applyBorder="1"/>
    <xf numFmtId="0" fontId="0" fillId="2" borderId="16" xfId="0" applyFill="1" applyBorder="1"/>
    <xf numFmtId="0" fontId="0" fillId="2" borderId="17" xfId="0" applyFill="1" applyBorder="1"/>
    <xf numFmtId="0" fontId="0" fillId="3" borderId="17" xfId="0" applyFill="1" applyBorder="1"/>
    <xf numFmtId="0" fontId="1" fillId="0" borderId="17" xfId="0" applyFont="1" applyBorder="1"/>
    <xf numFmtId="0" fontId="0" fillId="4" borderId="17" xfId="0" applyFill="1" applyBorder="1"/>
    <xf numFmtId="0" fontId="0" fillId="0" borderId="17" xfId="0" applyBorder="1"/>
    <xf numFmtId="0" fontId="0" fillId="2" borderId="18" xfId="0" applyFill="1" applyBorder="1"/>
    <xf numFmtId="0" fontId="3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43" fontId="0" fillId="0" borderId="0" xfId="1" applyFont="1"/>
    <xf numFmtId="0" fontId="0" fillId="12" borderId="0" xfId="0" applyFill="1"/>
    <xf numFmtId="0" fontId="3" fillId="12" borderId="0" xfId="0" applyFont="1" applyFill="1"/>
    <xf numFmtId="43" fontId="0" fillId="12" borderId="0" xfId="0" applyNumberFormat="1" applyFill="1"/>
    <xf numFmtId="43" fontId="0" fillId="12" borderId="1" xfId="0" applyNumberFormat="1" applyFill="1" applyBorder="1"/>
    <xf numFmtId="43" fontId="0" fillId="0" borderId="1" xfId="0" applyNumberFormat="1" applyBorder="1"/>
    <xf numFmtId="0" fontId="0" fillId="12" borderId="1" xfId="0" applyFill="1" applyBorder="1"/>
    <xf numFmtId="166" fontId="0" fillId="0" borderId="1" xfId="0" applyNumberFormat="1" applyBorder="1"/>
    <xf numFmtId="0" fontId="3" fillId="12" borderId="1" xfId="0" applyFont="1" applyFill="1" applyBorder="1"/>
    <xf numFmtId="3" fontId="0" fillId="12" borderId="1" xfId="0" applyNumberFormat="1" applyFill="1" applyBorder="1"/>
    <xf numFmtId="165" fontId="3" fillId="12" borderId="1" xfId="1" applyNumberFormat="1" applyFont="1" applyFill="1" applyBorder="1"/>
    <xf numFmtId="0" fontId="5" fillId="0" borderId="1" xfId="0" applyFont="1" applyBorder="1"/>
    <xf numFmtId="0" fontId="1" fillId="0" borderId="0" xfId="0" applyFont="1"/>
    <xf numFmtId="0" fontId="1" fillId="0" borderId="1" xfId="0" applyFont="1" applyBorder="1"/>
    <xf numFmtId="165" fontId="5" fillId="0" borderId="1" xfId="1" applyNumberFormat="1" applyFont="1" applyBorder="1"/>
    <xf numFmtId="3" fontId="1" fillId="2" borderId="1" xfId="0" applyNumberFormat="1" applyFont="1" applyFill="1" applyBorder="1"/>
    <xf numFmtId="165" fontId="5" fillId="5" borderId="1" xfId="1" applyNumberFormat="1" applyFont="1" applyFill="1" applyBorder="1"/>
    <xf numFmtId="0" fontId="1" fillId="0" borderId="1" xfId="0" applyFont="1" applyBorder="1" applyAlignment="1">
      <alignment wrapText="1"/>
    </xf>
    <xf numFmtId="165" fontId="1" fillId="0" borderId="1" xfId="1" applyNumberFormat="1" applyFont="1" applyBorder="1"/>
    <xf numFmtId="165" fontId="1" fillId="0" borderId="0" xfId="1" applyNumberFormat="1" applyFont="1"/>
    <xf numFmtId="0" fontId="5" fillId="0" borderId="1" xfId="0" applyFont="1" applyBorder="1" applyAlignment="1">
      <alignment wrapText="1"/>
    </xf>
    <xf numFmtId="3" fontId="1" fillId="0" borderId="1" xfId="0" applyNumberFormat="1" applyFont="1" applyBorder="1"/>
    <xf numFmtId="0" fontId="6" fillId="0" borderId="0" xfId="0" applyFont="1"/>
    <xf numFmtId="43" fontId="3" fillId="12" borderId="0" xfId="0" applyNumberFormat="1" applyFont="1" applyFill="1"/>
    <xf numFmtId="166" fontId="3" fillId="12" borderId="0" xfId="0" applyNumberFormat="1" applyFont="1" applyFill="1"/>
    <xf numFmtId="0" fontId="3" fillId="13" borderId="0" xfId="0" applyFont="1" applyFill="1"/>
    <xf numFmtId="43" fontId="3" fillId="13" borderId="0" xfId="0" applyNumberFormat="1" applyFont="1" applyFill="1"/>
    <xf numFmtId="0" fontId="3" fillId="0" borderId="19" xfId="0" applyFont="1" applyBorder="1"/>
    <xf numFmtId="165" fontId="3" fillId="13" borderId="1" xfId="1" applyNumberFormat="1" applyFont="1" applyFill="1" applyBorder="1"/>
    <xf numFmtId="0" fontId="0" fillId="13" borderId="1" xfId="0" applyFill="1" applyBorder="1"/>
    <xf numFmtId="43" fontId="0" fillId="13" borderId="1" xfId="0" applyNumberFormat="1" applyFill="1" applyBorder="1"/>
    <xf numFmtId="165" fontId="0" fillId="0" borderId="20" xfId="0" applyNumberFormat="1" applyBorder="1"/>
    <xf numFmtId="165" fontId="0" fillId="0" borderId="21" xfId="0" applyNumberFormat="1" applyBorder="1"/>
    <xf numFmtId="3" fontId="0" fillId="0" borderId="21" xfId="0" applyNumberFormat="1" applyBorder="1"/>
    <xf numFmtId="165" fontId="0" fillId="0" borderId="22" xfId="0" applyNumberFormat="1" applyBorder="1"/>
    <xf numFmtId="0" fontId="3" fillId="2" borderId="4" xfId="0" applyFont="1" applyFill="1" applyBorder="1"/>
    <xf numFmtId="43" fontId="3" fillId="0" borderId="1" xfId="0" applyNumberFormat="1" applyFont="1" applyBorder="1"/>
    <xf numFmtId="0" fontId="0" fillId="0" borderId="3" xfId="0" applyBorder="1"/>
    <xf numFmtId="0" fontId="0" fillId="0" borderId="6" xfId="0" applyBorder="1"/>
    <xf numFmtId="0" fontId="0" fillId="2" borderId="4" xfId="0" applyFill="1" applyBorder="1"/>
    <xf numFmtId="43" fontId="0" fillId="7" borderId="7" xfId="0" applyNumberFormat="1" applyFill="1" applyBorder="1"/>
    <xf numFmtId="0" fontId="0" fillId="7" borderId="4" xfId="0" applyFill="1" applyBorder="1"/>
    <xf numFmtId="0" fontId="0" fillId="0" borderId="5" xfId="0" applyBorder="1"/>
    <xf numFmtId="43" fontId="3" fillId="0" borderId="8" xfId="0" applyNumberFormat="1" applyFont="1" applyBorder="1"/>
    <xf numFmtId="10" fontId="0" fillId="0" borderId="0" xfId="2" applyNumberFormat="1" applyFont="1"/>
    <xf numFmtId="10" fontId="0" fillId="0" borderId="0" xfId="0" applyNumberFormat="1"/>
    <xf numFmtId="0" fontId="3" fillId="11" borderId="0" xfId="0" applyFont="1" applyFill="1"/>
    <xf numFmtId="0" fontId="3" fillId="0" borderId="23" xfId="0" applyFont="1" applyBorder="1"/>
    <xf numFmtId="0" fontId="0" fillId="0" borderId="24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10" fontId="8" fillId="0" borderId="0" xfId="2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/>
    <xf numFmtId="10" fontId="0" fillId="0" borderId="0" xfId="2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4" fillId="0" borderId="0" xfId="0" applyFont="1"/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horizontal="right"/>
    </xf>
    <xf numFmtId="10" fontId="0" fillId="0" borderId="6" xfId="2" applyNumberFormat="1" applyFont="1" applyBorder="1"/>
    <xf numFmtId="0" fontId="0" fillId="0" borderId="23" xfId="0" applyBorder="1"/>
    <xf numFmtId="10" fontId="0" fillId="0" borderId="7" xfId="2" applyNumberFormat="1" applyFont="1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right"/>
    </xf>
    <xf numFmtId="10" fontId="0" fillId="0" borderId="8" xfId="2" applyNumberFormat="1" applyFont="1" applyBorder="1"/>
    <xf numFmtId="10" fontId="0" fillId="0" borderId="0" xfId="0" applyNumberFormat="1" applyAlignment="1">
      <alignment horizontal="center" vertical="center"/>
    </xf>
    <xf numFmtId="10" fontId="0" fillId="0" borderId="25" xfId="2" applyNumberFormat="1" applyFont="1" applyBorder="1"/>
    <xf numFmtId="10" fontId="0" fillId="0" borderId="15" xfId="0" applyNumberFormat="1" applyBorder="1"/>
    <xf numFmtId="10" fontId="0" fillId="0" borderId="23" xfId="2" applyNumberFormat="1" applyFont="1" applyBorder="1"/>
    <xf numFmtId="10" fontId="0" fillId="0" borderId="16" xfId="0" applyNumberFormat="1" applyBorder="1"/>
    <xf numFmtId="10" fontId="0" fillId="0" borderId="27" xfId="2" applyNumberFormat="1" applyFont="1" applyBorder="1"/>
    <xf numFmtId="10" fontId="0" fillId="0" borderId="18" xfId="0" applyNumberFormat="1" applyBorder="1"/>
    <xf numFmtId="167" fontId="0" fillId="0" borderId="0" xfId="0" applyNumberFormat="1" applyAlignment="1">
      <alignment horizontal="right"/>
    </xf>
    <xf numFmtId="168" fontId="0" fillId="0" borderId="0" xfId="2" applyNumberFormat="1" applyFont="1"/>
    <xf numFmtId="168" fontId="2" fillId="0" borderId="0" xfId="2" applyNumberFormat="1" applyFont="1"/>
    <xf numFmtId="0" fontId="0" fillId="0" borderId="25" xfId="0" applyBorder="1" applyAlignment="1">
      <alignment horizontal="right"/>
    </xf>
    <xf numFmtId="167" fontId="0" fillId="0" borderId="26" xfId="0" applyNumberFormat="1" applyBorder="1"/>
    <xf numFmtId="10" fontId="0" fillId="0" borderId="29" xfId="2" applyNumberFormat="1" applyFont="1" applyBorder="1"/>
    <xf numFmtId="0" fontId="0" fillId="0" borderId="23" xfId="0" applyBorder="1" applyAlignment="1">
      <alignment horizontal="right"/>
    </xf>
    <xf numFmtId="10" fontId="0" fillId="0" borderId="24" xfId="2" applyNumberFormat="1" applyFont="1" applyBorder="1"/>
    <xf numFmtId="0" fontId="0" fillId="0" borderId="27" xfId="0" applyBorder="1" applyAlignment="1">
      <alignment horizontal="right"/>
    </xf>
    <xf numFmtId="167" fontId="0" fillId="0" borderId="28" xfId="0" applyNumberFormat="1" applyBorder="1"/>
    <xf numFmtId="10" fontId="0" fillId="0" borderId="30" xfId="2" applyNumberFormat="1" applyFont="1" applyBorder="1"/>
    <xf numFmtId="0" fontId="7" fillId="0" borderId="0" xfId="0" applyFont="1" applyAlignment="1">
      <alignment horizontal="left" vertical="center" readingOrder="1"/>
    </xf>
    <xf numFmtId="10" fontId="0" fillId="0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1" fontId="0" fillId="0" borderId="0" xfId="3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1" fontId="0" fillId="0" borderId="0" xfId="3" applyNumberFormat="1" applyFont="1"/>
    <xf numFmtId="3" fontId="0" fillId="0" borderId="0" xfId="0" applyNumberFormat="1" applyAlignment="1">
      <alignment horizontal="center"/>
    </xf>
    <xf numFmtId="0" fontId="9" fillId="14" borderId="31" xfId="0" applyFont="1" applyFill="1" applyBorder="1" applyAlignment="1">
      <alignment horizontal="center" vertical="center"/>
    </xf>
    <xf numFmtId="0" fontId="9" fillId="14" borderId="32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4" borderId="35" xfId="0" applyFont="1" applyFill="1" applyBorder="1" applyAlignment="1">
      <alignment horizontal="center" vertical="center"/>
    </xf>
    <xf numFmtId="0" fontId="9" fillId="14" borderId="36" xfId="0" applyFont="1" applyFill="1" applyBorder="1" applyAlignment="1">
      <alignment horizontal="center" vertical="center"/>
    </xf>
    <xf numFmtId="0" fontId="10" fillId="15" borderId="37" xfId="0" applyFont="1" applyFill="1" applyBorder="1" applyAlignment="1">
      <alignment vertical="top"/>
    </xf>
    <xf numFmtId="0" fontId="10" fillId="15" borderId="38" xfId="0" applyFont="1" applyFill="1" applyBorder="1" applyAlignment="1">
      <alignment vertical="top"/>
    </xf>
    <xf numFmtId="0" fontId="10" fillId="15" borderId="38" xfId="0" applyFont="1" applyFill="1" applyBorder="1" applyAlignment="1">
      <alignment horizontal="right" vertical="top"/>
    </xf>
    <xf numFmtId="4" fontId="10" fillId="15" borderId="38" xfId="0" applyNumberFormat="1" applyFont="1" applyFill="1" applyBorder="1" applyAlignment="1">
      <alignment horizontal="right" vertical="top"/>
    </xf>
    <xf numFmtId="0" fontId="10" fillId="15" borderId="39" xfId="0" applyFont="1" applyFill="1" applyBorder="1" applyAlignment="1">
      <alignment horizontal="right" vertical="top"/>
    </xf>
    <xf numFmtId="4" fontId="10" fillId="15" borderId="39" xfId="0" applyNumberFormat="1" applyFont="1" applyFill="1" applyBorder="1" applyAlignment="1">
      <alignment horizontal="right" vertical="top"/>
    </xf>
    <xf numFmtId="0" fontId="11" fillId="15" borderId="37" xfId="0" applyFont="1" applyFill="1" applyBorder="1" applyAlignment="1">
      <alignment horizontal="left" vertical="center"/>
    </xf>
    <xf numFmtId="0" fontId="12" fillId="15" borderId="38" xfId="0" applyFont="1" applyFill="1" applyBorder="1" applyAlignment="1">
      <alignment horizontal="left" vertical="center"/>
    </xf>
    <xf numFmtId="0" fontId="12" fillId="15" borderId="38" xfId="0" applyFont="1" applyFill="1" applyBorder="1" applyAlignment="1">
      <alignment horizontal="right" vertical="center"/>
    </xf>
    <xf numFmtId="0" fontId="11" fillId="15" borderId="38" xfId="0" applyFont="1" applyFill="1" applyBorder="1" applyAlignment="1">
      <alignment horizontal="left" vertical="center"/>
    </xf>
    <xf numFmtId="0" fontId="11" fillId="15" borderId="39" xfId="0" applyFont="1" applyFill="1" applyBorder="1" applyAlignment="1">
      <alignment horizontal="left" vertical="center"/>
    </xf>
    <xf numFmtId="0" fontId="12" fillId="15" borderId="40" xfId="0" applyFont="1" applyFill="1" applyBorder="1" applyAlignment="1">
      <alignment vertical="top"/>
    </xf>
    <xf numFmtId="0" fontId="12" fillId="15" borderId="41" xfId="0" applyFont="1" applyFill="1" applyBorder="1" applyAlignment="1">
      <alignment vertical="top"/>
    </xf>
    <xf numFmtId="4" fontId="12" fillId="15" borderId="38" xfId="0" applyNumberFormat="1" applyFont="1" applyFill="1" applyBorder="1" applyAlignment="1">
      <alignment horizontal="right" vertical="top"/>
    </xf>
    <xf numFmtId="0" fontId="12" fillId="15" borderId="38" xfId="0" applyFont="1" applyFill="1" applyBorder="1" applyAlignment="1">
      <alignment horizontal="right" vertical="top"/>
    </xf>
    <xf numFmtId="0" fontId="12" fillId="15" borderId="42" xfId="0" applyFont="1" applyFill="1" applyBorder="1" applyAlignment="1">
      <alignment vertical="top"/>
    </xf>
    <xf numFmtId="0" fontId="12" fillId="15" borderId="43" xfId="0" applyFont="1" applyFill="1" applyBorder="1" applyAlignment="1">
      <alignment vertical="top"/>
    </xf>
    <xf numFmtId="0" fontId="12" fillId="15" borderId="44" xfId="0" applyFont="1" applyFill="1" applyBorder="1" applyAlignment="1">
      <alignment horizontal="right" vertical="top"/>
    </xf>
    <xf numFmtId="0" fontId="10" fillId="15" borderId="44" xfId="0" applyFont="1" applyFill="1" applyBorder="1" applyAlignment="1">
      <alignment horizontal="right" vertical="top"/>
    </xf>
    <xf numFmtId="0" fontId="10" fillId="15" borderId="45" xfId="0" applyFont="1" applyFill="1" applyBorder="1" applyAlignment="1">
      <alignment horizontal="right" vertical="top"/>
    </xf>
    <xf numFmtId="0" fontId="9" fillId="14" borderId="31" xfId="0" applyFont="1" applyFill="1" applyBorder="1" applyAlignment="1">
      <alignment horizontal="center" vertical="center" wrapText="1"/>
    </xf>
    <xf numFmtId="0" fontId="9" fillId="14" borderId="46" xfId="0" applyFont="1" applyFill="1" applyBorder="1" applyAlignment="1">
      <alignment horizontal="center" vertical="center" wrapText="1"/>
    </xf>
    <xf numFmtId="0" fontId="9" fillId="14" borderId="47" xfId="0" applyFont="1" applyFill="1" applyBorder="1" applyAlignment="1">
      <alignment horizontal="center" vertical="center"/>
    </xf>
    <xf numFmtId="0" fontId="9" fillId="14" borderId="48" xfId="0" applyFont="1" applyFill="1" applyBorder="1" applyAlignment="1">
      <alignment horizontal="center" vertical="center"/>
    </xf>
    <xf numFmtId="0" fontId="9" fillId="14" borderId="48" xfId="0" applyFont="1" applyFill="1" applyBorder="1" applyAlignment="1">
      <alignment horizontal="center" vertical="center" wrapText="1"/>
    </xf>
    <xf numFmtId="0" fontId="9" fillId="14" borderId="33" xfId="0" applyFont="1" applyFill="1" applyBorder="1" applyAlignment="1">
      <alignment horizontal="center" vertical="center" wrapText="1"/>
    </xf>
    <xf numFmtId="0" fontId="9" fillId="14" borderId="34" xfId="0" applyFont="1" applyFill="1" applyBorder="1" applyAlignment="1">
      <alignment horizontal="center" vertical="center" wrapText="1"/>
    </xf>
    <xf numFmtId="0" fontId="9" fillId="14" borderId="49" xfId="0" applyFont="1" applyFill="1" applyBorder="1" applyAlignment="1">
      <alignment horizontal="center" vertical="center" wrapText="1"/>
    </xf>
    <xf numFmtId="0" fontId="10" fillId="15" borderId="37" xfId="0" applyFont="1" applyFill="1" applyBorder="1" applyAlignment="1">
      <alignment vertical="top" wrapText="1" indent="1"/>
    </xf>
    <xf numFmtId="0" fontId="10" fillId="15" borderId="38" xfId="0" applyFont="1" applyFill="1" applyBorder="1" applyAlignment="1">
      <alignment horizontal="right" vertical="top" wrapText="1" indent="1"/>
    </xf>
    <xf numFmtId="4" fontId="10" fillId="15" borderId="38" xfId="0" applyNumberFormat="1" applyFont="1" applyFill="1" applyBorder="1" applyAlignment="1">
      <alignment horizontal="right" vertical="top" wrapText="1" indent="1"/>
    </xf>
    <xf numFmtId="0" fontId="10" fillId="15" borderId="39" xfId="0" applyFont="1" applyFill="1" applyBorder="1" applyAlignment="1">
      <alignment horizontal="right" vertical="top" wrapText="1" indent="1"/>
    </xf>
    <xf numFmtId="4" fontId="10" fillId="15" borderId="39" xfId="0" applyNumberFormat="1" applyFont="1" applyFill="1" applyBorder="1" applyAlignment="1">
      <alignment horizontal="right" vertical="top" wrapText="1" indent="1"/>
    </xf>
    <xf numFmtId="0" fontId="11" fillId="15" borderId="37" xfId="0" applyFont="1" applyFill="1" applyBorder="1" applyAlignment="1">
      <alignment horizontal="left" vertical="center" wrapText="1" indent="1"/>
    </xf>
    <xf numFmtId="0" fontId="12" fillId="15" borderId="38" xfId="0" applyFont="1" applyFill="1" applyBorder="1" applyAlignment="1">
      <alignment horizontal="right" vertical="center" wrapText="1" indent="1"/>
    </xf>
    <xf numFmtId="0" fontId="11" fillId="15" borderId="38" xfId="0" applyFont="1" applyFill="1" applyBorder="1" applyAlignment="1">
      <alignment horizontal="left" vertical="center" wrapText="1" indent="1"/>
    </xf>
    <xf numFmtId="0" fontId="11" fillId="15" borderId="39" xfId="0" applyFont="1" applyFill="1" applyBorder="1" applyAlignment="1">
      <alignment horizontal="left" vertical="center" wrapText="1" indent="1"/>
    </xf>
    <xf numFmtId="0" fontId="12" fillId="15" borderId="40" xfId="0" applyFont="1" applyFill="1" applyBorder="1" applyAlignment="1">
      <alignment vertical="top" wrapText="1" indent="1"/>
    </xf>
    <xf numFmtId="0" fontId="12" fillId="15" borderId="41" xfId="0" applyFont="1" applyFill="1" applyBorder="1" applyAlignment="1">
      <alignment vertical="top" wrapText="1" indent="1"/>
    </xf>
    <xf numFmtId="4" fontId="12" fillId="15" borderId="38" xfId="0" applyNumberFormat="1" applyFont="1" applyFill="1" applyBorder="1" applyAlignment="1">
      <alignment horizontal="right" vertical="top" wrapText="1" indent="1"/>
    </xf>
    <xf numFmtId="0" fontId="12" fillId="15" borderId="38" xfId="0" applyFont="1" applyFill="1" applyBorder="1" applyAlignment="1">
      <alignment horizontal="right" vertical="top" wrapText="1" indent="1"/>
    </xf>
    <xf numFmtId="0" fontId="12" fillId="15" borderId="42" xfId="0" applyFont="1" applyFill="1" applyBorder="1" applyAlignment="1">
      <alignment vertical="top" wrapText="1" indent="1"/>
    </xf>
    <xf numFmtId="0" fontId="12" fillId="15" borderId="43" xfId="0" applyFont="1" applyFill="1" applyBorder="1" applyAlignment="1">
      <alignment vertical="top" wrapText="1" indent="1"/>
    </xf>
    <xf numFmtId="0" fontId="12" fillId="15" borderId="44" xfId="0" applyFont="1" applyFill="1" applyBorder="1" applyAlignment="1">
      <alignment horizontal="right" vertical="top" wrapText="1" indent="1"/>
    </xf>
    <xf numFmtId="0" fontId="10" fillId="15" borderId="44" xfId="0" applyFont="1" applyFill="1" applyBorder="1" applyAlignment="1">
      <alignment horizontal="right" vertical="top" wrapText="1" indent="1"/>
    </xf>
    <xf numFmtId="0" fontId="10" fillId="15" borderId="45" xfId="0" applyFont="1" applyFill="1" applyBorder="1" applyAlignment="1">
      <alignment horizontal="right" vertical="top" wrapText="1" indent="1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0" fontId="14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7" fontId="0" fillId="0" borderId="1" xfId="0" applyNumberFormat="1" applyBorder="1"/>
    <xf numFmtId="10" fontId="0" fillId="0" borderId="1" xfId="2" applyNumberFormat="1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72" fontId="0" fillId="0" borderId="0" xfId="2" applyNumberFormat="1" applyFont="1"/>
    <xf numFmtId="0" fontId="0" fillId="0" borderId="0" xfId="0" applyAlignment="1">
      <alignment horizontal="center" vertical="center" wrapText="1"/>
    </xf>
    <xf numFmtId="0" fontId="15" fillId="0" borderId="0" xfId="4"/>
    <xf numFmtId="0" fontId="9" fillId="14" borderId="32" xfId="0" applyFont="1" applyFill="1" applyBorder="1" applyAlignment="1">
      <alignment horizontal="center" vertical="center" wrapText="1"/>
    </xf>
    <xf numFmtId="0" fontId="9" fillId="14" borderId="35" xfId="0" applyFont="1" applyFill="1" applyBorder="1" applyAlignment="1">
      <alignment horizontal="center" vertical="center" wrapText="1"/>
    </xf>
    <xf numFmtId="0" fontId="9" fillId="14" borderId="36" xfId="0" applyFont="1" applyFill="1" applyBorder="1" applyAlignment="1">
      <alignment horizontal="center" vertical="center" wrapText="1"/>
    </xf>
    <xf numFmtId="0" fontId="12" fillId="15" borderId="38" xfId="0" applyFont="1" applyFill="1" applyBorder="1" applyAlignment="1">
      <alignment horizontal="left" vertical="center" wrapText="1" indent="1"/>
    </xf>
  </cellXfs>
  <cellStyles count="5">
    <cellStyle name="Comma" xfId="1" builtinId="3"/>
    <cellStyle name="Currency 2" xfId="3" xr:uid="{1DA95957-003E-4256-A228-6BC5BCDCC669}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444132</xdr:colOff>
      <xdr:row>15</xdr:row>
      <xdr:rowOff>95250</xdr:rowOff>
    </xdr:from>
    <xdr:to>
      <xdr:col>17</xdr:col>
      <xdr:colOff>317748</xdr:colOff>
      <xdr:row>28</xdr:row>
      <xdr:rowOff>165942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05D2A3-C231-EFAC-6EC0-7CE21D329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8282" y="2857500"/>
          <a:ext cx="2312016" cy="2470415"/>
        </a:xfrm>
        <a:prstGeom prst="rect">
          <a:avLst/>
        </a:prstGeom>
      </xdr:spPr>
    </xdr:pic>
    <xdr:clientData/>
  </xdr:twoCellAnchor>
  <xdr:twoCellAnchor editAs="oneCell">
    <xdr:from>
      <xdr:col>12</xdr:col>
      <xdr:colOff>273050</xdr:colOff>
      <xdr:row>43</xdr:row>
      <xdr:rowOff>109908</xdr:rowOff>
    </xdr:from>
    <xdr:to>
      <xdr:col>14</xdr:col>
      <xdr:colOff>139770</xdr:colOff>
      <xdr:row>47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61F0FF-51F1-4EAA-90EB-B5D7C75785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731"/>
        <a:stretch/>
      </xdr:blipFill>
      <xdr:spPr>
        <a:xfrm>
          <a:off x="11118850" y="8022008"/>
          <a:ext cx="1085920" cy="747342"/>
        </a:xfrm>
        <a:prstGeom prst="rect">
          <a:avLst/>
        </a:prstGeom>
      </xdr:spPr>
    </xdr:pic>
    <xdr:clientData/>
  </xdr:twoCellAnchor>
  <xdr:twoCellAnchor editAs="oneCell">
    <xdr:from>
      <xdr:col>11</xdr:col>
      <xdr:colOff>978811</xdr:colOff>
      <xdr:row>64</xdr:row>
      <xdr:rowOff>152400</xdr:rowOff>
    </xdr:from>
    <xdr:to>
      <xdr:col>16</xdr:col>
      <xdr:colOff>14431</xdr:colOff>
      <xdr:row>80</xdr:row>
      <xdr:rowOff>156317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DE652F-1946-4946-2273-5F97D9AE2C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932" t="8332" r="10735" b="6378"/>
        <a:stretch/>
      </xdr:blipFill>
      <xdr:spPr>
        <a:xfrm>
          <a:off x="12815211" y="11931650"/>
          <a:ext cx="2502720" cy="2950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1</xdr:row>
      <xdr:rowOff>76200</xdr:rowOff>
    </xdr:from>
    <xdr:to>
      <xdr:col>13</xdr:col>
      <xdr:colOff>19051</xdr:colOff>
      <xdr:row>19</xdr:row>
      <xdr:rowOff>150993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0FB09-3E26-48D2-A7A0-9E349C5B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6" y="260350"/>
          <a:ext cx="7927975" cy="3389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3</xdr:row>
      <xdr:rowOff>0</xdr:rowOff>
    </xdr:from>
    <xdr:to>
      <xdr:col>7</xdr:col>
      <xdr:colOff>486399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F5AFAB-C43C-4C1B-931D-E784A54D2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552450"/>
          <a:ext cx="5868023" cy="5715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</xdr:row>
      <xdr:rowOff>28843</xdr:rowOff>
    </xdr:from>
    <xdr:to>
      <xdr:col>14</xdr:col>
      <xdr:colOff>257175</xdr:colOff>
      <xdr:row>20</xdr:row>
      <xdr:rowOff>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490466-54E3-48D8-A409-F54B17A7F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397143"/>
          <a:ext cx="4165600" cy="32861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593585</xdr:colOff>
      <xdr:row>2</xdr:row>
      <xdr:rowOff>19049</xdr:rowOff>
    </xdr:from>
    <xdr:to>
      <xdr:col>9</xdr:col>
      <xdr:colOff>87296</xdr:colOff>
      <xdr:row>11</xdr:row>
      <xdr:rowOff>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2E7A9-3C7A-49B8-85ED-39AC8E719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585" y="387349"/>
          <a:ext cx="7685211" cy="16386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180974</xdr:colOff>
      <xdr:row>1</xdr:row>
      <xdr:rowOff>22466</xdr:rowOff>
    </xdr:from>
    <xdr:to>
      <xdr:col>24</xdr:col>
      <xdr:colOff>371475</xdr:colOff>
      <xdr:row>22</xdr:row>
      <xdr:rowOff>16948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FDC9F7-C174-4540-AFCF-956D268B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4" y="206616"/>
          <a:ext cx="6896101" cy="38616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178187</xdr:rowOff>
    </xdr:from>
    <xdr:to>
      <xdr:col>7</xdr:col>
      <xdr:colOff>477449</xdr:colOff>
      <xdr:row>23</xdr:row>
      <xdr:rowOff>115104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C6A82-1CED-4400-9DFB-9263C45EB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62337"/>
          <a:ext cx="6427399" cy="3988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dripcapital.com/hsn-code/search/Automotive%20Batteries" TargetMode="External"/><Relationship Id="rId1" Type="http://schemas.openxmlformats.org/officeDocument/2006/relationships/hyperlink" Target="http://www.eximguru.com/hs-codes/85068090-other.asp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3BD1-3A0E-4DA7-8892-DB5F043BE44B}">
  <dimension ref="B1:N108"/>
  <sheetViews>
    <sheetView topLeftCell="A23" zoomScale="55" zoomScaleNormal="100" workbookViewId="0">
      <selection activeCell="I106" sqref="I106"/>
    </sheetView>
  </sheetViews>
  <sheetFormatPr defaultRowHeight="14.5" x14ac:dyDescent="0.35"/>
  <cols>
    <col min="2" max="2" width="28.54296875" customWidth="1"/>
    <col min="3" max="3" width="11.1796875" bestFit="1" customWidth="1"/>
    <col min="4" max="4" width="18.26953125" customWidth="1"/>
    <col min="5" max="5" width="11.1796875" customWidth="1"/>
    <col min="6" max="6" width="31.6328125" bestFit="1" customWidth="1"/>
    <col min="8" max="8" width="24" customWidth="1"/>
    <col min="9" max="9" width="14.26953125" customWidth="1"/>
    <col min="12" max="12" width="14.7265625" bestFit="1" customWidth="1"/>
  </cols>
  <sheetData>
    <row r="1" spans="2:9" ht="15" thickBot="1" x14ac:dyDescent="0.4"/>
    <row r="2" spans="2:9" x14ac:dyDescent="0.35">
      <c r="B2" s="46" t="s">
        <v>0</v>
      </c>
      <c r="H2" s="1" t="s">
        <v>5</v>
      </c>
    </row>
    <row r="3" spans="2:9" x14ac:dyDescent="0.35">
      <c r="B3" s="47" t="s">
        <v>1</v>
      </c>
      <c r="H3" s="15" t="s">
        <v>6</v>
      </c>
    </row>
    <row r="4" spans="2:9" x14ac:dyDescent="0.35">
      <c r="B4" s="48" t="s">
        <v>2</v>
      </c>
      <c r="H4" s="20" t="s">
        <v>17</v>
      </c>
    </row>
    <row r="5" spans="2:9" x14ac:dyDescent="0.35">
      <c r="B5" s="48" t="s">
        <v>3</v>
      </c>
      <c r="H5" s="20" t="s">
        <v>8</v>
      </c>
    </row>
    <row r="6" spans="2:9" x14ac:dyDescent="0.35">
      <c r="B6" s="48" t="s">
        <v>4</v>
      </c>
      <c r="H6" s="20" t="s">
        <v>85</v>
      </c>
    </row>
    <row r="7" spans="2:9" ht="13" customHeight="1" x14ac:dyDescent="0.35">
      <c r="B7" s="49" t="s">
        <v>7</v>
      </c>
      <c r="H7" s="15" t="s">
        <v>16</v>
      </c>
    </row>
    <row r="8" spans="2:9" x14ac:dyDescent="0.35">
      <c r="B8" s="50" t="s">
        <v>9</v>
      </c>
      <c r="H8" s="1" t="s">
        <v>102</v>
      </c>
    </row>
    <row r="9" spans="2:9" x14ac:dyDescent="0.35">
      <c r="B9" s="51" t="s">
        <v>10</v>
      </c>
      <c r="H9" s="15" t="s">
        <v>18</v>
      </c>
    </row>
    <row r="10" spans="2:9" x14ac:dyDescent="0.35">
      <c r="B10" s="50" t="s">
        <v>11</v>
      </c>
      <c r="H10" s="15" t="s">
        <v>22</v>
      </c>
    </row>
    <row r="11" spans="2:9" x14ac:dyDescent="0.35">
      <c r="B11" s="49" t="s">
        <v>12</v>
      </c>
      <c r="H11" s="15" t="s">
        <v>89</v>
      </c>
    </row>
    <row r="12" spans="2:9" x14ac:dyDescent="0.35">
      <c r="B12" s="52" t="s">
        <v>13</v>
      </c>
      <c r="H12" s="2" t="s">
        <v>66</v>
      </c>
    </row>
    <row r="13" spans="2:9" x14ac:dyDescent="0.35">
      <c r="B13" s="53" t="s">
        <v>14</v>
      </c>
      <c r="D13" t="s">
        <v>20</v>
      </c>
      <c r="H13" s="2" t="s">
        <v>67</v>
      </c>
    </row>
    <row r="14" spans="2:9" x14ac:dyDescent="0.35">
      <c r="B14" s="53" t="s">
        <v>15</v>
      </c>
      <c r="H14" s="2" t="s">
        <v>68</v>
      </c>
      <c r="I14" t="s">
        <v>69</v>
      </c>
    </row>
    <row r="15" spans="2:9" x14ac:dyDescent="0.35">
      <c r="B15" s="49" t="s">
        <v>19</v>
      </c>
      <c r="H15" s="2" t="s">
        <v>93</v>
      </c>
    </row>
    <row r="16" spans="2:9" x14ac:dyDescent="0.35">
      <c r="B16" s="48" t="s">
        <v>21</v>
      </c>
    </row>
    <row r="17" spans="2:14" x14ac:dyDescent="0.35">
      <c r="B17" s="48" t="s">
        <v>48</v>
      </c>
      <c r="G17" s="3"/>
    </row>
    <row r="18" spans="2:14" ht="15" thickBot="1" x14ac:dyDescent="0.4">
      <c r="B18" s="54" t="s">
        <v>70</v>
      </c>
      <c r="G18" s="3"/>
    </row>
    <row r="19" spans="2:14" x14ac:dyDescent="0.35">
      <c r="B19" s="36"/>
      <c r="G19" s="3"/>
      <c r="N19" t="s">
        <v>79</v>
      </c>
    </row>
    <row r="20" spans="2:14" x14ac:dyDescent="0.35">
      <c r="B20" s="13" t="s">
        <v>0</v>
      </c>
      <c r="C20" s="13" t="s">
        <v>26</v>
      </c>
      <c r="G20" s="3"/>
      <c r="H20" s="13" t="s">
        <v>74</v>
      </c>
      <c r="I20" s="13" t="s">
        <v>77</v>
      </c>
      <c r="M20" t="s">
        <v>27</v>
      </c>
    </row>
    <row r="21" spans="2:14" x14ac:dyDescent="0.35">
      <c r="B21" s="1" t="s">
        <v>25</v>
      </c>
      <c r="C21" s="4">
        <v>64399</v>
      </c>
      <c r="D21" s="25">
        <f>C21*25%</f>
        <v>16099.75</v>
      </c>
      <c r="G21" s="3"/>
      <c r="H21" s="1" t="s">
        <v>55</v>
      </c>
      <c r="I21" s="14">
        <v>6326</v>
      </c>
    </row>
    <row r="22" spans="2:14" x14ac:dyDescent="0.35">
      <c r="B22" s="1" t="s">
        <v>24</v>
      </c>
      <c r="C22" s="4">
        <v>533155</v>
      </c>
      <c r="D22" s="81">
        <f>D21*0.0135</f>
        <v>217.34662499999999</v>
      </c>
      <c r="G22" s="3"/>
      <c r="H22" s="1" t="s">
        <v>37</v>
      </c>
      <c r="I22" s="1">
        <v>583</v>
      </c>
    </row>
    <row r="23" spans="2:14" x14ac:dyDescent="0.35">
      <c r="B23" s="1" t="s">
        <v>23</v>
      </c>
      <c r="C23" s="4">
        <v>597554</v>
      </c>
      <c r="D23" s="6"/>
      <c r="H23" s="1" t="s">
        <v>75</v>
      </c>
      <c r="I23" s="1">
        <v>1426</v>
      </c>
    </row>
    <row r="24" spans="2:14" x14ac:dyDescent="0.35">
      <c r="C24" s="5">
        <f>C21/C23</f>
        <v>0.10777101316366387</v>
      </c>
      <c r="H24" s="40" t="s">
        <v>76</v>
      </c>
      <c r="I24" s="41">
        <f>I22*20%</f>
        <v>116.60000000000001</v>
      </c>
    </row>
    <row r="25" spans="2:14" x14ac:dyDescent="0.35">
      <c r="H25" s="66" t="s">
        <v>78</v>
      </c>
      <c r="I25" s="66">
        <f>I24*12%</f>
        <v>13.992000000000001</v>
      </c>
      <c r="J25" s="83">
        <f>I25/1.02</f>
        <v>13.71764705882353</v>
      </c>
    </row>
    <row r="26" spans="2:14" x14ac:dyDescent="0.35">
      <c r="B26" s="69" t="s">
        <v>2</v>
      </c>
      <c r="C26" s="69" t="s">
        <v>26</v>
      </c>
      <c r="D26" s="70"/>
      <c r="M26" t="s">
        <v>31</v>
      </c>
      <c r="N26" t="s">
        <v>82</v>
      </c>
    </row>
    <row r="27" spans="2:14" x14ac:dyDescent="0.35">
      <c r="B27" s="71" t="s">
        <v>32</v>
      </c>
      <c r="C27" s="71"/>
      <c r="D27" s="72" t="s">
        <v>64</v>
      </c>
      <c r="H27" s="13" t="s">
        <v>17</v>
      </c>
      <c r="I27" s="13" t="s">
        <v>77</v>
      </c>
    </row>
    <row r="28" spans="2:14" x14ac:dyDescent="0.35">
      <c r="B28" s="21" t="s">
        <v>28</v>
      </c>
      <c r="C28" s="73">
        <v>94919</v>
      </c>
      <c r="D28" s="74">
        <f>C28*11%</f>
        <v>10441.09</v>
      </c>
      <c r="H28" s="1" t="s">
        <v>81</v>
      </c>
      <c r="I28" s="14">
        <v>38313</v>
      </c>
    </row>
    <row r="29" spans="2:14" ht="14.5" customHeight="1" x14ac:dyDescent="0.35">
      <c r="B29" s="75" t="s">
        <v>29</v>
      </c>
      <c r="C29" s="76">
        <v>4363</v>
      </c>
      <c r="D29" s="77"/>
      <c r="H29" s="42" t="s">
        <v>80</v>
      </c>
      <c r="I29" s="43">
        <v>9395</v>
      </c>
      <c r="J29" s="11">
        <f>(I29*100)/I28</f>
        <v>24.521702816276459</v>
      </c>
      <c r="K29" s="11">
        <f>I29/I28</f>
        <v>0.24521702816276458</v>
      </c>
    </row>
    <row r="30" spans="2:14" x14ac:dyDescent="0.35">
      <c r="B30" s="78" t="s">
        <v>30</v>
      </c>
      <c r="C30" s="72">
        <v>1091</v>
      </c>
      <c r="D30" s="77"/>
      <c r="H30" s="42" t="s">
        <v>83</v>
      </c>
      <c r="I30" s="43">
        <v>3007</v>
      </c>
      <c r="J30" s="11">
        <f>(I30*100)/I28</f>
        <v>7.8485109492861431</v>
      </c>
      <c r="K30">
        <f>I30*25%</f>
        <v>751.75</v>
      </c>
    </row>
    <row r="31" spans="2:14" x14ac:dyDescent="0.35">
      <c r="B31" s="75" t="s">
        <v>23</v>
      </c>
      <c r="C31" s="79">
        <v>100373</v>
      </c>
      <c r="D31" s="77"/>
      <c r="H31" s="44" t="s">
        <v>76</v>
      </c>
      <c r="I31" s="45">
        <f>I30*25%</f>
        <v>751.75</v>
      </c>
    </row>
    <row r="32" spans="2:14" x14ac:dyDescent="0.35">
      <c r="D32" s="6"/>
      <c r="H32" s="66" t="s">
        <v>78</v>
      </c>
      <c r="I32" s="64">
        <f>I31*15%</f>
        <v>112.7625</v>
      </c>
      <c r="J32" s="83">
        <f>I32/1.02</f>
        <v>110.55147058823529</v>
      </c>
    </row>
    <row r="34" spans="2:13" x14ac:dyDescent="0.35">
      <c r="B34" s="13" t="s">
        <v>4</v>
      </c>
      <c r="C34" s="13" t="s">
        <v>26</v>
      </c>
      <c r="H34" s="13" t="s">
        <v>85</v>
      </c>
      <c r="I34" s="13" t="s">
        <v>77</v>
      </c>
      <c r="K34" s="19">
        <v>129.86320000000001</v>
      </c>
      <c r="L34" s="19" t="s">
        <v>87</v>
      </c>
      <c r="M34" t="s">
        <v>36</v>
      </c>
    </row>
    <row r="35" spans="2:13" x14ac:dyDescent="0.35">
      <c r="B35" s="15" t="s">
        <v>33</v>
      </c>
      <c r="C35" s="26">
        <v>8260</v>
      </c>
      <c r="H35" s="1" t="s">
        <v>84</v>
      </c>
      <c r="I35" s="14">
        <f>K35/K34</f>
        <v>4931.3431364697617</v>
      </c>
      <c r="K35">
        <v>640400</v>
      </c>
    </row>
    <row r="36" spans="2:13" x14ac:dyDescent="0.35">
      <c r="B36" s="1" t="s">
        <v>34</v>
      </c>
      <c r="C36" s="14">
        <v>74870</v>
      </c>
      <c r="D36" s="24">
        <f>(C35*100)/C37</f>
        <v>9.936244436424877</v>
      </c>
      <c r="E36" s="11"/>
      <c r="H36" s="1" t="s">
        <v>86</v>
      </c>
      <c r="I36" s="14">
        <f>K36/K34</f>
        <v>42471.616285444987</v>
      </c>
      <c r="K36">
        <v>5515500</v>
      </c>
    </row>
    <row r="37" spans="2:13" x14ac:dyDescent="0.35">
      <c r="B37" s="1" t="s">
        <v>35</v>
      </c>
      <c r="C37" s="16">
        <f>SUM(C35:C36)</f>
        <v>83130</v>
      </c>
      <c r="D37" s="81">
        <f>C35*0.0135</f>
        <v>111.51</v>
      </c>
      <c r="H37" s="1" t="s">
        <v>109</v>
      </c>
      <c r="I37" s="63">
        <f>I35*70%</f>
        <v>3451.9401955288331</v>
      </c>
    </row>
    <row r="38" spans="2:13" x14ac:dyDescent="0.35">
      <c r="H38" s="64" t="s">
        <v>91</v>
      </c>
      <c r="I38" s="62">
        <f>I37*25%</f>
        <v>862.98504888220828</v>
      </c>
    </row>
    <row r="39" spans="2:13" x14ac:dyDescent="0.35">
      <c r="B39" s="13" t="s">
        <v>3</v>
      </c>
      <c r="C39" s="13" t="s">
        <v>26</v>
      </c>
      <c r="D39" t="s">
        <v>39</v>
      </c>
      <c r="H39" s="64" t="s">
        <v>78</v>
      </c>
      <c r="I39" s="62">
        <f>I38*5%</f>
        <v>43.149252444110417</v>
      </c>
      <c r="J39" s="84">
        <f>I39/1.02</f>
        <v>42.303188670696485</v>
      </c>
    </row>
    <row r="40" spans="2:13" x14ac:dyDescent="0.35">
      <c r="B40" s="1" t="s">
        <v>23</v>
      </c>
      <c r="C40" s="4">
        <v>75902</v>
      </c>
      <c r="K40" s="13" t="s">
        <v>22</v>
      </c>
      <c r="L40" s="13" t="s">
        <v>88</v>
      </c>
    </row>
    <row r="41" spans="2:13" x14ac:dyDescent="0.35">
      <c r="B41" s="15" t="s">
        <v>37</v>
      </c>
      <c r="C41" s="27">
        <v>4212</v>
      </c>
      <c r="D41" s="82">
        <f>C41*0.0135</f>
        <v>56.862000000000002</v>
      </c>
      <c r="K41" s="1" t="s">
        <v>55</v>
      </c>
      <c r="L41" s="4">
        <v>7108</v>
      </c>
      <c r="M41" t="s">
        <v>38</v>
      </c>
    </row>
    <row r="42" spans="2:13" x14ac:dyDescent="0.35">
      <c r="H42" s="13" t="s">
        <v>2</v>
      </c>
      <c r="I42" s="13" t="s">
        <v>26</v>
      </c>
      <c r="J42" s="1"/>
    </row>
    <row r="43" spans="2:13" x14ac:dyDescent="0.35">
      <c r="H43" s="1" t="s">
        <v>32</v>
      </c>
      <c r="I43" s="1"/>
      <c r="J43" s="10" t="s">
        <v>64</v>
      </c>
      <c r="L43" t="s">
        <v>92</v>
      </c>
    </row>
    <row r="44" spans="2:13" x14ac:dyDescent="0.35">
      <c r="B44" s="13" t="s">
        <v>7</v>
      </c>
      <c r="C44" s="13" t="s">
        <v>26</v>
      </c>
      <c r="H44" s="64" t="s">
        <v>28</v>
      </c>
      <c r="I44" s="67">
        <v>94919</v>
      </c>
      <c r="J44" s="68">
        <f>I44*15%</f>
        <v>14237.85</v>
      </c>
      <c r="M44" t="s">
        <v>41</v>
      </c>
    </row>
    <row r="45" spans="2:13" x14ac:dyDescent="0.35">
      <c r="B45" s="1" t="s">
        <v>23</v>
      </c>
      <c r="C45" s="4">
        <v>58442</v>
      </c>
      <c r="H45" s="7" t="s">
        <v>29</v>
      </c>
      <c r="I45" s="14">
        <v>4363</v>
      </c>
      <c r="J45" s="86">
        <f>J44*0.0135</f>
        <v>192.21097499999999</v>
      </c>
    </row>
    <row r="46" spans="2:13" x14ac:dyDescent="0.35">
      <c r="B46" s="1" t="s">
        <v>40</v>
      </c>
      <c r="C46" s="8">
        <v>8.5000000000000006E-2</v>
      </c>
      <c r="H46" s="9" t="s">
        <v>30</v>
      </c>
      <c r="I46" s="10">
        <v>1091</v>
      </c>
      <c r="J46" s="14"/>
    </row>
    <row r="47" spans="2:13" x14ac:dyDescent="0.35">
      <c r="B47" s="15" t="s">
        <v>33</v>
      </c>
      <c r="C47" s="26">
        <f>C45*C46</f>
        <v>4967.5700000000006</v>
      </c>
      <c r="D47" s="81">
        <f>C47*0.0135</f>
        <v>67.062195000000003</v>
      </c>
      <c r="H47" s="7" t="s">
        <v>23</v>
      </c>
      <c r="I47" s="4">
        <v>100373</v>
      </c>
      <c r="J47" s="14"/>
    </row>
    <row r="48" spans="2:13" x14ac:dyDescent="0.35">
      <c r="H48" s="85" t="s">
        <v>89</v>
      </c>
      <c r="I48" s="85" t="s">
        <v>88</v>
      </c>
    </row>
    <row r="49" spans="2:13" x14ac:dyDescent="0.35">
      <c r="H49" s="1" t="s">
        <v>90</v>
      </c>
      <c r="I49" s="1">
        <v>9700</v>
      </c>
      <c r="J49">
        <f>I49/5</f>
        <v>1940</v>
      </c>
    </row>
    <row r="50" spans="2:13" x14ac:dyDescent="0.35">
      <c r="B50" s="13" t="s">
        <v>9</v>
      </c>
      <c r="C50" s="13" t="s">
        <v>26</v>
      </c>
      <c r="H50" s="64" t="s">
        <v>91</v>
      </c>
      <c r="I50" s="64">
        <f>I49*31%</f>
        <v>3007</v>
      </c>
      <c r="J50" s="60">
        <f>J49*5%</f>
        <v>97</v>
      </c>
      <c r="M50" t="s">
        <v>44</v>
      </c>
    </row>
    <row r="51" spans="2:13" x14ac:dyDescent="0.35">
      <c r="B51" s="1" t="s">
        <v>42</v>
      </c>
      <c r="C51" s="1">
        <v>888</v>
      </c>
    </row>
    <row r="52" spans="2:13" x14ac:dyDescent="0.35">
      <c r="B52" s="1" t="s">
        <v>43</v>
      </c>
      <c r="C52" s="1">
        <v>204.4</v>
      </c>
      <c r="H52" s="55" t="s">
        <v>94</v>
      </c>
      <c r="I52" s="55" t="s">
        <v>95</v>
      </c>
    </row>
    <row r="53" spans="2:13" x14ac:dyDescent="0.35">
      <c r="H53" s="1" t="s">
        <v>96</v>
      </c>
      <c r="I53" s="1">
        <v>873</v>
      </c>
    </row>
    <row r="54" spans="2:13" x14ac:dyDescent="0.35">
      <c r="B54" s="13" t="s">
        <v>11</v>
      </c>
      <c r="C54" s="13" t="s">
        <v>26</v>
      </c>
      <c r="H54" s="1" t="s">
        <v>97</v>
      </c>
      <c r="I54" s="1">
        <v>386.9</v>
      </c>
      <c r="M54" t="s">
        <v>47</v>
      </c>
    </row>
    <row r="55" spans="2:13" x14ac:dyDescent="0.35">
      <c r="B55" s="1" t="s">
        <v>45</v>
      </c>
      <c r="C55" s="4">
        <v>14906.19</v>
      </c>
      <c r="D55" s="25">
        <f>C55*10%</f>
        <v>1490.6190000000001</v>
      </c>
      <c r="H55" t="s">
        <v>112</v>
      </c>
      <c r="I55">
        <f>I53*30%</f>
        <v>261.89999999999998</v>
      </c>
    </row>
    <row r="56" spans="2:13" x14ac:dyDescent="0.35">
      <c r="B56" s="1" t="s">
        <v>46</v>
      </c>
      <c r="C56" s="1">
        <v>42.59</v>
      </c>
      <c r="D56" s="81">
        <f>D55*D88</f>
        <v>20.123356500000003</v>
      </c>
      <c r="H56" t="s">
        <v>113</v>
      </c>
      <c r="I56">
        <f>I55*20%</f>
        <v>52.379999999999995</v>
      </c>
    </row>
    <row r="57" spans="2:13" x14ac:dyDescent="0.35">
      <c r="B57" s="1" t="s">
        <v>35</v>
      </c>
      <c r="C57" s="18">
        <v>14948.78</v>
      </c>
      <c r="H57" s="59" t="s">
        <v>78</v>
      </c>
      <c r="I57" s="59">
        <f>I56*10%</f>
        <v>5.2379999999999995</v>
      </c>
      <c r="J57" s="83">
        <f>(I57*0.0071)*1000</f>
        <v>37.189800000000005</v>
      </c>
    </row>
    <row r="59" spans="2:13" x14ac:dyDescent="0.35">
      <c r="B59" s="13" t="s">
        <v>48</v>
      </c>
      <c r="C59" s="13" t="s">
        <v>26</v>
      </c>
      <c r="D59" s="19" t="s">
        <v>51</v>
      </c>
      <c r="E59" s="17">
        <v>23100.46</v>
      </c>
      <c r="H59" s="56" t="s">
        <v>98</v>
      </c>
      <c r="I59" s="56" t="s">
        <v>99</v>
      </c>
      <c r="M59" t="s">
        <v>50</v>
      </c>
    </row>
    <row r="60" spans="2:13" x14ac:dyDescent="0.35">
      <c r="B60" s="1" t="s">
        <v>49</v>
      </c>
      <c r="C60" s="14">
        <v>17510</v>
      </c>
      <c r="D60" s="28">
        <f>C60*12%</f>
        <v>2101.1999999999998</v>
      </c>
      <c r="E60">
        <f>E59*2%</f>
        <v>462.00919999999996</v>
      </c>
      <c r="H60" s="1" t="s">
        <v>49</v>
      </c>
      <c r="I60" s="4">
        <v>17478</v>
      </c>
    </row>
    <row r="61" spans="2:13" x14ac:dyDescent="0.35">
      <c r="D61" s="81">
        <f>D60*D88</f>
        <v>28.366199999999996</v>
      </c>
      <c r="H61" s="1" t="s">
        <v>100</v>
      </c>
      <c r="I61" s="1">
        <v>2184</v>
      </c>
      <c r="L61">
        <v>17872900000</v>
      </c>
    </row>
    <row r="62" spans="2:13" x14ac:dyDescent="0.35">
      <c r="H62" s="1" t="s">
        <v>119</v>
      </c>
      <c r="I62" s="1">
        <v>241.28</v>
      </c>
      <c r="L62" s="58">
        <f>L61*0.0135</f>
        <v>241284150</v>
      </c>
    </row>
    <row r="63" spans="2:13" x14ac:dyDescent="0.35">
      <c r="B63" s="13" t="s">
        <v>53</v>
      </c>
      <c r="C63" s="13" t="s">
        <v>26</v>
      </c>
      <c r="H63" t="s">
        <v>120</v>
      </c>
      <c r="I63" s="83">
        <f>I62*12%</f>
        <v>28.953599999999998</v>
      </c>
      <c r="L63" s="11">
        <f>L62/1000000</f>
        <v>241.28415000000001</v>
      </c>
    </row>
    <row r="64" spans="2:13" x14ac:dyDescent="0.35">
      <c r="B64" s="1" t="s">
        <v>45</v>
      </c>
      <c r="C64" s="14">
        <v>189890</v>
      </c>
      <c r="D64" s="28">
        <f>C64*30%</f>
        <v>56967</v>
      </c>
    </row>
    <row r="65" spans="2:13" x14ac:dyDescent="0.35">
      <c r="B65" s="1" t="s">
        <v>52</v>
      </c>
      <c r="C65" s="1">
        <v>3150</v>
      </c>
      <c r="D65" s="81">
        <f>D64*D88</f>
        <v>769.05449999999996</v>
      </c>
      <c r="H65" s="57" t="s">
        <v>101</v>
      </c>
      <c r="I65" s="57" t="s">
        <v>121</v>
      </c>
    </row>
    <row r="66" spans="2:13" x14ac:dyDescent="0.35">
      <c r="H66" s="1" t="s">
        <v>49</v>
      </c>
      <c r="I66">
        <f>J66*0.00074</f>
        <v>404.28123999999997</v>
      </c>
      <c r="J66" s="4">
        <v>546326</v>
      </c>
    </row>
    <row r="67" spans="2:13" x14ac:dyDescent="0.35">
      <c r="B67" s="13" t="s">
        <v>54</v>
      </c>
      <c r="C67" s="13" t="s">
        <v>26</v>
      </c>
      <c r="H67" t="s">
        <v>122</v>
      </c>
      <c r="I67" s="83">
        <f>J67*0.00074</f>
        <v>8.9909999999999997</v>
      </c>
      <c r="J67">
        <v>12150</v>
      </c>
      <c r="M67" t="s">
        <v>57</v>
      </c>
    </row>
    <row r="68" spans="2:13" x14ac:dyDescent="0.35">
      <c r="B68" s="1" t="s">
        <v>55</v>
      </c>
      <c r="C68" s="4">
        <v>143068</v>
      </c>
    </row>
    <row r="69" spans="2:13" x14ac:dyDescent="0.35">
      <c r="B69" s="4" t="s">
        <v>56</v>
      </c>
      <c r="C69" s="4">
        <v>3426</v>
      </c>
    </row>
    <row r="70" spans="2:13" x14ac:dyDescent="0.35">
      <c r="B70" s="21" t="s">
        <v>58</v>
      </c>
      <c r="C70" s="22">
        <f>C68*80%</f>
        <v>114454.40000000001</v>
      </c>
      <c r="D70" s="29">
        <f>C70*35%</f>
        <v>40059.040000000001</v>
      </c>
      <c r="E70" s="11">
        <f>D70/80</f>
        <v>500.738</v>
      </c>
      <c r="H70" s="40" t="s">
        <v>6</v>
      </c>
      <c r="I70" s="13" t="s">
        <v>88</v>
      </c>
    </row>
    <row r="71" spans="2:13" x14ac:dyDescent="0.35">
      <c r="B71" s="21" t="s">
        <v>59</v>
      </c>
      <c r="C71" s="22">
        <f>C68*20%</f>
        <v>28613.600000000002</v>
      </c>
      <c r="D71" s="81">
        <f>D70*D88</f>
        <v>540.79704000000004</v>
      </c>
      <c r="H71" s="1" t="s">
        <v>103</v>
      </c>
      <c r="I71" s="23">
        <v>34832.18</v>
      </c>
    </row>
    <row r="72" spans="2:13" x14ac:dyDescent="0.35">
      <c r="H72" s="1" t="s">
        <v>108</v>
      </c>
      <c r="I72" s="23">
        <f>I71*22%</f>
        <v>7663.0796</v>
      </c>
    </row>
    <row r="73" spans="2:13" x14ac:dyDescent="0.35">
      <c r="H73" s="1" t="s">
        <v>110</v>
      </c>
      <c r="I73" s="1">
        <f>I71*32%</f>
        <v>11146.2976</v>
      </c>
    </row>
    <row r="74" spans="2:13" x14ac:dyDescent="0.35">
      <c r="B74" s="13" t="s">
        <v>60</v>
      </c>
      <c r="C74" s="13" t="s">
        <v>26</v>
      </c>
      <c r="H74" s="1" t="s">
        <v>111</v>
      </c>
      <c r="I74" s="1">
        <f>I73*21%</f>
        <v>2340.7224959999999</v>
      </c>
      <c r="M74" t="s">
        <v>61</v>
      </c>
    </row>
    <row r="75" spans="2:13" x14ac:dyDescent="0.35">
      <c r="B75" s="1" t="s">
        <v>42</v>
      </c>
      <c r="C75" s="14">
        <v>5662.6949999999997</v>
      </c>
      <c r="H75" s="87" t="s">
        <v>78</v>
      </c>
      <c r="I75" s="87">
        <f>I74*12%</f>
        <v>280.88669951999998</v>
      </c>
    </row>
    <row r="76" spans="2:13" x14ac:dyDescent="0.35">
      <c r="B76" s="1" t="s">
        <v>43</v>
      </c>
      <c r="C76" s="14">
        <v>140.47399999999999</v>
      </c>
    </row>
    <row r="77" spans="2:13" x14ac:dyDescent="0.35">
      <c r="H77" s="13" t="s">
        <v>102</v>
      </c>
      <c r="I77" s="13" t="s">
        <v>107</v>
      </c>
    </row>
    <row r="78" spans="2:13" x14ac:dyDescent="0.35">
      <c r="B78" s="13" t="s">
        <v>12</v>
      </c>
      <c r="C78" s="13" t="s">
        <v>26</v>
      </c>
      <c r="D78" s="13" t="s">
        <v>51</v>
      </c>
      <c r="H78" s="1" t="s">
        <v>106</v>
      </c>
      <c r="I78" s="1">
        <v>1550</v>
      </c>
      <c r="M78" t="s">
        <v>63</v>
      </c>
    </row>
    <row r="79" spans="2:13" x14ac:dyDescent="0.35">
      <c r="B79" s="1" t="s">
        <v>42</v>
      </c>
      <c r="C79" s="14">
        <v>10599.462</v>
      </c>
      <c r="D79" s="1" t="s">
        <v>62</v>
      </c>
      <c r="E79" s="61">
        <f>D80*D88</f>
        <v>27.187620030000001</v>
      </c>
      <c r="H79" s="1" t="s">
        <v>104</v>
      </c>
      <c r="I79" s="14">
        <f>I78*36%</f>
        <v>558</v>
      </c>
    </row>
    <row r="80" spans="2:13" x14ac:dyDescent="0.35">
      <c r="B80" s="1" t="s">
        <v>43</v>
      </c>
      <c r="C80" s="14">
        <v>181.59899999999999</v>
      </c>
      <c r="D80" s="29">
        <f>C79*19%</f>
        <v>2013.89778</v>
      </c>
      <c r="H80" s="87" t="s">
        <v>105</v>
      </c>
      <c r="I80" s="88">
        <f>I79*5%</f>
        <v>27.900000000000002</v>
      </c>
      <c r="J80" s="84">
        <f>I80/1.02</f>
        <v>27.352941176470591</v>
      </c>
    </row>
    <row r="82" spans="2:12" x14ac:dyDescent="0.35">
      <c r="H82" s="19" t="s">
        <v>124</v>
      </c>
      <c r="I82" s="19" t="s">
        <v>88</v>
      </c>
      <c r="J82" s="19" t="s">
        <v>115</v>
      </c>
    </row>
    <row r="83" spans="2:12" x14ac:dyDescent="0.35">
      <c r="B83" s="34" t="s">
        <v>70</v>
      </c>
      <c r="C83" s="35"/>
      <c r="H83" t="s">
        <v>125</v>
      </c>
      <c r="I83">
        <f>K83*0.0135</f>
        <v>565.91999999999996</v>
      </c>
      <c r="J83">
        <f>4192.37</f>
        <v>4192.37</v>
      </c>
      <c r="K83">
        <v>41920</v>
      </c>
    </row>
    <row r="84" spans="2:12" x14ac:dyDescent="0.35">
      <c r="B84" s="36" t="s">
        <v>71</v>
      </c>
      <c r="C84" s="37">
        <v>23100.46</v>
      </c>
      <c r="H84" t="s">
        <v>126</v>
      </c>
      <c r="I84" s="104">
        <f>I83*45%</f>
        <v>254.66399999999999</v>
      </c>
    </row>
    <row r="85" spans="2:12" x14ac:dyDescent="0.35">
      <c r="B85" s="38" t="s">
        <v>72</v>
      </c>
      <c r="C85" s="39">
        <f>C84*2%</f>
        <v>462.00919999999996</v>
      </c>
    </row>
    <row r="87" spans="2:12" x14ac:dyDescent="0.35">
      <c r="B87" s="1" t="s">
        <v>114</v>
      </c>
      <c r="C87" s="1" t="s">
        <v>115</v>
      </c>
    </row>
    <row r="88" spans="2:12" x14ac:dyDescent="0.35">
      <c r="B88" s="1" t="s">
        <v>103</v>
      </c>
      <c r="C88" s="4">
        <v>12382</v>
      </c>
      <c r="D88" s="80">
        <v>1.35E-2</v>
      </c>
    </row>
    <row r="89" spans="2:12" x14ac:dyDescent="0.35">
      <c r="B89" s="64" t="s">
        <v>116</v>
      </c>
      <c r="C89" s="64">
        <f>2700*5.5</f>
        <v>14850</v>
      </c>
      <c r="D89" s="60">
        <f>C89*D88</f>
        <v>200.47499999999999</v>
      </c>
      <c r="E89" s="59" t="s">
        <v>117</v>
      </c>
      <c r="H89" s="31"/>
      <c r="I89" s="33"/>
      <c r="L89" t="s">
        <v>73</v>
      </c>
    </row>
    <row r="90" spans="2:12" ht="15" thickBot="1" x14ac:dyDescent="0.4">
      <c r="J90">
        <v>13460</v>
      </c>
    </row>
    <row r="91" spans="2:12" ht="15" thickBot="1" x14ac:dyDescent="0.4">
      <c r="D91" s="1" t="s">
        <v>123</v>
      </c>
      <c r="E91">
        <v>13460</v>
      </c>
      <c r="H91" s="95"/>
      <c r="I91" s="96" t="s">
        <v>118</v>
      </c>
    </row>
    <row r="92" spans="2:12" x14ac:dyDescent="0.35">
      <c r="B92" s="30" t="s">
        <v>53</v>
      </c>
      <c r="C92" s="89">
        <f>D64</f>
        <v>56967</v>
      </c>
      <c r="D92" s="63">
        <f>D65</f>
        <v>769.05449999999996</v>
      </c>
      <c r="E92" s="102">
        <f>D92/$E$91</f>
        <v>5.7136292719167904E-2</v>
      </c>
      <c r="H92" s="97" t="s">
        <v>2</v>
      </c>
      <c r="I92" s="98">
        <f>J45</f>
        <v>192.21097499999999</v>
      </c>
      <c r="J92" s="102">
        <f>I92/$J$90</f>
        <v>1.4280161589895988E-2</v>
      </c>
    </row>
    <row r="93" spans="2:12" x14ac:dyDescent="0.35">
      <c r="B93" s="31" t="s">
        <v>54</v>
      </c>
      <c r="C93" s="90">
        <f>D70</f>
        <v>40059.040000000001</v>
      </c>
      <c r="D93" s="63">
        <f>D71</f>
        <v>540.79704000000004</v>
      </c>
      <c r="E93" s="102">
        <f t="shared" ref="E93:E101" si="0">D93/$E$91</f>
        <v>4.0178086181277863E-2</v>
      </c>
      <c r="H93" s="99" t="s">
        <v>6</v>
      </c>
      <c r="I93" s="98">
        <f>I75</f>
        <v>280.88669951999998</v>
      </c>
      <c r="J93" s="102">
        <f t="shared" ref="J93:J100" si="1">I93/$J$90</f>
        <v>2.0868254050520056E-2</v>
      </c>
    </row>
    <row r="94" spans="2:12" x14ac:dyDescent="0.35">
      <c r="B94" s="15" t="s">
        <v>114</v>
      </c>
      <c r="D94">
        <f>D89</f>
        <v>200.47499999999999</v>
      </c>
      <c r="E94" s="102">
        <f t="shared" si="0"/>
        <v>1.4894130757800892E-2</v>
      </c>
      <c r="H94" s="97" t="s">
        <v>17</v>
      </c>
      <c r="I94" s="98">
        <f>J32</f>
        <v>110.55147058823529</v>
      </c>
      <c r="J94" s="102">
        <f t="shared" si="1"/>
        <v>8.2133336246831574E-3</v>
      </c>
    </row>
    <row r="95" spans="2:12" x14ac:dyDescent="0.35">
      <c r="B95" s="93" t="s">
        <v>4</v>
      </c>
      <c r="C95" s="90">
        <f>C35</f>
        <v>8260</v>
      </c>
      <c r="D95" s="63">
        <f>D37</f>
        <v>111.51</v>
      </c>
      <c r="E95" s="102">
        <f t="shared" si="0"/>
        <v>8.2845468053491834E-3</v>
      </c>
      <c r="H95" s="99" t="s">
        <v>8</v>
      </c>
      <c r="I95" s="98">
        <f>J25</f>
        <v>13.71764705882353</v>
      </c>
      <c r="J95" s="102">
        <f t="shared" si="1"/>
        <v>1.0191416834192816E-3</v>
      </c>
    </row>
    <row r="96" spans="2:12" x14ac:dyDescent="0.35">
      <c r="B96" s="93" t="s">
        <v>0</v>
      </c>
      <c r="C96" s="90">
        <f>D21</f>
        <v>16099.75</v>
      </c>
      <c r="D96" s="63">
        <f>D22</f>
        <v>217.34662499999999</v>
      </c>
      <c r="E96" s="102">
        <f t="shared" si="0"/>
        <v>1.6147594725111441E-2</v>
      </c>
      <c r="H96" s="97" t="s">
        <v>85</v>
      </c>
      <c r="I96" s="98">
        <f>J39</f>
        <v>42.303188670696485</v>
      </c>
      <c r="J96" s="102">
        <f t="shared" si="1"/>
        <v>3.1428817734544196E-3</v>
      </c>
    </row>
    <row r="97" spans="2:14" x14ac:dyDescent="0.35">
      <c r="B97" s="31" t="s">
        <v>7</v>
      </c>
      <c r="C97" s="90">
        <f>C47</f>
        <v>4967.5700000000006</v>
      </c>
      <c r="D97" s="63">
        <f>D47</f>
        <v>67.062195000000003</v>
      </c>
      <c r="E97" s="102">
        <f t="shared" si="0"/>
        <v>4.9823324665676082E-3</v>
      </c>
      <c r="H97" s="97" t="s">
        <v>16</v>
      </c>
      <c r="I97" s="98">
        <f>J57</f>
        <v>37.189800000000005</v>
      </c>
      <c r="J97" s="102">
        <f t="shared" si="1"/>
        <v>2.7629866270430909E-3</v>
      </c>
    </row>
    <row r="98" spans="2:14" x14ac:dyDescent="0.35">
      <c r="B98" s="31" t="s">
        <v>3</v>
      </c>
      <c r="C98" s="91">
        <f>C41</f>
        <v>4212</v>
      </c>
      <c r="D98" s="65">
        <f>D41</f>
        <v>56.862000000000002</v>
      </c>
      <c r="E98" s="102">
        <f t="shared" si="0"/>
        <v>4.2245170876671623E-3</v>
      </c>
      <c r="H98" s="99" t="s">
        <v>102</v>
      </c>
      <c r="I98" s="98">
        <f>J80</f>
        <v>27.352941176470591</v>
      </c>
      <c r="J98" s="102">
        <f t="shared" si="1"/>
        <v>2.0321650205401627E-3</v>
      </c>
      <c r="M98" s="99" t="s">
        <v>66</v>
      </c>
      <c r="N98" s="98">
        <f>I67</f>
        <v>8.9909999999999997</v>
      </c>
    </row>
    <row r="99" spans="2:14" x14ac:dyDescent="0.35">
      <c r="B99" s="31" t="s">
        <v>48</v>
      </c>
      <c r="C99" s="90">
        <f>D60</f>
        <v>2101.1999999999998</v>
      </c>
      <c r="D99" s="63">
        <f>D61</f>
        <v>28.366199999999996</v>
      </c>
      <c r="E99" s="102">
        <f t="shared" si="0"/>
        <v>2.1074442793462106E-3</v>
      </c>
      <c r="H99" s="99" t="s">
        <v>18</v>
      </c>
      <c r="I99" s="98">
        <f>I63</f>
        <v>28.953599999999998</v>
      </c>
      <c r="J99" s="102">
        <f t="shared" si="1"/>
        <v>2.1510846953937592E-3</v>
      </c>
    </row>
    <row r="100" spans="2:14" x14ac:dyDescent="0.35">
      <c r="B100" s="31" t="s">
        <v>11</v>
      </c>
      <c r="C100" s="90">
        <f>D55</f>
        <v>1490.6190000000001</v>
      </c>
      <c r="D100" s="63">
        <f>D56</f>
        <v>20.123356500000003</v>
      </c>
      <c r="E100" s="102">
        <f t="shared" si="0"/>
        <v>1.4950487741456169E-3</v>
      </c>
      <c r="H100" s="99" t="s">
        <v>89</v>
      </c>
      <c r="I100" s="98">
        <f>J50</f>
        <v>97</v>
      </c>
      <c r="J100" s="102">
        <f t="shared" si="1"/>
        <v>7.2065378900445769E-3</v>
      </c>
    </row>
    <row r="101" spans="2:14" ht="15" thickBot="1" x14ac:dyDescent="0.4">
      <c r="B101" s="32" t="s">
        <v>65</v>
      </c>
      <c r="C101" s="92">
        <f>D80</f>
        <v>2013.89778</v>
      </c>
      <c r="D101" s="63">
        <f>E79</f>
        <v>27.187620030000001</v>
      </c>
      <c r="E101" s="102">
        <f t="shared" si="0"/>
        <v>2.019882617384844E-3</v>
      </c>
      <c r="H101" s="105" t="s">
        <v>124</v>
      </c>
      <c r="I101" s="106">
        <f>I84</f>
        <v>254.66399999999999</v>
      </c>
      <c r="J101" s="102">
        <f>I101/$J$90</f>
        <v>1.8920059435364039E-2</v>
      </c>
    </row>
    <row r="102" spans="2:14" ht="15" thickBot="1" x14ac:dyDescent="0.4">
      <c r="C102" s="12">
        <f>SUM(C92:C101)</f>
        <v>136171.07678000003</v>
      </c>
      <c r="D102" s="94">
        <f>SUM(D92:D101)</f>
        <v>2038.78453653</v>
      </c>
      <c r="H102" s="100"/>
      <c r="I102" s="101">
        <f>SUM(I92:I101)</f>
        <v>1084.8303220142259</v>
      </c>
    </row>
    <row r="103" spans="2:14" x14ac:dyDescent="0.35">
      <c r="E103" s="102">
        <f>SUM(E92:E102)</f>
        <v>0.15146987641381868</v>
      </c>
      <c r="H103" s="2"/>
      <c r="J103" s="103">
        <f>SUM(J92:J102)</f>
        <v>8.0596606390358538E-2</v>
      </c>
      <c r="K103" s="102"/>
    </row>
    <row r="104" spans="2:14" x14ac:dyDescent="0.35">
      <c r="H104" s="2"/>
    </row>
    <row r="105" spans="2:14" x14ac:dyDescent="0.35">
      <c r="H105" s="2"/>
    </row>
    <row r="106" spans="2:14" x14ac:dyDescent="0.35">
      <c r="E106" s="11">
        <f>D92+D93+I93+I97+I99</f>
        <v>1656.8816395200004</v>
      </c>
      <c r="I106">
        <f>5.5-1.077</f>
        <v>4.423</v>
      </c>
      <c r="J106" s="11">
        <f>I106*1000/I95</f>
        <v>322.43138936535161</v>
      </c>
    </row>
    <row r="108" spans="2:14" x14ac:dyDescent="0.35">
      <c r="F108" s="102">
        <f>E106/13460</f>
        <v>0.1230967042734027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EDA1-50B6-46D0-AE04-E8B092484675}">
  <dimension ref="A2:F29"/>
  <sheetViews>
    <sheetView workbookViewId="0">
      <selection activeCell="U16" sqref="U16"/>
    </sheetView>
  </sheetViews>
  <sheetFormatPr defaultRowHeight="14.5" x14ac:dyDescent="0.35"/>
  <cols>
    <col min="2" max="2" width="9.26953125" customWidth="1"/>
    <col min="3" max="3" width="15.453125" bestFit="1" customWidth="1"/>
    <col min="4" max="4" width="11.26953125" bestFit="1" customWidth="1"/>
    <col min="5" max="5" width="10.7265625" customWidth="1"/>
  </cols>
  <sheetData>
    <row r="2" spans="1:6" x14ac:dyDescent="0.35">
      <c r="D2" t="s">
        <v>243</v>
      </c>
      <c r="E2" t="s">
        <v>147</v>
      </c>
    </row>
    <row r="3" spans="1:6" x14ac:dyDescent="0.35">
      <c r="A3" s="108" t="s">
        <v>241</v>
      </c>
      <c r="B3" s="107"/>
      <c r="D3" s="111"/>
      <c r="E3" s="111">
        <v>4.2</v>
      </c>
    </row>
    <row r="4" spans="1:6" x14ac:dyDescent="0.35">
      <c r="A4" s="108"/>
      <c r="B4" s="107"/>
      <c r="C4" t="s">
        <v>35</v>
      </c>
      <c r="D4" s="111">
        <f>D29</f>
        <v>26.82</v>
      </c>
      <c r="E4" s="111">
        <f>D4/1000</f>
        <v>2.682E-2</v>
      </c>
      <c r="F4" s="102">
        <f>E4/E3</f>
        <v>6.3857142857142854E-3</v>
      </c>
    </row>
    <row r="5" spans="1:6" x14ac:dyDescent="0.35">
      <c r="A5" s="108"/>
      <c r="B5" s="107"/>
      <c r="D5" s="111"/>
      <c r="E5" s="111"/>
    </row>
    <row r="6" spans="1:6" x14ac:dyDescent="0.35">
      <c r="C6" t="s">
        <v>197</v>
      </c>
      <c r="D6" s="24">
        <v>9.2899999999999991</v>
      </c>
      <c r="E6">
        <f>D6/1000</f>
        <v>9.2899999999999996E-3</v>
      </c>
      <c r="F6" s="102">
        <f t="shared" ref="F6:F24" si="0">D6/$D$4</f>
        <v>0.34638329604772555</v>
      </c>
    </row>
    <row r="7" spans="1:6" x14ac:dyDescent="0.35">
      <c r="C7" t="s">
        <v>251</v>
      </c>
      <c r="D7" s="24">
        <v>5.48</v>
      </c>
      <c r="E7">
        <f t="shared" ref="E7:E24" si="1">D7/1000</f>
        <v>5.4800000000000005E-3</v>
      </c>
      <c r="F7" s="102">
        <f t="shared" si="0"/>
        <v>0.20432513049962717</v>
      </c>
    </row>
    <row r="8" spans="1:6" x14ac:dyDescent="0.35">
      <c r="C8" t="s">
        <v>252</v>
      </c>
      <c r="D8" s="24">
        <v>4.41</v>
      </c>
      <c r="E8">
        <f t="shared" si="1"/>
        <v>4.4099999999999999E-3</v>
      </c>
      <c r="F8" s="102">
        <f t="shared" si="0"/>
        <v>0.16442953020134229</v>
      </c>
    </row>
    <row r="9" spans="1:6" x14ac:dyDescent="0.35">
      <c r="C9" t="s">
        <v>216</v>
      </c>
      <c r="D9" s="24">
        <v>2.42</v>
      </c>
      <c r="E9">
        <f t="shared" si="1"/>
        <v>2.4199999999999998E-3</v>
      </c>
      <c r="F9" s="102">
        <f t="shared" si="0"/>
        <v>9.0231170768083513E-2</v>
      </c>
    </row>
    <row r="10" spans="1:6" x14ac:dyDescent="0.35">
      <c r="C10" t="s">
        <v>213</v>
      </c>
      <c r="D10" s="24">
        <v>2.4</v>
      </c>
      <c r="E10">
        <f t="shared" si="1"/>
        <v>2.3999999999999998E-3</v>
      </c>
      <c r="F10" s="102">
        <f t="shared" si="0"/>
        <v>8.9485458612975383E-2</v>
      </c>
    </row>
    <row r="11" spans="1:6" x14ac:dyDescent="0.35">
      <c r="C11" t="s">
        <v>253</v>
      </c>
      <c r="D11" s="24">
        <v>0.69</v>
      </c>
      <c r="E11">
        <f t="shared" si="1"/>
        <v>6.8999999999999997E-4</v>
      </c>
      <c r="F11" s="102">
        <f t="shared" si="0"/>
        <v>2.5727069351230421E-2</v>
      </c>
    </row>
    <row r="12" spans="1:6" x14ac:dyDescent="0.35">
      <c r="C12" t="s">
        <v>211</v>
      </c>
      <c r="D12" s="24">
        <v>0.56999999999999995</v>
      </c>
      <c r="E12">
        <f t="shared" si="1"/>
        <v>5.6999999999999998E-4</v>
      </c>
      <c r="F12" s="102">
        <f t="shared" si="0"/>
        <v>2.1252796420581654E-2</v>
      </c>
    </row>
    <row r="13" spans="1:6" x14ac:dyDescent="0.35">
      <c r="C13" t="s">
        <v>199</v>
      </c>
      <c r="D13" s="24">
        <v>0.45</v>
      </c>
      <c r="E13">
        <f t="shared" si="1"/>
        <v>4.4999999999999999E-4</v>
      </c>
      <c r="F13" s="102">
        <f t="shared" si="0"/>
        <v>1.6778523489932886E-2</v>
      </c>
    </row>
    <row r="14" spans="1:6" x14ac:dyDescent="0.35">
      <c r="C14" t="s">
        <v>217</v>
      </c>
      <c r="D14" s="24">
        <v>0.44</v>
      </c>
      <c r="E14">
        <f t="shared" si="1"/>
        <v>4.4000000000000002E-4</v>
      </c>
      <c r="F14" s="102">
        <f t="shared" si="0"/>
        <v>1.6405667412378821E-2</v>
      </c>
    </row>
    <row r="15" spans="1:6" x14ac:dyDescent="0.35">
      <c r="C15" t="s">
        <v>218</v>
      </c>
      <c r="D15" s="24">
        <v>0.32</v>
      </c>
      <c r="E15">
        <f t="shared" si="1"/>
        <v>3.2000000000000003E-4</v>
      </c>
      <c r="F15" s="102">
        <f t="shared" si="0"/>
        <v>1.1931394481730053E-2</v>
      </c>
    </row>
    <row r="16" spans="1:6" x14ac:dyDescent="0.35">
      <c r="C16" t="s">
        <v>259</v>
      </c>
      <c r="D16" s="24">
        <v>0.15</v>
      </c>
      <c r="E16">
        <f t="shared" si="1"/>
        <v>1.4999999999999999E-4</v>
      </c>
      <c r="F16" s="102">
        <f t="shared" si="0"/>
        <v>5.5928411633109614E-3</v>
      </c>
    </row>
    <row r="17" spans="3:6" x14ac:dyDescent="0.35">
      <c r="C17" t="s">
        <v>202</v>
      </c>
      <c r="D17" s="24">
        <v>7.0000000000000007E-2</v>
      </c>
      <c r="E17">
        <f t="shared" si="1"/>
        <v>7.0000000000000007E-5</v>
      </c>
      <c r="F17" s="102">
        <f t="shared" si="0"/>
        <v>2.609992542878449E-3</v>
      </c>
    </row>
    <row r="18" spans="3:6" x14ac:dyDescent="0.35">
      <c r="C18" t="s">
        <v>210</v>
      </c>
      <c r="D18" s="24">
        <v>0.03</v>
      </c>
      <c r="E18">
        <f t="shared" si="1"/>
        <v>2.9999999999999997E-5</v>
      </c>
      <c r="F18" s="102">
        <f t="shared" si="0"/>
        <v>1.1185682326621924E-3</v>
      </c>
    </row>
    <row r="19" spans="3:6" x14ac:dyDescent="0.35">
      <c r="C19" t="s">
        <v>207</v>
      </c>
      <c r="D19" s="24">
        <v>0.03</v>
      </c>
      <c r="E19">
        <f t="shared" si="1"/>
        <v>2.9999999999999997E-5</v>
      </c>
      <c r="F19" s="102">
        <f t="shared" si="0"/>
        <v>1.1185682326621924E-3</v>
      </c>
    </row>
    <row r="20" spans="3:6" x14ac:dyDescent="0.35">
      <c r="C20" t="s">
        <v>208</v>
      </c>
      <c r="D20" s="24">
        <v>0.02</v>
      </c>
      <c r="E20">
        <f t="shared" si="1"/>
        <v>2.0000000000000002E-5</v>
      </c>
      <c r="F20" s="102">
        <f t="shared" si="0"/>
        <v>7.4571215510812832E-4</v>
      </c>
    </row>
    <row r="21" spans="3:6" x14ac:dyDescent="0.35">
      <c r="C21" t="s">
        <v>300</v>
      </c>
      <c r="D21" s="24">
        <v>0.01</v>
      </c>
      <c r="E21">
        <f t="shared" si="1"/>
        <v>1.0000000000000001E-5</v>
      </c>
      <c r="F21" s="102">
        <f t="shared" si="0"/>
        <v>3.7285607755406416E-4</v>
      </c>
    </row>
    <row r="22" spans="3:6" x14ac:dyDescent="0.35">
      <c r="C22" t="s">
        <v>261</v>
      </c>
      <c r="D22" s="24">
        <v>0.01</v>
      </c>
      <c r="E22">
        <f t="shared" si="1"/>
        <v>1.0000000000000001E-5</v>
      </c>
      <c r="F22" s="102">
        <f t="shared" si="0"/>
        <v>3.7285607755406416E-4</v>
      </c>
    </row>
    <row r="23" spans="3:6" x14ac:dyDescent="0.35">
      <c r="C23" t="s">
        <v>256</v>
      </c>
      <c r="D23" s="24">
        <v>0.01</v>
      </c>
      <c r="E23">
        <f t="shared" si="1"/>
        <v>1.0000000000000001E-5</v>
      </c>
      <c r="F23" s="102">
        <f t="shared" si="0"/>
        <v>3.7285607755406416E-4</v>
      </c>
    </row>
    <row r="24" spans="3:6" x14ac:dyDescent="0.35">
      <c r="C24" t="s">
        <v>204</v>
      </c>
      <c r="D24" s="24">
        <v>0.01</v>
      </c>
      <c r="E24">
        <f t="shared" si="1"/>
        <v>1.0000000000000001E-5</v>
      </c>
      <c r="F24" s="102">
        <f t="shared" si="0"/>
        <v>3.7285607755406416E-4</v>
      </c>
    </row>
    <row r="26" spans="3:6" x14ac:dyDescent="0.35">
      <c r="D26">
        <f>SUM(D6:D24)</f>
        <v>26.810000000000009</v>
      </c>
    </row>
    <row r="27" spans="3:6" x14ac:dyDescent="0.35">
      <c r="C27" t="s">
        <v>165</v>
      </c>
      <c r="D27">
        <f>D29-D26</f>
        <v>9.9999999999909051E-3</v>
      </c>
      <c r="F27" s="102">
        <f>D27/$D$4</f>
        <v>3.7285607755372502E-4</v>
      </c>
    </row>
    <row r="29" spans="3:6" x14ac:dyDescent="0.35">
      <c r="C29" t="s">
        <v>35</v>
      </c>
      <c r="D29">
        <v>26.82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AF7F-0139-4283-BF20-D0203D3F1388}">
  <sheetPr filterMode="1"/>
  <dimension ref="A1:AI216"/>
  <sheetViews>
    <sheetView workbookViewId="0">
      <selection activeCell="U16" sqref="U16"/>
    </sheetView>
  </sheetViews>
  <sheetFormatPr defaultRowHeight="14.5" x14ac:dyDescent="0.35"/>
  <cols>
    <col min="2" max="2" width="0" hidden="1" customWidth="1"/>
    <col min="4" max="7" width="0" hidden="1" customWidth="1"/>
    <col min="9" max="9" width="0" hidden="1" customWidth="1"/>
    <col min="11" max="12" width="0" hidden="1" customWidth="1"/>
    <col min="14" max="21" width="0" hidden="1" customWidth="1"/>
    <col min="23" max="25" width="0" hidden="1" customWidth="1"/>
    <col min="27" max="29" width="0" hidden="1" customWidth="1"/>
    <col min="31" max="31" width="0" hidden="1" customWidth="1"/>
    <col min="32" max="32" width="16.81640625" bestFit="1" customWidth="1"/>
    <col min="33" max="35" width="0" hidden="1" customWidth="1"/>
  </cols>
  <sheetData>
    <row r="1" spans="1:35" x14ac:dyDescent="0.35">
      <c r="A1" t="s">
        <v>378</v>
      </c>
      <c r="B1" t="s">
        <v>379</v>
      </c>
      <c r="C1" t="s">
        <v>221</v>
      </c>
      <c r="D1" t="s">
        <v>380</v>
      </c>
      <c r="E1" t="s">
        <v>381</v>
      </c>
      <c r="F1" t="s">
        <v>382</v>
      </c>
      <c r="G1" t="s">
        <v>383</v>
      </c>
      <c r="H1" t="s">
        <v>222</v>
      </c>
      <c r="I1" t="s">
        <v>384</v>
      </c>
      <c r="J1" t="s">
        <v>223</v>
      </c>
      <c r="K1" t="s">
        <v>385</v>
      </c>
      <c r="L1" t="s">
        <v>386</v>
      </c>
      <c r="M1" t="s">
        <v>224</v>
      </c>
      <c r="N1" t="s">
        <v>387</v>
      </c>
      <c r="O1" t="s">
        <v>388</v>
      </c>
      <c r="P1" t="s">
        <v>389</v>
      </c>
      <c r="Q1" t="s">
        <v>390</v>
      </c>
      <c r="R1" t="s">
        <v>391</v>
      </c>
      <c r="S1" t="s">
        <v>392</v>
      </c>
      <c r="T1" t="s">
        <v>393</v>
      </c>
      <c r="U1" t="s">
        <v>394</v>
      </c>
      <c r="V1" t="s">
        <v>225</v>
      </c>
      <c r="W1" t="s">
        <v>395</v>
      </c>
      <c r="X1" t="s">
        <v>396</v>
      </c>
      <c r="Y1" t="s">
        <v>229</v>
      </c>
      <c r="Z1" t="s">
        <v>230</v>
      </c>
      <c r="AA1" t="s">
        <v>397</v>
      </c>
      <c r="AB1" t="s">
        <v>398</v>
      </c>
      <c r="AC1" t="s">
        <v>399</v>
      </c>
      <c r="AD1" t="s">
        <v>228</v>
      </c>
      <c r="AE1" t="s">
        <v>400</v>
      </c>
      <c r="AF1" t="s">
        <v>226</v>
      </c>
      <c r="AG1" t="s">
        <v>401</v>
      </c>
      <c r="AH1" t="s">
        <v>402</v>
      </c>
      <c r="AI1" t="s">
        <v>231</v>
      </c>
    </row>
    <row r="2" spans="1:35" hidden="1" x14ac:dyDescent="0.35">
      <c r="A2" t="s">
        <v>403</v>
      </c>
      <c r="B2">
        <v>2021</v>
      </c>
      <c r="C2">
        <v>2021</v>
      </c>
      <c r="D2">
        <v>2021</v>
      </c>
      <c r="E2">
        <v>6</v>
      </c>
      <c r="F2">
        <v>1</v>
      </c>
      <c r="G2">
        <v>1</v>
      </c>
      <c r="H2" t="s">
        <v>141</v>
      </c>
      <c r="I2">
        <v>699</v>
      </c>
      <c r="J2" t="s">
        <v>78</v>
      </c>
      <c r="K2" t="s">
        <v>404</v>
      </c>
      <c r="L2">
        <v>0</v>
      </c>
      <c r="M2" t="s">
        <v>232</v>
      </c>
      <c r="N2" t="s">
        <v>405</v>
      </c>
      <c r="V2">
        <v>401110</v>
      </c>
      <c r="W2" t="s">
        <v>406</v>
      </c>
      <c r="X2">
        <v>5</v>
      </c>
      <c r="Y2" t="s">
        <v>233</v>
      </c>
      <c r="Z2">
        <v>1884193</v>
      </c>
      <c r="AD2">
        <v>16437792</v>
      </c>
      <c r="AF2">
        <v>88832579</v>
      </c>
      <c r="AI2">
        <v>4</v>
      </c>
    </row>
    <row r="3" spans="1:35" hidden="1" x14ac:dyDescent="0.35">
      <c r="A3" t="s">
        <v>403</v>
      </c>
      <c r="B3">
        <v>2021</v>
      </c>
      <c r="C3">
        <v>2021</v>
      </c>
      <c r="D3">
        <v>2021</v>
      </c>
      <c r="E3">
        <v>6</v>
      </c>
      <c r="F3">
        <v>1</v>
      </c>
      <c r="G3">
        <v>1</v>
      </c>
      <c r="H3" t="s">
        <v>141</v>
      </c>
      <c r="I3">
        <v>699</v>
      </c>
      <c r="J3" t="s">
        <v>78</v>
      </c>
      <c r="K3" t="s">
        <v>404</v>
      </c>
      <c r="L3">
        <v>0</v>
      </c>
      <c r="M3" t="s">
        <v>232</v>
      </c>
      <c r="N3" t="s">
        <v>405</v>
      </c>
      <c r="V3">
        <v>401120</v>
      </c>
      <c r="W3" t="s">
        <v>407</v>
      </c>
      <c r="X3">
        <v>5</v>
      </c>
      <c r="Y3" t="s">
        <v>233</v>
      </c>
      <c r="Z3">
        <v>128567</v>
      </c>
      <c r="AD3">
        <v>4608958</v>
      </c>
      <c r="AF3">
        <v>18339183</v>
      </c>
      <c r="AI3">
        <v>4</v>
      </c>
    </row>
    <row r="4" spans="1:35" hidden="1" x14ac:dyDescent="0.35">
      <c r="A4" t="s">
        <v>403</v>
      </c>
      <c r="B4">
        <v>2021</v>
      </c>
      <c r="C4">
        <v>2021</v>
      </c>
      <c r="D4">
        <v>2021</v>
      </c>
      <c r="E4">
        <v>6</v>
      </c>
      <c r="F4">
        <v>1</v>
      </c>
      <c r="G4">
        <v>1</v>
      </c>
      <c r="H4" t="s">
        <v>141</v>
      </c>
      <c r="I4">
        <v>699</v>
      </c>
      <c r="J4" t="s">
        <v>78</v>
      </c>
      <c r="K4" t="s">
        <v>404</v>
      </c>
      <c r="L4">
        <v>0</v>
      </c>
      <c r="M4" t="s">
        <v>232</v>
      </c>
      <c r="N4" t="s">
        <v>405</v>
      </c>
      <c r="V4">
        <v>401140</v>
      </c>
      <c r="W4" t="s">
        <v>408</v>
      </c>
      <c r="X4">
        <v>5</v>
      </c>
      <c r="Y4" t="s">
        <v>233</v>
      </c>
      <c r="Z4">
        <v>246304</v>
      </c>
      <c r="AD4">
        <v>1211397</v>
      </c>
      <c r="AF4">
        <v>8670208</v>
      </c>
      <c r="AI4">
        <v>4</v>
      </c>
    </row>
    <row r="5" spans="1:35" hidden="1" x14ac:dyDescent="0.35">
      <c r="A5" t="s">
        <v>403</v>
      </c>
      <c r="B5">
        <v>2021</v>
      </c>
      <c r="C5">
        <v>2021</v>
      </c>
      <c r="D5">
        <v>2021</v>
      </c>
      <c r="E5">
        <v>6</v>
      </c>
      <c r="F5">
        <v>1</v>
      </c>
      <c r="G5">
        <v>1</v>
      </c>
      <c r="H5" t="s">
        <v>141</v>
      </c>
      <c r="I5">
        <v>699</v>
      </c>
      <c r="J5" t="s">
        <v>78</v>
      </c>
      <c r="K5" t="s">
        <v>404</v>
      </c>
      <c r="L5">
        <v>0</v>
      </c>
      <c r="M5" t="s">
        <v>232</v>
      </c>
      <c r="N5" t="s">
        <v>405</v>
      </c>
      <c r="V5">
        <v>401180</v>
      </c>
      <c r="W5" t="s">
        <v>409</v>
      </c>
      <c r="X5">
        <v>5</v>
      </c>
      <c r="Y5" t="s">
        <v>233</v>
      </c>
      <c r="Z5">
        <v>237930</v>
      </c>
      <c r="AD5">
        <v>22251963</v>
      </c>
      <c r="AF5">
        <v>93897222</v>
      </c>
      <c r="AI5">
        <v>4</v>
      </c>
    </row>
    <row r="6" spans="1:35" hidden="1" x14ac:dyDescent="0.35">
      <c r="A6" t="s">
        <v>403</v>
      </c>
      <c r="B6">
        <v>2021</v>
      </c>
      <c r="C6">
        <v>2021</v>
      </c>
      <c r="D6">
        <v>2021</v>
      </c>
      <c r="E6">
        <v>6</v>
      </c>
      <c r="F6">
        <v>1</v>
      </c>
      <c r="G6">
        <v>1</v>
      </c>
      <c r="H6" t="s">
        <v>141</v>
      </c>
      <c r="I6">
        <v>699</v>
      </c>
      <c r="J6" t="s">
        <v>78</v>
      </c>
      <c r="K6" t="s">
        <v>404</v>
      </c>
      <c r="L6">
        <v>0</v>
      </c>
      <c r="M6" t="s">
        <v>232</v>
      </c>
      <c r="N6" t="s">
        <v>405</v>
      </c>
      <c r="V6">
        <v>401170</v>
      </c>
      <c r="W6" t="s">
        <v>410</v>
      </c>
      <c r="X6">
        <v>5</v>
      </c>
      <c r="Y6" t="s">
        <v>233</v>
      </c>
      <c r="Z6">
        <v>12119</v>
      </c>
      <c r="AD6">
        <v>319923</v>
      </c>
      <c r="AF6">
        <v>1288033</v>
      </c>
      <c r="AI6">
        <v>4</v>
      </c>
    </row>
    <row r="7" spans="1:35" hidden="1" x14ac:dyDescent="0.35">
      <c r="A7" t="s">
        <v>403</v>
      </c>
      <c r="B7">
        <v>2021</v>
      </c>
      <c r="C7">
        <v>2021</v>
      </c>
      <c r="D7">
        <v>2021</v>
      </c>
      <c r="E7">
        <v>6</v>
      </c>
      <c r="F7">
        <v>1</v>
      </c>
      <c r="G7">
        <v>1</v>
      </c>
      <c r="H7" t="s">
        <v>141</v>
      </c>
      <c r="I7">
        <v>699</v>
      </c>
      <c r="J7" t="s">
        <v>78</v>
      </c>
      <c r="K7" t="s">
        <v>404</v>
      </c>
      <c r="L7">
        <v>0</v>
      </c>
      <c r="M7" t="s">
        <v>232</v>
      </c>
      <c r="N7" t="s">
        <v>405</v>
      </c>
      <c r="V7">
        <v>401190</v>
      </c>
      <c r="W7" t="s">
        <v>411</v>
      </c>
      <c r="X7">
        <v>5</v>
      </c>
      <c r="Y7" t="s">
        <v>233</v>
      </c>
      <c r="Z7">
        <v>20498</v>
      </c>
      <c r="AF7">
        <v>7405649</v>
      </c>
      <c r="AI7">
        <v>4</v>
      </c>
    </row>
    <row r="8" spans="1:35" x14ac:dyDescent="0.35">
      <c r="A8" t="s">
        <v>403</v>
      </c>
      <c r="B8">
        <v>2021</v>
      </c>
      <c r="C8">
        <v>2021</v>
      </c>
      <c r="D8">
        <v>2021</v>
      </c>
      <c r="E8">
        <v>6</v>
      </c>
      <c r="F8">
        <v>1</v>
      </c>
      <c r="G8">
        <v>1</v>
      </c>
      <c r="H8" t="s">
        <v>141</v>
      </c>
      <c r="I8">
        <v>700</v>
      </c>
      <c r="J8" t="s">
        <v>78</v>
      </c>
      <c r="K8" t="s">
        <v>404</v>
      </c>
      <c r="L8">
        <v>1</v>
      </c>
      <c r="M8" t="s">
        <v>232</v>
      </c>
      <c r="N8" t="s">
        <v>405</v>
      </c>
      <c r="V8">
        <v>4011</v>
      </c>
      <c r="Z8">
        <f>SUM(Z2:Z7)</f>
        <v>2529611</v>
      </c>
      <c r="AA8">
        <f t="shared" ref="AA8:AF8" si="0">SUM(AA2:AA7)</f>
        <v>0</v>
      </c>
      <c r="AB8">
        <f t="shared" si="0"/>
        <v>0</v>
      </c>
      <c r="AC8">
        <f t="shared" si="0"/>
        <v>0</v>
      </c>
      <c r="AD8">
        <f t="shared" si="0"/>
        <v>44830033</v>
      </c>
      <c r="AE8">
        <f t="shared" si="0"/>
        <v>0</v>
      </c>
      <c r="AF8">
        <f t="shared" si="0"/>
        <v>218432874</v>
      </c>
    </row>
    <row r="9" spans="1:35" hidden="1" x14ac:dyDescent="0.35">
      <c r="A9" t="s">
        <v>403</v>
      </c>
      <c r="B9">
        <v>2021</v>
      </c>
      <c r="C9">
        <v>2021</v>
      </c>
      <c r="D9">
        <v>2021</v>
      </c>
      <c r="E9">
        <v>6</v>
      </c>
      <c r="F9">
        <v>1</v>
      </c>
      <c r="G9">
        <v>1</v>
      </c>
      <c r="H9" t="s">
        <v>141</v>
      </c>
      <c r="I9">
        <v>699</v>
      </c>
      <c r="J9" t="s">
        <v>78</v>
      </c>
      <c r="K9" t="s">
        <v>404</v>
      </c>
      <c r="L9">
        <v>36</v>
      </c>
      <c r="M9" t="s">
        <v>345</v>
      </c>
      <c r="N9" t="s">
        <v>412</v>
      </c>
      <c r="V9">
        <v>401190</v>
      </c>
      <c r="W9" t="s">
        <v>411</v>
      </c>
      <c r="X9">
        <v>5</v>
      </c>
      <c r="Y9" t="s">
        <v>233</v>
      </c>
      <c r="Z9">
        <v>50</v>
      </c>
      <c r="AF9">
        <v>361305</v>
      </c>
      <c r="AI9">
        <v>4</v>
      </c>
    </row>
    <row r="10" spans="1:35" hidden="1" x14ac:dyDescent="0.35">
      <c r="A10" t="s">
        <v>403</v>
      </c>
      <c r="B10">
        <v>2021</v>
      </c>
      <c r="C10">
        <v>2021</v>
      </c>
      <c r="D10">
        <v>2021</v>
      </c>
      <c r="E10">
        <v>6</v>
      </c>
      <c r="F10">
        <v>1</v>
      </c>
      <c r="G10">
        <v>1</v>
      </c>
      <c r="H10" t="s">
        <v>141</v>
      </c>
      <c r="I10">
        <v>699</v>
      </c>
      <c r="J10" t="s">
        <v>78</v>
      </c>
      <c r="K10" t="s">
        <v>404</v>
      </c>
      <c r="L10">
        <v>36</v>
      </c>
      <c r="M10" t="s">
        <v>345</v>
      </c>
      <c r="N10" t="s">
        <v>412</v>
      </c>
      <c r="V10">
        <v>401180</v>
      </c>
      <c r="W10" t="s">
        <v>409</v>
      </c>
      <c r="X10">
        <v>5</v>
      </c>
      <c r="Y10" t="s">
        <v>233</v>
      </c>
      <c r="Z10">
        <v>25</v>
      </c>
      <c r="AD10">
        <v>47082</v>
      </c>
      <c r="AF10">
        <v>198674</v>
      </c>
      <c r="AI10">
        <v>4</v>
      </c>
    </row>
    <row r="11" spans="1:35" hidden="1" x14ac:dyDescent="0.35">
      <c r="A11" t="s">
        <v>403</v>
      </c>
      <c r="B11">
        <v>2021</v>
      </c>
      <c r="C11">
        <v>2021</v>
      </c>
      <c r="D11">
        <v>2021</v>
      </c>
      <c r="E11">
        <v>6</v>
      </c>
      <c r="F11">
        <v>1</v>
      </c>
      <c r="G11">
        <v>1</v>
      </c>
      <c r="H11" t="s">
        <v>141</v>
      </c>
      <c r="I11">
        <v>699</v>
      </c>
      <c r="J11" t="s">
        <v>78</v>
      </c>
      <c r="K11" t="s">
        <v>404</v>
      </c>
      <c r="L11">
        <v>36</v>
      </c>
      <c r="M11" t="s">
        <v>345</v>
      </c>
      <c r="N11" t="s">
        <v>412</v>
      </c>
      <c r="V11">
        <v>401140</v>
      </c>
      <c r="W11" t="s">
        <v>408</v>
      </c>
      <c r="X11">
        <v>5</v>
      </c>
      <c r="Y11" t="s">
        <v>233</v>
      </c>
      <c r="Z11">
        <v>7</v>
      </c>
      <c r="AD11">
        <v>282</v>
      </c>
      <c r="AF11">
        <v>2024</v>
      </c>
      <c r="AI11">
        <v>4</v>
      </c>
    </row>
    <row r="12" spans="1:35" hidden="1" x14ac:dyDescent="0.35">
      <c r="A12" t="s">
        <v>403</v>
      </c>
      <c r="B12">
        <v>2021</v>
      </c>
      <c r="C12">
        <v>2021</v>
      </c>
      <c r="D12">
        <v>2021</v>
      </c>
      <c r="E12">
        <v>6</v>
      </c>
      <c r="F12">
        <v>1</v>
      </c>
      <c r="G12">
        <v>1</v>
      </c>
      <c r="H12" t="s">
        <v>141</v>
      </c>
      <c r="I12">
        <v>699</v>
      </c>
      <c r="J12" t="s">
        <v>78</v>
      </c>
      <c r="K12" t="s">
        <v>404</v>
      </c>
      <c r="L12">
        <v>36</v>
      </c>
      <c r="M12" t="s">
        <v>345</v>
      </c>
      <c r="N12" t="s">
        <v>412</v>
      </c>
      <c r="V12">
        <v>401110</v>
      </c>
      <c r="W12" t="s">
        <v>406</v>
      </c>
      <c r="X12">
        <v>5</v>
      </c>
      <c r="Y12" t="s">
        <v>233</v>
      </c>
      <c r="Z12">
        <v>6</v>
      </c>
      <c r="AD12">
        <v>437</v>
      </c>
      <c r="AF12">
        <v>2362</v>
      </c>
      <c r="AI12">
        <v>4</v>
      </c>
    </row>
    <row r="13" spans="1:35" x14ac:dyDescent="0.35">
      <c r="C13">
        <v>2021</v>
      </c>
      <c r="D13">
        <v>2021</v>
      </c>
      <c r="E13">
        <v>6</v>
      </c>
      <c r="F13">
        <v>1</v>
      </c>
      <c r="G13">
        <v>1</v>
      </c>
      <c r="H13" t="s">
        <v>141</v>
      </c>
      <c r="I13">
        <v>700</v>
      </c>
      <c r="J13" t="s">
        <v>78</v>
      </c>
      <c r="K13" t="s">
        <v>404</v>
      </c>
      <c r="L13">
        <v>37</v>
      </c>
      <c r="M13" t="s">
        <v>345</v>
      </c>
      <c r="N13" t="s">
        <v>412</v>
      </c>
      <c r="V13">
        <v>4011</v>
      </c>
      <c r="Z13">
        <f>SUM(Z9:Z12)</f>
        <v>88</v>
      </c>
      <c r="AA13">
        <f t="shared" ref="AA13:AF13" si="1">SUM(AA9:AA12)</f>
        <v>0</v>
      </c>
      <c r="AB13">
        <f t="shared" si="1"/>
        <v>0</v>
      </c>
      <c r="AC13">
        <f t="shared" si="1"/>
        <v>0</v>
      </c>
      <c r="AD13">
        <f t="shared" si="1"/>
        <v>47801</v>
      </c>
      <c r="AE13">
        <f t="shared" si="1"/>
        <v>0</v>
      </c>
      <c r="AF13">
        <f t="shared" si="1"/>
        <v>564365</v>
      </c>
    </row>
    <row r="14" spans="1:35" hidden="1" x14ac:dyDescent="0.35">
      <c r="A14" t="s">
        <v>403</v>
      </c>
      <c r="B14">
        <v>2021</v>
      </c>
      <c r="C14">
        <v>2021</v>
      </c>
      <c r="D14">
        <v>2021</v>
      </c>
      <c r="E14">
        <v>6</v>
      </c>
      <c r="F14">
        <v>1</v>
      </c>
      <c r="G14">
        <v>1</v>
      </c>
      <c r="H14" t="s">
        <v>141</v>
      </c>
      <c r="I14">
        <v>699</v>
      </c>
      <c r="J14" t="s">
        <v>78</v>
      </c>
      <c r="K14" t="s">
        <v>404</v>
      </c>
      <c r="L14">
        <v>40</v>
      </c>
      <c r="M14" t="s">
        <v>369</v>
      </c>
      <c r="N14" t="s">
        <v>413</v>
      </c>
      <c r="V14">
        <v>401140</v>
      </c>
      <c r="W14" t="s">
        <v>408</v>
      </c>
      <c r="X14">
        <v>5</v>
      </c>
      <c r="Y14" t="s">
        <v>233</v>
      </c>
      <c r="Z14">
        <v>2</v>
      </c>
      <c r="AD14">
        <v>6</v>
      </c>
      <c r="AF14">
        <v>49</v>
      </c>
      <c r="AI14">
        <v>4</v>
      </c>
    </row>
    <row r="15" spans="1:35" hidden="1" x14ac:dyDescent="0.35">
      <c r="A15" t="s">
        <v>403</v>
      </c>
      <c r="B15">
        <v>2021</v>
      </c>
      <c r="C15">
        <v>2021</v>
      </c>
      <c r="D15">
        <v>2021</v>
      </c>
      <c r="E15">
        <v>6</v>
      </c>
      <c r="F15">
        <v>1</v>
      </c>
      <c r="G15">
        <v>1</v>
      </c>
      <c r="H15" t="s">
        <v>141</v>
      </c>
      <c r="I15">
        <v>699</v>
      </c>
      <c r="J15" t="s">
        <v>78</v>
      </c>
      <c r="K15" t="s">
        <v>404</v>
      </c>
      <c r="L15">
        <v>40</v>
      </c>
      <c r="M15" t="s">
        <v>369</v>
      </c>
      <c r="N15" t="s">
        <v>413</v>
      </c>
      <c r="V15">
        <v>401190</v>
      </c>
      <c r="W15" t="s">
        <v>411</v>
      </c>
      <c r="X15">
        <v>5</v>
      </c>
      <c r="Y15" t="s">
        <v>233</v>
      </c>
      <c r="Z15">
        <v>1</v>
      </c>
      <c r="AF15">
        <v>236</v>
      </c>
      <c r="AI15">
        <v>4</v>
      </c>
    </row>
    <row r="16" spans="1:35" x14ac:dyDescent="0.35">
      <c r="C16">
        <v>2021</v>
      </c>
      <c r="D16">
        <v>2021</v>
      </c>
      <c r="E16">
        <v>6</v>
      </c>
      <c r="F16">
        <v>1</v>
      </c>
      <c r="G16">
        <v>1</v>
      </c>
      <c r="H16" t="s">
        <v>141</v>
      </c>
      <c r="I16">
        <v>700</v>
      </c>
      <c r="J16" t="s">
        <v>78</v>
      </c>
      <c r="K16" t="s">
        <v>404</v>
      </c>
      <c r="L16">
        <v>41</v>
      </c>
      <c r="M16" t="s">
        <v>369</v>
      </c>
      <c r="N16" t="s">
        <v>413</v>
      </c>
      <c r="V16">
        <v>4011</v>
      </c>
      <c r="Z16">
        <f>SUM(Z14:Z15)</f>
        <v>3</v>
      </c>
      <c r="AA16">
        <f t="shared" ref="AA16:AF16" si="2">SUM(AA14:AA15)</f>
        <v>0</v>
      </c>
      <c r="AB16">
        <f t="shared" si="2"/>
        <v>0</v>
      </c>
      <c r="AC16">
        <f t="shared" si="2"/>
        <v>0</v>
      </c>
      <c r="AD16">
        <f t="shared" si="2"/>
        <v>6</v>
      </c>
      <c r="AE16">
        <f t="shared" si="2"/>
        <v>0</v>
      </c>
      <c r="AF16">
        <f t="shared" si="2"/>
        <v>285</v>
      </c>
    </row>
    <row r="17" spans="1:35" x14ac:dyDescent="0.35">
      <c r="A17" t="s">
        <v>403</v>
      </c>
      <c r="B17">
        <v>2021</v>
      </c>
      <c r="C17">
        <v>2021</v>
      </c>
      <c r="D17">
        <v>2021</v>
      </c>
      <c r="E17">
        <v>6</v>
      </c>
      <c r="F17">
        <v>1</v>
      </c>
      <c r="G17">
        <v>1</v>
      </c>
      <c r="H17" t="s">
        <v>141</v>
      </c>
      <c r="I17">
        <v>699</v>
      </c>
      <c r="J17" t="s">
        <v>78</v>
      </c>
      <c r="K17" t="s">
        <v>404</v>
      </c>
      <c r="L17">
        <v>50</v>
      </c>
      <c r="M17" t="s">
        <v>371</v>
      </c>
      <c r="N17" t="s">
        <v>414</v>
      </c>
      <c r="V17">
        <v>4011</v>
      </c>
      <c r="W17" t="s">
        <v>408</v>
      </c>
      <c r="X17">
        <v>5</v>
      </c>
      <c r="Y17" t="s">
        <v>233</v>
      </c>
      <c r="Z17">
        <v>3</v>
      </c>
      <c r="AD17">
        <v>7</v>
      </c>
      <c r="AF17">
        <v>53</v>
      </c>
      <c r="AI17">
        <v>4</v>
      </c>
    </row>
    <row r="18" spans="1:35" hidden="1" x14ac:dyDescent="0.35">
      <c r="A18" t="s">
        <v>403</v>
      </c>
      <c r="B18">
        <v>2021</v>
      </c>
      <c r="C18">
        <v>2021</v>
      </c>
      <c r="D18">
        <v>2021</v>
      </c>
      <c r="E18">
        <v>6</v>
      </c>
      <c r="F18">
        <v>1</v>
      </c>
      <c r="G18">
        <v>1</v>
      </c>
      <c r="H18" t="s">
        <v>141</v>
      </c>
      <c r="I18">
        <v>699</v>
      </c>
      <c r="J18" t="s">
        <v>78</v>
      </c>
      <c r="K18" t="s">
        <v>404</v>
      </c>
      <c r="L18">
        <v>56</v>
      </c>
      <c r="M18" t="s">
        <v>341</v>
      </c>
      <c r="N18" t="s">
        <v>415</v>
      </c>
      <c r="V18">
        <v>401120</v>
      </c>
      <c r="W18" t="s">
        <v>407</v>
      </c>
      <c r="X18">
        <v>5</v>
      </c>
      <c r="Y18" t="s">
        <v>233</v>
      </c>
      <c r="Z18">
        <v>15</v>
      </c>
      <c r="AD18">
        <v>2211</v>
      </c>
      <c r="AF18">
        <v>8800</v>
      </c>
      <c r="AI18">
        <v>4</v>
      </c>
    </row>
    <row r="19" spans="1:35" hidden="1" x14ac:dyDescent="0.35">
      <c r="A19" t="s">
        <v>403</v>
      </c>
      <c r="B19">
        <v>2021</v>
      </c>
      <c r="C19">
        <v>2021</v>
      </c>
      <c r="D19">
        <v>2021</v>
      </c>
      <c r="E19">
        <v>6</v>
      </c>
      <c r="F19">
        <v>1</v>
      </c>
      <c r="G19">
        <v>1</v>
      </c>
      <c r="H19" t="s">
        <v>141</v>
      </c>
      <c r="I19">
        <v>699</v>
      </c>
      <c r="J19" t="s">
        <v>78</v>
      </c>
      <c r="K19" t="s">
        <v>404</v>
      </c>
      <c r="L19">
        <v>56</v>
      </c>
      <c r="M19" t="s">
        <v>341</v>
      </c>
      <c r="N19" t="s">
        <v>415</v>
      </c>
      <c r="V19">
        <v>401110</v>
      </c>
      <c r="W19" t="s">
        <v>406</v>
      </c>
      <c r="X19">
        <v>5</v>
      </c>
      <c r="Y19" t="s">
        <v>233</v>
      </c>
      <c r="Z19">
        <v>10101</v>
      </c>
      <c r="AD19">
        <v>202034</v>
      </c>
      <c r="AF19">
        <v>1091830</v>
      </c>
      <c r="AI19">
        <v>4</v>
      </c>
    </row>
    <row r="20" spans="1:35" hidden="1" x14ac:dyDescent="0.35">
      <c r="A20" t="s">
        <v>403</v>
      </c>
      <c r="B20">
        <v>2021</v>
      </c>
      <c r="C20">
        <v>2021</v>
      </c>
      <c r="D20">
        <v>2021</v>
      </c>
      <c r="E20">
        <v>6</v>
      </c>
      <c r="F20">
        <v>1</v>
      </c>
      <c r="G20">
        <v>1</v>
      </c>
      <c r="H20" t="s">
        <v>141</v>
      </c>
      <c r="I20">
        <v>699</v>
      </c>
      <c r="J20" t="s">
        <v>78</v>
      </c>
      <c r="K20" t="s">
        <v>404</v>
      </c>
      <c r="L20">
        <v>56</v>
      </c>
      <c r="M20" t="s">
        <v>341</v>
      </c>
      <c r="N20" t="s">
        <v>415</v>
      </c>
      <c r="V20">
        <v>401190</v>
      </c>
      <c r="W20" t="s">
        <v>411</v>
      </c>
      <c r="X20">
        <v>5</v>
      </c>
      <c r="Y20" t="s">
        <v>233</v>
      </c>
      <c r="Z20">
        <v>16</v>
      </c>
      <c r="AF20">
        <v>93258</v>
      </c>
      <c r="AI20">
        <v>4</v>
      </c>
    </row>
    <row r="21" spans="1:35" hidden="1" x14ac:dyDescent="0.35">
      <c r="A21" t="s">
        <v>403</v>
      </c>
      <c r="B21">
        <v>2021</v>
      </c>
      <c r="C21">
        <v>2021</v>
      </c>
      <c r="D21">
        <v>2021</v>
      </c>
      <c r="E21">
        <v>6</v>
      </c>
      <c r="F21">
        <v>1</v>
      </c>
      <c r="G21">
        <v>1</v>
      </c>
      <c r="H21" t="s">
        <v>141</v>
      </c>
      <c r="I21">
        <v>699</v>
      </c>
      <c r="J21" t="s">
        <v>78</v>
      </c>
      <c r="K21" t="s">
        <v>404</v>
      </c>
      <c r="L21">
        <v>56</v>
      </c>
      <c r="M21" t="s">
        <v>341</v>
      </c>
      <c r="N21" t="s">
        <v>415</v>
      </c>
      <c r="V21">
        <v>401180</v>
      </c>
      <c r="W21" t="s">
        <v>409</v>
      </c>
      <c r="X21">
        <v>5</v>
      </c>
      <c r="Y21" t="s">
        <v>233</v>
      </c>
      <c r="Z21">
        <v>3</v>
      </c>
      <c r="AD21">
        <v>176</v>
      </c>
      <c r="AF21">
        <v>743</v>
      </c>
      <c r="AI21">
        <v>4</v>
      </c>
    </row>
    <row r="22" spans="1:35" x14ac:dyDescent="0.35">
      <c r="C22">
        <v>2021</v>
      </c>
      <c r="D22">
        <v>2021</v>
      </c>
      <c r="E22">
        <v>6</v>
      </c>
      <c r="F22">
        <v>1</v>
      </c>
      <c r="G22">
        <v>1</v>
      </c>
      <c r="H22" t="s">
        <v>141</v>
      </c>
      <c r="I22">
        <v>700</v>
      </c>
      <c r="J22" t="s">
        <v>78</v>
      </c>
      <c r="K22" t="s">
        <v>404</v>
      </c>
      <c r="L22">
        <v>57</v>
      </c>
      <c r="M22" t="s">
        <v>341</v>
      </c>
      <c r="N22" t="s">
        <v>415</v>
      </c>
      <c r="V22">
        <v>4011</v>
      </c>
      <c r="Z22">
        <f>SUM(Z18:Z21)</f>
        <v>10135</v>
      </c>
      <c r="AA22">
        <f t="shared" ref="AA22:AF22" si="3">SUM(AA18:AA21)</f>
        <v>0</v>
      </c>
      <c r="AB22">
        <f t="shared" si="3"/>
        <v>0</v>
      </c>
      <c r="AC22">
        <f t="shared" si="3"/>
        <v>0</v>
      </c>
      <c r="AD22">
        <f t="shared" si="3"/>
        <v>204421</v>
      </c>
      <c r="AE22">
        <f t="shared" si="3"/>
        <v>0</v>
      </c>
      <c r="AF22">
        <f t="shared" si="3"/>
        <v>1194631</v>
      </c>
    </row>
    <row r="23" spans="1:35" hidden="1" x14ac:dyDescent="0.35">
      <c r="A23" t="s">
        <v>403</v>
      </c>
      <c r="B23">
        <v>2021</v>
      </c>
      <c r="C23">
        <v>2021</v>
      </c>
      <c r="D23">
        <v>2021</v>
      </c>
      <c r="E23">
        <v>6</v>
      </c>
      <c r="F23">
        <v>1</v>
      </c>
      <c r="G23">
        <v>1</v>
      </c>
      <c r="H23" t="s">
        <v>141</v>
      </c>
      <c r="I23">
        <v>699</v>
      </c>
      <c r="J23" t="s">
        <v>78</v>
      </c>
      <c r="K23" t="s">
        <v>404</v>
      </c>
      <c r="L23">
        <v>76</v>
      </c>
      <c r="M23" t="s">
        <v>201</v>
      </c>
      <c r="N23" t="s">
        <v>416</v>
      </c>
      <c r="V23">
        <v>401180</v>
      </c>
      <c r="W23" t="s">
        <v>409</v>
      </c>
      <c r="X23">
        <v>5</v>
      </c>
      <c r="Y23" t="s">
        <v>233</v>
      </c>
      <c r="Z23">
        <v>720</v>
      </c>
      <c r="AD23">
        <v>990524</v>
      </c>
      <c r="AF23">
        <v>4179742</v>
      </c>
      <c r="AI23">
        <v>4</v>
      </c>
    </row>
    <row r="24" spans="1:35" hidden="1" x14ac:dyDescent="0.35">
      <c r="A24" t="s">
        <v>403</v>
      </c>
      <c r="B24">
        <v>2021</v>
      </c>
      <c r="C24">
        <v>2021</v>
      </c>
      <c r="D24">
        <v>2021</v>
      </c>
      <c r="E24">
        <v>6</v>
      </c>
      <c r="F24">
        <v>1</v>
      </c>
      <c r="G24">
        <v>1</v>
      </c>
      <c r="H24" t="s">
        <v>141</v>
      </c>
      <c r="I24">
        <v>699</v>
      </c>
      <c r="J24" t="s">
        <v>78</v>
      </c>
      <c r="K24" t="s">
        <v>404</v>
      </c>
      <c r="L24">
        <v>76</v>
      </c>
      <c r="M24" t="s">
        <v>201</v>
      </c>
      <c r="N24" t="s">
        <v>416</v>
      </c>
      <c r="V24">
        <v>401190</v>
      </c>
      <c r="W24" t="s">
        <v>411</v>
      </c>
      <c r="X24">
        <v>5</v>
      </c>
      <c r="Y24" t="s">
        <v>233</v>
      </c>
      <c r="Z24">
        <v>10</v>
      </c>
      <c r="AF24">
        <v>499</v>
      </c>
      <c r="AI24">
        <v>4</v>
      </c>
    </row>
    <row r="25" spans="1:35" hidden="1" x14ac:dyDescent="0.35">
      <c r="A25" t="s">
        <v>403</v>
      </c>
      <c r="B25">
        <v>2021</v>
      </c>
      <c r="C25">
        <v>2021</v>
      </c>
      <c r="D25">
        <v>2021</v>
      </c>
      <c r="E25">
        <v>6</v>
      </c>
      <c r="F25">
        <v>1</v>
      </c>
      <c r="G25">
        <v>1</v>
      </c>
      <c r="H25" t="s">
        <v>141</v>
      </c>
      <c r="I25">
        <v>699</v>
      </c>
      <c r="J25" t="s">
        <v>78</v>
      </c>
      <c r="K25" t="s">
        <v>404</v>
      </c>
      <c r="L25">
        <v>76</v>
      </c>
      <c r="M25" t="s">
        <v>201</v>
      </c>
      <c r="N25" t="s">
        <v>416</v>
      </c>
      <c r="V25">
        <v>401170</v>
      </c>
      <c r="W25" t="s">
        <v>410</v>
      </c>
      <c r="X25">
        <v>5</v>
      </c>
      <c r="Y25" t="s">
        <v>233</v>
      </c>
      <c r="Z25">
        <v>284</v>
      </c>
      <c r="AD25">
        <v>14066</v>
      </c>
      <c r="AF25">
        <v>56634</v>
      </c>
      <c r="AI25">
        <v>4</v>
      </c>
    </row>
    <row r="26" spans="1:35" hidden="1" x14ac:dyDescent="0.35">
      <c r="A26" t="s">
        <v>403</v>
      </c>
      <c r="B26">
        <v>2021</v>
      </c>
      <c r="C26">
        <v>2021</v>
      </c>
      <c r="D26">
        <v>2021</v>
      </c>
      <c r="E26">
        <v>6</v>
      </c>
      <c r="F26">
        <v>1</v>
      </c>
      <c r="G26">
        <v>1</v>
      </c>
      <c r="H26" t="s">
        <v>141</v>
      </c>
      <c r="I26">
        <v>699</v>
      </c>
      <c r="J26" t="s">
        <v>78</v>
      </c>
      <c r="K26" t="s">
        <v>404</v>
      </c>
      <c r="L26">
        <v>76</v>
      </c>
      <c r="M26" t="s">
        <v>201</v>
      </c>
      <c r="N26" t="s">
        <v>416</v>
      </c>
      <c r="V26">
        <v>401110</v>
      </c>
      <c r="W26" t="s">
        <v>406</v>
      </c>
      <c r="X26">
        <v>5</v>
      </c>
      <c r="Y26" t="s">
        <v>233</v>
      </c>
      <c r="Z26">
        <v>14</v>
      </c>
      <c r="AD26">
        <v>1211</v>
      </c>
      <c r="AF26">
        <v>6544</v>
      </c>
      <c r="AI26">
        <v>4</v>
      </c>
    </row>
    <row r="27" spans="1:35" hidden="1" x14ac:dyDescent="0.35">
      <c r="A27" t="s">
        <v>403</v>
      </c>
      <c r="B27">
        <v>2021</v>
      </c>
      <c r="C27">
        <v>2021</v>
      </c>
      <c r="D27">
        <v>2021</v>
      </c>
      <c r="E27">
        <v>6</v>
      </c>
      <c r="F27">
        <v>1</v>
      </c>
      <c r="G27">
        <v>1</v>
      </c>
      <c r="H27" t="s">
        <v>141</v>
      </c>
      <c r="I27">
        <v>699</v>
      </c>
      <c r="J27" t="s">
        <v>78</v>
      </c>
      <c r="K27" t="s">
        <v>404</v>
      </c>
      <c r="L27">
        <v>76</v>
      </c>
      <c r="M27" t="s">
        <v>201</v>
      </c>
      <c r="N27" t="s">
        <v>416</v>
      </c>
      <c r="V27">
        <v>401140</v>
      </c>
      <c r="W27" t="s">
        <v>408</v>
      </c>
      <c r="X27">
        <v>5</v>
      </c>
      <c r="Y27" t="s">
        <v>233</v>
      </c>
      <c r="Z27">
        <v>12639</v>
      </c>
      <c r="AD27">
        <v>64270</v>
      </c>
      <c r="AF27">
        <v>459994</v>
      </c>
      <c r="AI27">
        <v>4</v>
      </c>
    </row>
    <row r="28" spans="1:35" x14ac:dyDescent="0.35">
      <c r="C28">
        <v>2021</v>
      </c>
      <c r="D28">
        <v>2021</v>
      </c>
      <c r="E28">
        <v>6</v>
      </c>
      <c r="F28">
        <v>1</v>
      </c>
      <c r="G28">
        <v>1</v>
      </c>
      <c r="H28" t="s">
        <v>141</v>
      </c>
      <c r="I28">
        <v>700</v>
      </c>
      <c r="J28" t="s">
        <v>78</v>
      </c>
      <c r="K28" t="s">
        <v>404</v>
      </c>
      <c r="L28">
        <v>77</v>
      </c>
      <c r="M28" t="s">
        <v>201</v>
      </c>
      <c r="N28" t="s">
        <v>416</v>
      </c>
      <c r="V28">
        <v>4011</v>
      </c>
      <c r="Z28">
        <f>SUM(Z23:Z27)</f>
        <v>13667</v>
      </c>
      <c r="AA28">
        <f t="shared" ref="AA28:AF28" si="4">SUM(AA23:AA27)</f>
        <v>0</v>
      </c>
      <c r="AB28">
        <f t="shared" si="4"/>
        <v>0</v>
      </c>
      <c r="AC28">
        <f t="shared" si="4"/>
        <v>0</v>
      </c>
      <c r="AD28">
        <f t="shared" si="4"/>
        <v>1070071</v>
      </c>
      <c r="AE28">
        <f t="shared" si="4"/>
        <v>0</v>
      </c>
      <c r="AF28">
        <f t="shared" si="4"/>
        <v>4703413</v>
      </c>
    </row>
    <row r="29" spans="1:35" x14ac:dyDescent="0.35">
      <c r="A29" t="s">
        <v>403</v>
      </c>
      <c r="B29">
        <v>2021</v>
      </c>
      <c r="C29">
        <v>2021</v>
      </c>
      <c r="D29">
        <v>2021</v>
      </c>
      <c r="E29">
        <v>6</v>
      </c>
      <c r="F29">
        <v>1</v>
      </c>
      <c r="G29">
        <v>1</v>
      </c>
      <c r="H29" t="s">
        <v>141</v>
      </c>
      <c r="I29">
        <v>699</v>
      </c>
      <c r="J29" t="s">
        <v>78</v>
      </c>
      <c r="K29" t="s">
        <v>404</v>
      </c>
      <c r="L29">
        <v>112</v>
      </c>
      <c r="M29" t="s">
        <v>359</v>
      </c>
      <c r="N29" t="s">
        <v>417</v>
      </c>
      <c r="V29">
        <v>4011</v>
      </c>
      <c r="W29" t="s">
        <v>409</v>
      </c>
      <c r="X29">
        <v>5</v>
      </c>
      <c r="Y29" t="s">
        <v>233</v>
      </c>
      <c r="Z29">
        <v>10</v>
      </c>
      <c r="AD29">
        <v>1140</v>
      </c>
      <c r="AF29">
        <v>4813</v>
      </c>
      <c r="AI29">
        <v>4</v>
      </c>
    </row>
    <row r="30" spans="1:35" hidden="1" x14ac:dyDescent="0.35">
      <c r="A30" t="s">
        <v>403</v>
      </c>
      <c r="B30">
        <v>2021</v>
      </c>
      <c r="C30">
        <v>2021</v>
      </c>
      <c r="D30">
        <v>2021</v>
      </c>
      <c r="E30">
        <v>6</v>
      </c>
      <c r="F30">
        <v>1</v>
      </c>
      <c r="G30">
        <v>1</v>
      </c>
      <c r="H30" t="s">
        <v>141</v>
      </c>
      <c r="I30">
        <v>699</v>
      </c>
      <c r="J30" t="s">
        <v>78</v>
      </c>
      <c r="K30" t="s">
        <v>404</v>
      </c>
      <c r="L30">
        <v>124</v>
      </c>
      <c r="M30" t="s">
        <v>355</v>
      </c>
      <c r="N30" t="s">
        <v>418</v>
      </c>
      <c r="V30">
        <v>401180</v>
      </c>
      <c r="W30" t="s">
        <v>409</v>
      </c>
      <c r="X30">
        <v>5</v>
      </c>
      <c r="Y30" t="s">
        <v>233</v>
      </c>
      <c r="Z30">
        <v>70</v>
      </c>
      <c r="AD30">
        <v>2803</v>
      </c>
      <c r="AF30">
        <v>11830</v>
      </c>
      <c r="AI30">
        <v>4</v>
      </c>
    </row>
    <row r="31" spans="1:35" hidden="1" x14ac:dyDescent="0.35">
      <c r="A31" t="s">
        <v>403</v>
      </c>
      <c r="B31">
        <v>2021</v>
      </c>
      <c r="C31">
        <v>2021</v>
      </c>
      <c r="D31">
        <v>2021</v>
      </c>
      <c r="E31">
        <v>6</v>
      </c>
      <c r="F31">
        <v>1</v>
      </c>
      <c r="G31">
        <v>1</v>
      </c>
      <c r="H31" t="s">
        <v>141</v>
      </c>
      <c r="I31">
        <v>699</v>
      </c>
      <c r="J31" t="s">
        <v>78</v>
      </c>
      <c r="K31" t="s">
        <v>404</v>
      </c>
      <c r="L31">
        <v>124</v>
      </c>
      <c r="M31" t="s">
        <v>355</v>
      </c>
      <c r="N31" t="s">
        <v>418</v>
      </c>
      <c r="V31">
        <v>401190</v>
      </c>
      <c r="W31" t="s">
        <v>411</v>
      </c>
      <c r="X31">
        <v>5</v>
      </c>
      <c r="Y31" t="s">
        <v>233</v>
      </c>
      <c r="Z31">
        <v>2</v>
      </c>
      <c r="AF31">
        <v>7513</v>
      </c>
      <c r="AI31">
        <v>4</v>
      </c>
    </row>
    <row r="32" spans="1:35" x14ac:dyDescent="0.35">
      <c r="C32">
        <v>2021</v>
      </c>
      <c r="D32">
        <v>2021</v>
      </c>
      <c r="E32">
        <v>6</v>
      </c>
      <c r="F32">
        <v>1</v>
      </c>
      <c r="G32">
        <v>1</v>
      </c>
      <c r="H32" t="s">
        <v>141</v>
      </c>
      <c r="I32">
        <v>700</v>
      </c>
      <c r="J32" t="s">
        <v>78</v>
      </c>
      <c r="K32" t="s">
        <v>404</v>
      </c>
      <c r="L32">
        <v>125</v>
      </c>
      <c r="M32" t="s">
        <v>355</v>
      </c>
      <c r="N32" t="s">
        <v>418</v>
      </c>
      <c r="V32">
        <v>4011</v>
      </c>
      <c r="Z32">
        <f>SUM(Z30:Z31)</f>
        <v>72</v>
      </c>
      <c r="AA32">
        <f t="shared" ref="AA32:AF32" si="5">SUM(AA30:AA31)</f>
        <v>0</v>
      </c>
      <c r="AB32">
        <f t="shared" si="5"/>
        <v>0</v>
      </c>
      <c r="AC32">
        <f t="shared" si="5"/>
        <v>0</v>
      </c>
      <c r="AD32">
        <f t="shared" si="5"/>
        <v>2803</v>
      </c>
      <c r="AE32">
        <f t="shared" si="5"/>
        <v>0</v>
      </c>
      <c r="AF32">
        <f t="shared" si="5"/>
        <v>19343</v>
      </c>
    </row>
    <row r="33" spans="1:35" hidden="1" x14ac:dyDescent="0.35">
      <c r="A33" t="s">
        <v>403</v>
      </c>
      <c r="B33">
        <v>2021</v>
      </c>
      <c r="C33">
        <v>2021</v>
      </c>
      <c r="D33">
        <v>2021</v>
      </c>
      <c r="E33">
        <v>6</v>
      </c>
      <c r="F33">
        <v>1</v>
      </c>
      <c r="G33">
        <v>1</v>
      </c>
      <c r="H33" t="s">
        <v>141</v>
      </c>
      <c r="I33">
        <v>699</v>
      </c>
      <c r="J33" t="s">
        <v>78</v>
      </c>
      <c r="K33" t="s">
        <v>404</v>
      </c>
      <c r="L33">
        <v>144</v>
      </c>
      <c r="M33" t="s">
        <v>200</v>
      </c>
      <c r="N33" t="s">
        <v>419</v>
      </c>
      <c r="V33">
        <v>401170</v>
      </c>
      <c r="W33" t="s">
        <v>410</v>
      </c>
      <c r="X33">
        <v>5</v>
      </c>
      <c r="Y33" t="s">
        <v>233</v>
      </c>
      <c r="Z33">
        <v>909</v>
      </c>
      <c r="AD33">
        <v>21917</v>
      </c>
      <c r="AF33">
        <v>88241</v>
      </c>
      <c r="AI33">
        <v>4</v>
      </c>
    </row>
    <row r="34" spans="1:35" hidden="1" x14ac:dyDescent="0.35">
      <c r="A34" t="s">
        <v>403</v>
      </c>
      <c r="B34">
        <v>2021</v>
      </c>
      <c r="C34">
        <v>2021</v>
      </c>
      <c r="D34">
        <v>2021</v>
      </c>
      <c r="E34">
        <v>6</v>
      </c>
      <c r="F34">
        <v>1</v>
      </c>
      <c r="G34">
        <v>1</v>
      </c>
      <c r="H34" t="s">
        <v>141</v>
      </c>
      <c r="I34">
        <v>699</v>
      </c>
      <c r="J34" t="s">
        <v>78</v>
      </c>
      <c r="K34" t="s">
        <v>404</v>
      </c>
      <c r="L34">
        <v>144</v>
      </c>
      <c r="M34" t="s">
        <v>200</v>
      </c>
      <c r="N34" t="s">
        <v>419</v>
      </c>
      <c r="V34">
        <v>401180</v>
      </c>
      <c r="W34" t="s">
        <v>409</v>
      </c>
      <c r="X34">
        <v>5</v>
      </c>
      <c r="Y34" t="s">
        <v>233</v>
      </c>
      <c r="Z34">
        <v>31081</v>
      </c>
      <c r="AD34">
        <v>1117294</v>
      </c>
      <c r="AF34">
        <v>4714677</v>
      </c>
      <c r="AI34">
        <v>4</v>
      </c>
    </row>
    <row r="35" spans="1:35" hidden="1" x14ac:dyDescent="0.35">
      <c r="A35" t="s">
        <v>403</v>
      </c>
      <c r="B35">
        <v>2021</v>
      </c>
      <c r="C35">
        <v>2021</v>
      </c>
      <c r="D35">
        <v>2021</v>
      </c>
      <c r="E35">
        <v>6</v>
      </c>
      <c r="F35">
        <v>1</v>
      </c>
      <c r="G35">
        <v>1</v>
      </c>
      <c r="H35" t="s">
        <v>141</v>
      </c>
      <c r="I35">
        <v>699</v>
      </c>
      <c r="J35" t="s">
        <v>78</v>
      </c>
      <c r="K35" t="s">
        <v>404</v>
      </c>
      <c r="L35">
        <v>144</v>
      </c>
      <c r="M35" t="s">
        <v>200</v>
      </c>
      <c r="N35" t="s">
        <v>419</v>
      </c>
      <c r="V35">
        <v>401140</v>
      </c>
      <c r="W35" t="s">
        <v>408</v>
      </c>
      <c r="X35">
        <v>5</v>
      </c>
      <c r="Y35" t="s">
        <v>233</v>
      </c>
      <c r="Z35">
        <v>480</v>
      </c>
      <c r="AD35">
        <v>1286</v>
      </c>
      <c r="AF35">
        <v>9205</v>
      </c>
      <c r="AI35">
        <v>4</v>
      </c>
    </row>
    <row r="36" spans="1:35" hidden="1" x14ac:dyDescent="0.35">
      <c r="A36" t="s">
        <v>403</v>
      </c>
      <c r="B36">
        <v>2021</v>
      </c>
      <c r="C36">
        <v>2021</v>
      </c>
      <c r="D36">
        <v>2021</v>
      </c>
      <c r="E36">
        <v>6</v>
      </c>
      <c r="F36">
        <v>1</v>
      </c>
      <c r="G36">
        <v>1</v>
      </c>
      <c r="H36" t="s">
        <v>141</v>
      </c>
      <c r="I36">
        <v>699</v>
      </c>
      <c r="J36" t="s">
        <v>78</v>
      </c>
      <c r="K36" t="s">
        <v>404</v>
      </c>
      <c r="L36">
        <v>144</v>
      </c>
      <c r="M36" t="s">
        <v>200</v>
      </c>
      <c r="N36" t="s">
        <v>419</v>
      </c>
      <c r="V36">
        <v>401110</v>
      </c>
      <c r="W36" t="s">
        <v>406</v>
      </c>
      <c r="X36">
        <v>5</v>
      </c>
      <c r="Y36" t="s">
        <v>233</v>
      </c>
      <c r="Z36">
        <v>25</v>
      </c>
      <c r="AD36">
        <v>203</v>
      </c>
      <c r="AF36">
        <v>1099</v>
      </c>
      <c r="AI36">
        <v>4</v>
      </c>
    </row>
    <row r="37" spans="1:35" x14ac:dyDescent="0.35">
      <c r="C37">
        <v>2021</v>
      </c>
      <c r="D37">
        <v>2021</v>
      </c>
      <c r="E37">
        <v>6</v>
      </c>
      <c r="F37">
        <v>1</v>
      </c>
      <c r="G37">
        <v>1</v>
      </c>
      <c r="H37" t="s">
        <v>141</v>
      </c>
      <c r="I37">
        <v>700</v>
      </c>
      <c r="J37" t="s">
        <v>78</v>
      </c>
      <c r="K37" t="s">
        <v>404</v>
      </c>
      <c r="L37">
        <v>145</v>
      </c>
      <c r="M37" t="s">
        <v>200</v>
      </c>
      <c r="N37" t="s">
        <v>419</v>
      </c>
      <c r="V37">
        <v>4011</v>
      </c>
      <c r="Z37">
        <f>SUM(Z33:Z36)</f>
        <v>32495</v>
      </c>
      <c r="AA37">
        <f t="shared" ref="AA37:AF37" si="6">SUM(AA33:AA36)</f>
        <v>0</v>
      </c>
      <c r="AB37">
        <f t="shared" si="6"/>
        <v>0</v>
      </c>
      <c r="AC37">
        <f t="shared" si="6"/>
        <v>0</v>
      </c>
      <c r="AD37">
        <f t="shared" si="6"/>
        <v>1140700</v>
      </c>
      <c r="AE37">
        <f t="shared" si="6"/>
        <v>0</v>
      </c>
      <c r="AF37">
        <f t="shared" si="6"/>
        <v>4813222</v>
      </c>
    </row>
    <row r="38" spans="1:35" hidden="1" x14ac:dyDescent="0.35">
      <c r="A38" t="s">
        <v>403</v>
      </c>
      <c r="B38">
        <v>2021</v>
      </c>
      <c r="C38">
        <v>2021</v>
      </c>
      <c r="D38">
        <v>2021</v>
      </c>
      <c r="E38">
        <v>6</v>
      </c>
      <c r="F38">
        <v>1</v>
      </c>
      <c r="G38">
        <v>1</v>
      </c>
      <c r="H38" t="s">
        <v>141</v>
      </c>
      <c r="I38">
        <v>699</v>
      </c>
      <c r="J38" t="s">
        <v>78</v>
      </c>
      <c r="K38" t="s">
        <v>404</v>
      </c>
      <c r="L38">
        <v>156</v>
      </c>
      <c r="M38" t="s">
        <v>167</v>
      </c>
      <c r="N38" t="s">
        <v>420</v>
      </c>
      <c r="V38">
        <v>401110</v>
      </c>
      <c r="W38" t="s">
        <v>406</v>
      </c>
      <c r="X38">
        <v>5</v>
      </c>
      <c r="Y38" t="s">
        <v>233</v>
      </c>
      <c r="Z38">
        <v>472426</v>
      </c>
      <c r="AD38">
        <v>2792680</v>
      </c>
      <c r="AF38">
        <v>15092113</v>
      </c>
      <c r="AI38">
        <v>4</v>
      </c>
    </row>
    <row r="39" spans="1:35" hidden="1" x14ac:dyDescent="0.35">
      <c r="A39" t="s">
        <v>403</v>
      </c>
      <c r="B39">
        <v>2021</v>
      </c>
      <c r="C39">
        <v>2021</v>
      </c>
      <c r="D39">
        <v>2021</v>
      </c>
      <c r="E39">
        <v>6</v>
      </c>
      <c r="F39">
        <v>1</v>
      </c>
      <c r="G39">
        <v>1</v>
      </c>
      <c r="H39" t="s">
        <v>141</v>
      </c>
      <c r="I39">
        <v>699</v>
      </c>
      <c r="J39" t="s">
        <v>78</v>
      </c>
      <c r="K39" t="s">
        <v>404</v>
      </c>
      <c r="L39">
        <v>156</v>
      </c>
      <c r="M39" t="s">
        <v>167</v>
      </c>
      <c r="N39" t="s">
        <v>420</v>
      </c>
      <c r="V39">
        <v>401140</v>
      </c>
      <c r="W39" t="s">
        <v>408</v>
      </c>
      <c r="X39">
        <v>5</v>
      </c>
      <c r="Y39" t="s">
        <v>233</v>
      </c>
      <c r="Z39">
        <v>52886</v>
      </c>
      <c r="AD39">
        <v>254023</v>
      </c>
      <c r="AF39">
        <v>1818092</v>
      </c>
      <c r="AI39">
        <v>4</v>
      </c>
    </row>
    <row r="40" spans="1:35" hidden="1" x14ac:dyDescent="0.35">
      <c r="A40" t="s">
        <v>403</v>
      </c>
      <c r="B40">
        <v>2021</v>
      </c>
      <c r="C40">
        <v>2021</v>
      </c>
      <c r="D40">
        <v>2021</v>
      </c>
      <c r="E40">
        <v>6</v>
      </c>
      <c r="F40">
        <v>1</v>
      </c>
      <c r="G40">
        <v>1</v>
      </c>
      <c r="H40" t="s">
        <v>141</v>
      </c>
      <c r="I40">
        <v>699</v>
      </c>
      <c r="J40" t="s">
        <v>78</v>
      </c>
      <c r="K40" t="s">
        <v>404</v>
      </c>
      <c r="L40">
        <v>156</v>
      </c>
      <c r="M40" t="s">
        <v>167</v>
      </c>
      <c r="N40" t="s">
        <v>420</v>
      </c>
      <c r="V40">
        <v>401120</v>
      </c>
      <c r="W40" t="s">
        <v>407</v>
      </c>
      <c r="X40">
        <v>5</v>
      </c>
      <c r="Y40" t="s">
        <v>233</v>
      </c>
      <c r="Z40">
        <v>4539</v>
      </c>
      <c r="AD40">
        <v>139760</v>
      </c>
      <c r="AF40">
        <v>556111</v>
      </c>
      <c r="AI40">
        <v>4</v>
      </c>
    </row>
    <row r="41" spans="1:35" hidden="1" x14ac:dyDescent="0.35">
      <c r="A41" t="s">
        <v>403</v>
      </c>
      <c r="B41">
        <v>2021</v>
      </c>
      <c r="C41">
        <v>2021</v>
      </c>
      <c r="D41">
        <v>2021</v>
      </c>
      <c r="E41">
        <v>6</v>
      </c>
      <c r="F41">
        <v>1</v>
      </c>
      <c r="G41">
        <v>1</v>
      </c>
      <c r="H41" t="s">
        <v>141</v>
      </c>
      <c r="I41">
        <v>699</v>
      </c>
      <c r="J41" t="s">
        <v>78</v>
      </c>
      <c r="K41" t="s">
        <v>404</v>
      </c>
      <c r="L41">
        <v>156</v>
      </c>
      <c r="M41" t="s">
        <v>167</v>
      </c>
      <c r="N41" t="s">
        <v>420</v>
      </c>
      <c r="V41">
        <v>401180</v>
      </c>
      <c r="W41" t="s">
        <v>409</v>
      </c>
      <c r="X41">
        <v>5</v>
      </c>
      <c r="Y41" t="s">
        <v>233</v>
      </c>
      <c r="Z41">
        <v>173473</v>
      </c>
      <c r="AD41">
        <v>6250666</v>
      </c>
      <c r="AF41">
        <v>26376110</v>
      </c>
      <c r="AI41">
        <v>4</v>
      </c>
    </row>
    <row r="42" spans="1:35" hidden="1" x14ac:dyDescent="0.35">
      <c r="A42" t="s">
        <v>403</v>
      </c>
      <c r="B42">
        <v>2021</v>
      </c>
      <c r="C42">
        <v>2021</v>
      </c>
      <c r="D42">
        <v>2021</v>
      </c>
      <c r="E42">
        <v>6</v>
      </c>
      <c r="F42">
        <v>1</v>
      </c>
      <c r="G42">
        <v>1</v>
      </c>
      <c r="H42" t="s">
        <v>141</v>
      </c>
      <c r="I42">
        <v>699</v>
      </c>
      <c r="J42" t="s">
        <v>78</v>
      </c>
      <c r="K42" t="s">
        <v>404</v>
      </c>
      <c r="L42">
        <v>156</v>
      </c>
      <c r="M42" t="s">
        <v>167</v>
      </c>
      <c r="N42" t="s">
        <v>420</v>
      </c>
      <c r="V42">
        <v>401170</v>
      </c>
      <c r="W42" t="s">
        <v>410</v>
      </c>
      <c r="X42">
        <v>5</v>
      </c>
      <c r="Y42" t="s">
        <v>233</v>
      </c>
      <c r="Z42">
        <v>3619</v>
      </c>
      <c r="AD42">
        <v>44037</v>
      </c>
      <c r="AF42">
        <v>177297</v>
      </c>
      <c r="AI42">
        <v>4</v>
      </c>
    </row>
    <row r="43" spans="1:35" hidden="1" x14ac:dyDescent="0.35">
      <c r="A43" t="s">
        <v>403</v>
      </c>
      <c r="B43">
        <v>2021</v>
      </c>
      <c r="C43">
        <v>2021</v>
      </c>
      <c r="D43">
        <v>2021</v>
      </c>
      <c r="E43">
        <v>6</v>
      </c>
      <c r="F43">
        <v>1</v>
      </c>
      <c r="G43">
        <v>1</v>
      </c>
      <c r="H43" t="s">
        <v>141</v>
      </c>
      <c r="I43">
        <v>699</v>
      </c>
      <c r="J43" t="s">
        <v>78</v>
      </c>
      <c r="K43" t="s">
        <v>404</v>
      </c>
      <c r="L43">
        <v>156</v>
      </c>
      <c r="M43" t="s">
        <v>167</v>
      </c>
      <c r="N43" t="s">
        <v>420</v>
      </c>
      <c r="V43">
        <v>401190</v>
      </c>
      <c r="W43" t="s">
        <v>411</v>
      </c>
      <c r="X43">
        <v>5</v>
      </c>
      <c r="Y43" t="s">
        <v>233</v>
      </c>
      <c r="Z43">
        <v>4982</v>
      </c>
      <c r="AF43">
        <v>239575</v>
      </c>
      <c r="AI43">
        <v>4</v>
      </c>
    </row>
    <row r="44" spans="1:35" x14ac:dyDescent="0.35">
      <c r="C44">
        <v>2021</v>
      </c>
      <c r="D44">
        <v>2021</v>
      </c>
      <c r="E44">
        <v>6</v>
      </c>
      <c r="F44">
        <v>1</v>
      </c>
      <c r="G44">
        <v>1</v>
      </c>
      <c r="H44" t="s">
        <v>141</v>
      </c>
      <c r="I44">
        <v>700</v>
      </c>
      <c r="J44" t="s">
        <v>78</v>
      </c>
      <c r="K44" t="s">
        <v>404</v>
      </c>
      <c r="L44">
        <v>157</v>
      </c>
      <c r="M44" t="s">
        <v>167</v>
      </c>
      <c r="N44" t="s">
        <v>420</v>
      </c>
      <c r="V44">
        <v>4011</v>
      </c>
      <c r="Z44">
        <f>SUM(Z38:Z43)</f>
        <v>711925</v>
      </c>
      <c r="AA44">
        <f t="shared" ref="AA44:AF44" si="7">SUM(AA38:AA43)</f>
        <v>0</v>
      </c>
      <c r="AB44">
        <f t="shared" si="7"/>
        <v>0</v>
      </c>
      <c r="AC44">
        <f t="shared" si="7"/>
        <v>0</v>
      </c>
      <c r="AD44">
        <f t="shared" si="7"/>
        <v>9481166</v>
      </c>
      <c r="AE44">
        <f t="shared" si="7"/>
        <v>0</v>
      </c>
      <c r="AF44">
        <f t="shared" si="7"/>
        <v>44259298</v>
      </c>
    </row>
    <row r="45" spans="1:35" hidden="1" x14ac:dyDescent="0.35">
      <c r="A45" t="s">
        <v>403</v>
      </c>
      <c r="B45">
        <v>2021</v>
      </c>
      <c r="C45">
        <v>2021</v>
      </c>
      <c r="D45">
        <v>2021</v>
      </c>
      <c r="E45">
        <v>6</v>
      </c>
      <c r="F45">
        <v>1</v>
      </c>
      <c r="G45">
        <v>1</v>
      </c>
      <c r="H45" t="s">
        <v>141</v>
      </c>
      <c r="I45">
        <v>699</v>
      </c>
      <c r="J45" t="s">
        <v>78</v>
      </c>
      <c r="K45" t="s">
        <v>404</v>
      </c>
      <c r="L45">
        <v>170</v>
      </c>
      <c r="M45" t="s">
        <v>357</v>
      </c>
      <c r="N45" t="s">
        <v>421</v>
      </c>
      <c r="V45">
        <v>401170</v>
      </c>
      <c r="W45" t="s">
        <v>410</v>
      </c>
      <c r="X45">
        <v>5</v>
      </c>
      <c r="Y45" t="s">
        <v>233</v>
      </c>
      <c r="Z45">
        <v>1</v>
      </c>
      <c r="AD45">
        <v>523</v>
      </c>
      <c r="AF45">
        <v>2108</v>
      </c>
      <c r="AI45">
        <v>4</v>
      </c>
    </row>
    <row r="46" spans="1:35" hidden="1" x14ac:dyDescent="0.35">
      <c r="A46" t="s">
        <v>403</v>
      </c>
      <c r="B46">
        <v>2021</v>
      </c>
      <c r="C46">
        <v>2021</v>
      </c>
      <c r="D46">
        <v>2021</v>
      </c>
      <c r="E46">
        <v>6</v>
      </c>
      <c r="F46">
        <v>1</v>
      </c>
      <c r="G46">
        <v>1</v>
      </c>
      <c r="H46" t="s">
        <v>141</v>
      </c>
      <c r="I46">
        <v>699</v>
      </c>
      <c r="J46" t="s">
        <v>78</v>
      </c>
      <c r="K46" t="s">
        <v>404</v>
      </c>
      <c r="L46">
        <v>170</v>
      </c>
      <c r="M46" t="s">
        <v>357</v>
      </c>
      <c r="N46" t="s">
        <v>421</v>
      </c>
      <c r="V46">
        <v>401120</v>
      </c>
      <c r="W46" t="s">
        <v>407</v>
      </c>
      <c r="X46">
        <v>5</v>
      </c>
      <c r="Y46" t="s">
        <v>233</v>
      </c>
      <c r="Z46">
        <v>16</v>
      </c>
      <c r="AD46">
        <v>3272</v>
      </c>
      <c r="AF46">
        <v>13023</v>
      </c>
      <c r="AI46">
        <v>4</v>
      </c>
    </row>
    <row r="47" spans="1:35" x14ac:dyDescent="0.35">
      <c r="C47">
        <v>2021</v>
      </c>
      <c r="D47">
        <v>2021</v>
      </c>
      <c r="E47">
        <v>6</v>
      </c>
      <c r="F47">
        <v>1</v>
      </c>
      <c r="G47">
        <v>1</v>
      </c>
      <c r="H47" t="s">
        <v>141</v>
      </c>
      <c r="I47">
        <v>700</v>
      </c>
      <c r="J47" t="s">
        <v>78</v>
      </c>
      <c r="K47" t="s">
        <v>404</v>
      </c>
      <c r="L47">
        <v>171</v>
      </c>
      <c r="M47" t="s">
        <v>357</v>
      </c>
      <c r="N47" t="s">
        <v>421</v>
      </c>
      <c r="V47">
        <v>4011</v>
      </c>
      <c r="Z47">
        <f>SUM(Z45:Z46)</f>
        <v>17</v>
      </c>
      <c r="AA47">
        <f t="shared" ref="AA47:AF47" si="8">SUM(AA45:AA46)</f>
        <v>0</v>
      </c>
      <c r="AB47">
        <f t="shared" si="8"/>
        <v>0</v>
      </c>
      <c r="AC47">
        <f t="shared" si="8"/>
        <v>0</v>
      </c>
      <c r="AD47">
        <f t="shared" si="8"/>
        <v>3795</v>
      </c>
      <c r="AE47">
        <f t="shared" si="8"/>
        <v>0</v>
      </c>
      <c r="AF47">
        <f t="shared" si="8"/>
        <v>15131</v>
      </c>
    </row>
    <row r="48" spans="1:35" hidden="1" x14ac:dyDescent="0.35">
      <c r="A48" t="s">
        <v>403</v>
      </c>
      <c r="B48">
        <v>2021</v>
      </c>
      <c r="C48">
        <v>2021</v>
      </c>
      <c r="D48">
        <v>2021</v>
      </c>
      <c r="E48">
        <v>6</v>
      </c>
      <c r="F48">
        <v>1</v>
      </c>
      <c r="G48">
        <v>1</v>
      </c>
      <c r="H48" t="s">
        <v>141</v>
      </c>
      <c r="I48">
        <v>699</v>
      </c>
      <c r="J48" t="s">
        <v>78</v>
      </c>
      <c r="K48" t="s">
        <v>404</v>
      </c>
      <c r="L48">
        <v>203</v>
      </c>
      <c r="M48" t="s">
        <v>240</v>
      </c>
      <c r="N48" t="s">
        <v>422</v>
      </c>
      <c r="V48">
        <v>401110</v>
      </c>
      <c r="W48" t="s">
        <v>406</v>
      </c>
      <c r="X48">
        <v>5</v>
      </c>
      <c r="Y48" t="s">
        <v>233</v>
      </c>
      <c r="Z48">
        <v>207</v>
      </c>
      <c r="AD48">
        <v>4932</v>
      </c>
      <c r="AF48">
        <v>26657</v>
      </c>
      <c r="AI48">
        <v>4</v>
      </c>
    </row>
    <row r="49" spans="1:35" hidden="1" x14ac:dyDescent="0.35">
      <c r="A49" t="s">
        <v>403</v>
      </c>
      <c r="B49">
        <v>2021</v>
      </c>
      <c r="C49">
        <v>2021</v>
      </c>
      <c r="D49">
        <v>2021</v>
      </c>
      <c r="E49">
        <v>6</v>
      </c>
      <c r="F49">
        <v>1</v>
      </c>
      <c r="G49">
        <v>1</v>
      </c>
      <c r="H49" t="s">
        <v>141</v>
      </c>
      <c r="I49">
        <v>699</v>
      </c>
      <c r="J49" t="s">
        <v>78</v>
      </c>
      <c r="K49" t="s">
        <v>404</v>
      </c>
      <c r="L49">
        <v>203</v>
      </c>
      <c r="M49" t="s">
        <v>240</v>
      </c>
      <c r="N49" t="s">
        <v>422</v>
      </c>
      <c r="V49">
        <v>401180</v>
      </c>
      <c r="W49" t="s">
        <v>409</v>
      </c>
      <c r="X49">
        <v>5</v>
      </c>
      <c r="Y49" t="s">
        <v>233</v>
      </c>
      <c r="Z49">
        <v>1652</v>
      </c>
      <c r="AD49">
        <v>139471</v>
      </c>
      <c r="AF49">
        <v>588532</v>
      </c>
      <c r="AI49">
        <v>4</v>
      </c>
    </row>
    <row r="50" spans="1:35" x14ac:dyDescent="0.35">
      <c r="C50">
        <v>2021</v>
      </c>
      <c r="D50">
        <v>2021</v>
      </c>
      <c r="E50">
        <v>6</v>
      </c>
      <c r="F50">
        <v>1</v>
      </c>
      <c r="G50">
        <v>1</v>
      </c>
      <c r="H50" t="s">
        <v>141</v>
      </c>
      <c r="I50">
        <v>700</v>
      </c>
      <c r="J50" t="s">
        <v>78</v>
      </c>
      <c r="K50" t="s">
        <v>404</v>
      </c>
      <c r="L50">
        <v>204</v>
      </c>
      <c r="M50" t="s">
        <v>240</v>
      </c>
      <c r="N50" t="s">
        <v>422</v>
      </c>
      <c r="V50">
        <v>4011</v>
      </c>
      <c r="Z50">
        <f>SUM(Z48:Z49)</f>
        <v>1859</v>
      </c>
      <c r="AA50">
        <f t="shared" ref="AA50:AF50" si="9">SUM(AA48:AA49)</f>
        <v>0</v>
      </c>
      <c r="AB50">
        <f t="shared" si="9"/>
        <v>0</v>
      </c>
      <c r="AC50">
        <f t="shared" si="9"/>
        <v>0</v>
      </c>
      <c r="AD50">
        <f t="shared" si="9"/>
        <v>144403</v>
      </c>
      <c r="AE50">
        <f t="shared" si="9"/>
        <v>0</v>
      </c>
      <c r="AF50">
        <f t="shared" si="9"/>
        <v>615189</v>
      </c>
    </row>
    <row r="51" spans="1:35" x14ac:dyDescent="0.35">
      <c r="A51" t="s">
        <v>403</v>
      </c>
      <c r="B51">
        <v>2021</v>
      </c>
      <c r="C51">
        <v>2021</v>
      </c>
      <c r="D51">
        <v>2021</v>
      </c>
      <c r="E51">
        <v>6</v>
      </c>
      <c r="F51">
        <v>1</v>
      </c>
      <c r="G51">
        <v>1</v>
      </c>
      <c r="H51" t="s">
        <v>141</v>
      </c>
      <c r="I51">
        <v>699</v>
      </c>
      <c r="J51" t="s">
        <v>78</v>
      </c>
      <c r="K51" t="s">
        <v>404</v>
      </c>
      <c r="L51">
        <v>208</v>
      </c>
      <c r="M51" t="s">
        <v>361</v>
      </c>
      <c r="N51" t="s">
        <v>423</v>
      </c>
      <c r="V51">
        <v>4011</v>
      </c>
      <c r="W51" t="s">
        <v>411</v>
      </c>
      <c r="X51">
        <v>5</v>
      </c>
      <c r="Y51" t="s">
        <v>233</v>
      </c>
      <c r="Z51">
        <v>2</v>
      </c>
      <c r="AF51">
        <v>3551</v>
      </c>
      <c r="AI51">
        <v>4</v>
      </c>
    </row>
    <row r="52" spans="1:35" hidden="1" x14ac:dyDescent="0.35">
      <c r="A52" t="s">
        <v>403</v>
      </c>
      <c r="B52">
        <v>2021</v>
      </c>
      <c r="C52">
        <v>2021</v>
      </c>
      <c r="D52">
        <v>2021</v>
      </c>
      <c r="E52">
        <v>6</v>
      </c>
      <c r="F52">
        <v>1</v>
      </c>
      <c r="G52">
        <v>1</v>
      </c>
      <c r="H52" t="s">
        <v>141</v>
      </c>
      <c r="I52">
        <v>699</v>
      </c>
      <c r="J52" t="s">
        <v>78</v>
      </c>
      <c r="K52" t="s">
        <v>404</v>
      </c>
      <c r="L52">
        <v>251</v>
      </c>
      <c r="M52" t="s">
        <v>175</v>
      </c>
      <c r="N52" t="s">
        <v>424</v>
      </c>
      <c r="V52">
        <v>401190</v>
      </c>
      <c r="W52" t="s">
        <v>411</v>
      </c>
      <c r="X52">
        <v>5</v>
      </c>
      <c r="Y52" t="s">
        <v>233</v>
      </c>
      <c r="Z52">
        <v>6</v>
      </c>
      <c r="AF52">
        <v>4228</v>
      </c>
      <c r="AI52">
        <v>4</v>
      </c>
    </row>
    <row r="53" spans="1:35" hidden="1" x14ac:dyDescent="0.35">
      <c r="A53" t="s">
        <v>403</v>
      </c>
      <c r="B53">
        <v>2021</v>
      </c>
      <c r="C53">
        <v>2021</v>
      </c>
      <c r="D53">
        <v>2021</v>
      </c>
      <c r="E53">
        <v>6</v>
      </c>
      <c r="F53">
        <v>1</v>
      </c>
      <c r="G53">
        <v>1</v>
      </c>
      <c r="H53" t="s">
        <v>141</v>
      </c>
      <c r="I53">
        <v>699</v>
      </c>
      <c r="J53" t="s">
        <v>78</v>
      </c>
      <c r="K53" t="s">
        <v>404</v>
      </c>
      <c r="L53">
        <v>251</v>
      </c>
      <c r="M53" t="s">
        <v>175</v>
      </c>
      <c r="N53" t="s">
        <v>424</v>
      </c>
      <c r="V53">
        <v>401180</v>
      </c>
      <c r="W53" t="s">
        <v>409</v>
      </c>
      <c r="X53">
        <v>5</v>
      </c>
      <c r="Y53" t="s">
        <v>233</v>
      </c>
      <c r="Z53">
        <v>2561</v>
      </c>
      <c r="AD53">
        <v>627116</v>
      </c>
      <c r="AF53">
        <v>2646262</v>
      </c>
      <c r="AI53">
        <v>4</v>
      </c>
    </row>
    <row r="54" spans="1:35" hidden="1" x14ac:dyDescent="0.35">
      <c r="A54" t="s">
        <v>403</v>
      </c>
      <c r="B54">
        <v>2021</v>
      </c>
      <c r="C54">
        <v>2021</v>
      </c>
      <c r="D54">
        <v>2021</v>
      </c>
      <c r="E54">
        <v>6</v>
      </c>
      <c r="F54">
        <v>1</v>
      </c>
      <c r="G54">
        <v>1</v>
      </c>
      <c r="H54" t="s">
        <v>141</v>
      </c>
      <c r="I54">
        <v>699</v>
      </c>
      <c r="J54" t="s">
        <v>78</v>
      </c>
      <c r="K54" t="s">
        <v>404</v>
      </c>
      <c r="L54">
        <v>251</v>
      </c>
      <c r="M54" t="s">
        <v>175</v>
      </c>
      <c r="N54" t="s">
        <v>424</v>
      </c>
      <c r="V54">
        <v>401110</v>
      </c>
      <c r="W54" t="s">
        <v>406</v>
      </c>
      <c r="X54">
        <v>5</v>
      </c>
      <c r="Y54" t="s">
        <v>233</v>
      </c>
      <c r="Z54">
        <v>11256</v>
      </c>
      <c r="AD54">
        <v>263385</v>
      </c>
      <c r="AF54">
        <v>1423380</v>
      </c>
      <c r="AI54">
        <v>4</v>
      </c>
    </row>
    <row r="55" spans="1:35" hidden="1" x14ac:dyDescent="0.35">
      <c r="A55" t="s">
        <v>403</v>
      </c>
      <c r="B55">
        <v>2021</v>
      </c>
      <c r="C55">
        <v>2021</v>
      </c>
      <c r="D55">
        <v>2021</v>
      </c>
      <c r="E55">
        <v>6</v>
      </c>
      <c r="F55">
        <v>1</v>
      </c>
      <c r="G55">
        <v>1</v>
      </c>
      <c r="H55" t="s">
        <v>141</v>
      </c>
      <c r="I55">
        <v>699</v>
      </c>
      <c r="J55" t="s">
        <v>78</v>
      </c>
      <c r="K55" t="s">
        <v>404</v>
      </c>
      <c r="L55">
        <v>251</v>
      </c>
      <c r="M55" t="s">
        <v>175</v>
      </c>
      <c r="N55" t="s">
        <v>424</v>
      </c>
      <c r="V55">
        <v>401120</v>
      </c>
      <c r="W55" t="s">
        <v>407</v>
      </c>
      <c r="X55">
        <v>5</v>
      </c>
      <c r="Y55" t="s">
        <v>233</v>
      </c>
      <c r="Z55">
        <v>1399</v>
      </c>
      <c r="AD55">
        <v>280936</v>
      </c>
      <c r="AF55">
        <v>1117856</v>
      </c>
      <c r="AI55">
        <v>4</v>
      </c>
    </row>
    <row r="56" spans="1:35" hidden="1" x14ac:dyDescent="0.35">
      <c r="A56" t="s">
        <v>403</v>
      </c>
      <c r="B56">
        <v>2021</v>
      </c>
      <c r="C56">
        <v>2021</v>
      </c>
      <c r="D56">
        <v>2021</v>
      </c>
      <c r="E56">
        <v>6</v>
      </c>
      <c r="F56">
        <v>1</v>
      </c>
      <c r="G56">
        <v>1</v>
      </c>
      <c r="H56" t="s">
        <v>141</v>
      </c>
      <c r="I56">
        <v>699</v>
      </c>
      <c r="J56" t="s">
        <v>78</v>
      </c>
      <c r="K56" t="s">
        <v>404</v>
      </c>
      <c r="L56">
        <v>251</v>
      </c>
      <c r="M56" t="s">
        <v>175</v>
      </c>
      <c r="N56" t="s">
        <v>424</v>
      </c>
      <c r="V56">
        <v>401140</v>
      </c>
      <c r="W56" t="s">
        <v>408</v>
      </c>
      <c r="X56">
        <v>5</v>
      </c>
      <c r="Y56" t="s">
        <v>233</v>
      </c>
      <c r="Z56">
        <v>10</v>
      </c>
      <c r="AD56">
        <v>205</v>
      </c>
      <c r="AF56">
        <v>1471</v>
      </c>
      <c r="AI56">
        <v>4</v>
      </c>
    </row>
    <row r="57" spans="1:35" x14ac:dyDescent="0.35">
      <c r="C57">
        <v>2021</v>
      </c>
      <c r="D57">
        <v>2021</v>
      </c>
      <c r="E57">
        <v>6</v>
      </c>
      <c r="F57">
        <v>1</v>
      </c>
      <c r="G57">
        <v>1</v>
      </c>
      <c r="H57" t="s">
        <v>141</v>
      </c>
      <c r="I57">
        <v>700</v>
      </c>
      <c r="J57" t="s">
        <v>78</v>
      </c>
      <c r="K57" t="s">
        <v>404</v>
      </c>
      <c r="L57">
        <v>252</v>
      </c>
      <c r="M57" t="s">
        <v>175</v>
      </c>
      <c r="N57" t="s">
        <v>424</v>
      </c>
      <c r="V57">
        <v>4011</v>
      </c>
      <c r="Z57">
        <f>SUM(Z52:Z56)</f>
        <v>15232</v>
      </c>
      <c r="AA57">
        <f t="shared" ref="AA57:AI57" si="10">SUM(AA52:AA56)</f>
        <v>0</v>
      </c>
      <c r="AB57">
        <f t="shared" si="10"/>
        <v>0</v>
      </c>
      <c r="AC57">
        <f t="shared" si="10"/>
        <v>0</v>
      </c>
      <c r="AD57">
        <f t="shared" si="10"/>
        <v>1171642</v>
      </c>
      <c r="AE57">
        <f t="shared" si="10"/>
        <v>0</v>
      </c>
      <c r="AF57">
        <f t="shared" si="10"/>
        <v>5193197</v>
      </c>
      <c r="AG57">
        <f t="shared" si="10"/>
        <v>0</v>
      </c>
      <c r="AH57">
        <f t="shared" si="10"/>
        <v>0</v>
      </c>
      <c r="AI57">
        <f t="shared" si="10"/>
        <v>20</v>
      </c>
    </row>
    <row r="58" spans="1:35" hidden="1" x14ac:dyDescent="0.35">
      <c r="A58" t="s">
        <v>403</v>
      </c>
      <c r="B58">
        <v>2021</v>
      </c>
      <c r="C58">
        <v>2021</v>
      </c>
      <c r="D58">
        <v>2021</v>
      </c>
      <c r="E58">
        <v>6</v>
      </c>
      <c r="F58">
        <v>1</v>
      </c>
      <c r="G58">
        <v>1</v>
      </c>
      <c r="H58" t="s">
        <v>141</v>
      </c>
      <c r="I58">
        <v>699</v>
      </c>
      <c r="J58" t="s">
        <v>78</v>
      </c>
      <c r="K58" t="s">
        <v>404</v>
      </c>
      <c r="L58">
        <v>276</v>
      </c>
      <c r="M58" t="s">
        <v>170</v>
      </c>
      <c r="N58" t="s">
        <v>425</v>
      </c>
      <c r="V58">
        <v>401140</v>
      </c>
      <c r="W58" t="s">
        <v>408</v>
      </c>
      <c r="X58">
        <v>5</v>
      </c>
      <c r="Y58" t="s">
        <v>233</v>
      </c>
      <c r="Z58">
        <v>354</v>
      </c>
      <c r="AD58">
        <v>5745</v>
      </c>
      <c r="AF58">
        <v>41119</v>
      </c>
      <c r="AI58">
        <v>4</v>
      </c>
    </row>
    <row r="59" spans="1:35" hidden="1" x14ac:dyDescent="0.35">
      <c r="A59" t="s">
        <v>403</v>
      </c>
      <c r="B59">
        <v>2021</v>
      </c>
      <c r="C59">
        <v>2021</v>
      </c>
      <c r="D59">
        <v>2021</v>
      </c>
      <c r="E59">
        <v>6</v>
      </c>
      <c r="F59">
        <v>1</v>
      </c>
      <c r="G59">
        <v>1</v>
      </c>
      <c r="H59" t="s">
        <v>141</v>
      </c>
      <c r="I59">
        <v>699</v>
      </c>
      <c r="J59" t="s">
        <v>78</v>
      </c>
      <c r="K59" t="s">
        <v>404</v>
      </c>
      <c r="L59">
        <v>276</v>
      </c>
      <c r="M59" t="s">
        <v>170</v>
      </c>
      <c r="N59" t="s">
        <v>425</v>
      </c>
      <c r="V59">
        <v>401120</v>
      </c>
      <c r="W59" t="s">
        <v>407</v>
      </c>
      <c r="X59">
        <v>5</v>
      </c>
      <c r="Y59" t="s">
        <v>233</v>
      </c>
      <c r="Z59">
        <v>433</v>
      </c>
      <c r="AD59">
        <v>41751</v>
      </c>
      <c r="AF59">
        <v>166130</v>
      </c>
      <c r="AI59">
        <v>4</v>
      </c>
    </row>
    <row r="60" spans="1:35" hidden="1" x14ac:dyDescent="0.35">
      <c r="A60" t="s">
        <v>403</v>
      </c>
      <c r="B60">
        <v>2021</v>
      </c>
      <c r="C60">
        <v>2021</v>
      </c>
      <c r="D60">
        <v>2021</v>
      </c>
      <c r="E60">
        <v>6</v>
      </c>
      <c r="F60">
        <v>1</v>
      </c>
      <c r="G60">
        <v>1</v>
      </c>
      <c r="H60" t="s">
        <v>141</v>
      </c>
      <c r="I60">
        <v>699</v>
      </c>
      <c r="J60" t="s">
        <v>78</v>
      </c>
      <c r="K60" t="s">
        <v>404</v>
      </c>
      <c r="L60">
        <v>276</v>
      </c>
      <c r="M60" t="s">
        <v>170</v>
      </c>
      <c r="N60" t="s">
        <v>425</v>
      </c>
      <c r="V60">
        <v>401110</v>
      </c>
      <c r="W60" t="s">
        <v>406</v>
      </c>
      <c r="X60">
        <v>5</v>
      </c>
      <c r="Y60" t="s">
        <v>233</v>
      </c>
      <c r="Z60">
        <v>94959</v>
      </c>
      <c r="AD60">
        <v>1917032</v>
      </c>
      <c r="AF60">
        <v>10359962</v>
      </c>
      <c r="AI60">
        <v>4</v>
      </c>
    </row>
    <row r="61" spans="1:35" hidden="1" x14ac:dyDescent="0.35">
      <c r="A61" t="s">
        <v>403</v>
      </c>
      <c r="B61">
        <v>2021</v>
      </c>
      <c r="C61">
        <v>2021</v>
      </c>
      <c r="D61">
        <v>2021</v>
      </c>
      <c r="E61">
        <v>6</v>
      </c>
      <c r="F61">
        <v>1</v>
      </c>
      <c r="G61">
        <v>1</v>
      </c>
      <c r="H61" t="s">
        <v>141</v>
      </c>
      <c r="I61">
        <v>699</v>
      </c>
      <c r="J61" t="s">
        <v>78</v>
      </c>
      <c r="K61" t="s">
        <v>404</v>
      </c>
      <c r="L61">
        <v>276</v>
      </c>
      <c r="M61" t="s">
        <v>170</v>
      </c>
      <c r="N61" t="s">
        <v>425</v>
      </c>
      <c r="V61">
        <v>401180</v>
      </c>
      <c r="W61" t="s">
        <v>409</v>
      </c>
      <c r="X61">
        <v>5</v>
      </c>
      <c r="Y61" t="s">
        <v>233</v>
      </c>
      <c r="Z61">
        <v>2749</v>
      </c>
      <c r="AD61">
        <v>12402</v>
      </c>
      <c r="AF61">
        <v>52333</v>
      </c>
      <c r="AI61">
        <v>4</v>
      </c>
    </row>
    <row r="62" spans="1:35" hidden="1" x14ac:dyDescent="0.35">
      <c r="A62" t="s">
        <v>403</v>
      </c>
      <c r="B62">
        <v>2021</v>
      </c>
      <c r="C62">
        <v>2021</v>
      </c>
      <c r="D62">
        <v>2021</v>
      </c>
      <c r="E62">
        <v>6</v>
      </c>
      <c r="F62">
        <v>1</v>
      </c>
      <c r="G62">
        <v>1</v>
      </c>
      <c r="H62" t="s">
        <v>141</v>
      </c>
      <c r="I62">
        <v>699</v>
      </c>
      <c r="J62" t="s">
        <v>78</v>
      </c>
      <c r="K62" t="s">
        <v>404</v>
      </c>
      <c r="L62">
        <v>276</v>
      </c>
      <c r="M62" t="s">
        <v>170</v>
      </c>
      <c r="N62" t="s">
        <v>425</v>
      </c>
      <c r="V62">
        <v>401190</v>
      </c>
      <c r="W62" t="s">
        <v>411</v>
      </c>
      <c r="X62">
        <v>5</v>
      </c>
      <c r="Y62" t="s">
        <v>233</v>
      </c>
      <c r="Z62">
        <v>828</v>
      </c>
      <c r="AF62">
        <v>227950</v>
      </c>
      <c r="AI62">
        <v>4</v>
      </c>
    </row>
    <row r="63" spans="1:35" hidden="1" x14ac:dyDescent="0.35">
      <c r="A63" t="s">
        <v>403</v>
      </c>
      <c r="B63">
        <v>2021</v>
      </c>
      <c r="C63">
        <v>2021</v>
      </c>
      <c r="D63">
        <v>2021</v>
      </c>
      <c r="E63">
        <v>6</v>
      </c>
      <c r="F63">
        <v>1</v>
      </c>
      <c r="G63">
        <v>1</v>
      </c>
      <c r="H63" t="s">
        <v>141</v>
      </c>
      <c r="I63">
        <v>699</v>
      </c>
      <c r="J63" t="s">
        <v>78</v>
      </c>
      <c r="K63" t="s">
        <v>404</v>
      </c>
      <c r="L63">
        <v>276</v>
      </c>
      <c r="M63" t="s">
        <v>170</v>
      </c>
      <c r="N63" t="s">
        <v>425</v>
      </c>
      <c r="V63">
        <v>401170</v>
      </c>
      <c r="W63" t="s">
        <v>410</v>
      </c>
      <c r="X63">
        <v>5</v>
      </c>
      <c r="Y63" t="s">
        <v>233</v>
      </c>
      <c r="Z63">
        <v>20</v>
      </c>
      <c r="AD63">
        <v>4273</v>
      </c>
      <c r="AF63">
        <v>17206</v>
      </c>
      <c r="AI63">
        <v>4</v>
      </c>
    </row>
    <row r="64" spans="1:35" x14ac:dyDescent="0.35">
      <c r="C64">
        <v>2021</v>
      </c>
      <c r="D64">
        <v>2021</v>
      </c>
      <c r="E64">
        <v>6</v>
      </c>
      <c r="F64">
        <v>1</v>
      </c>
      <c r="G64">
        <v>1</v>
      </c>
      <c r="H64" t="s">
        <v>141</v>
      </c>
      <c r="I64">
        <v>700</v>
      </c>
      <c r="J64" t="s">
        <v>78</v>
      </c>
      <c r="K64" t="s">
        <v>404</v>
      </c>
      <c r="L64">
        <v>277</v>
      </c>
      <c r="M64" t="s">
        <v>170</v>
      </c>
      <c r="V64">
        <v>4011</v>
      </c>
      <c r="Z64">
        <f>SUM(Z58:Z63)</f>
        <v>99343</v>
      </c>
      <c r="AA64">
        <f t="shared" ref="AA64:AF64" si="11">SUM(AA58:AA63)</f>
        <v>0</v>
      </c>
      <c r="AB64">
        <f t="shared" si="11"/>
        <v>0</v>
      </c>
      <c r="AC64">
        <f t="shared" si="11"/>
        <v>0</v>
      </c>
      <c r="AD64">
        <f t="shared" si="11"/>
        <v>1981203</v>
      </c>
      <c r="AE64">
        <f t="shared" si="11"/>
        <v>0</v>
      </c>
      <c r="AF64">
        <f t="shared" si="11"/>
        <v>10864700</v>
      </c>
    </row>
    <row r="65" spans="1:35" hidden="1" x14ac:dyDescent="0.35">
      <c r="A65" t="s">
        <v>403</v>
      </c>
      <c r="B65">
        <v>2021</v>
      </c>
      <c r="C65">
        <v>2021</v>
      </c>
      <c r="D65">
        <v>2021</v>
      </c>
      <c r="E65">
        <v>6</v>
      </c>
      <c r="F65">
        <v>1</v>
      </c>
      <c r="G65">
        <v>1</v>
      </c>
      <c r="H65" t="s">
        <v>141</v>
      </c>
      <c r="I65">
        <v>699</v>
      </c>
      <c r="J65" t="s">
        <v>78</v>
      </c>
      <c r="K65" t="s">
        <v>404</v>
      </c>
      <c r="L65">
        <v>344</v>
      </c>
      <c r="M65" t="s">
        <v>347</v>
      </c>
      <c r="N65" t="s">
        <v>426</v>
      </c>
      <c r="V65">
        <v>401190</v>
      </c>
      <c r="W65" t="s">
        <v>411</v>
      </c>
      <c r="X65">
        <v>5</v>
      </c>
      <c r="Y65" t="s">
        <v>233</v>
      </c>
      <c r="Z65">
        <v>2</v>
      </c>
      <c r="AF65">
        <v>32</v>
      </c>
      <c r="AI65">
        <v>4</v>
      </c>
    </row>
    <row r="66" spans="1:35" hidden="1" x14ac:dyDescent="0.35">
      <c r="A66" t="s">
        <v>403</v>
      </c>
      <c r="B66">
        <v>2021</v>
      </c>
      <c r="C66">
        <v>2021</v>
      </c>
      <c r="D66">
        <v>2021</v>
      </c>
      <c r="E66">
        <v>6</v>
      </c>
      <c r="F66">
        <v>1</v>
      </c>
      <c r="G66">
        <v>1</v>
      </c>
      <c r="H66" t="s">
        <v>141</v>
      </c>
      <c r="I66">
        <v>699</v>
      </c>
      <c r="J66" t="s">
        <v>78</v>
      </c>
      <c r="K66" t="s">
        <v>404</v>
      </c>
      <c r="L66">
        <v>344</v>
      </c>
      <c r="M66" t="s">
        <v>347</v>
      </c>
      <c r="N66" t="s">
        <v>426</v>
      </c>
      <c r="V66">
        <v>401180</v>
      </c>
      <c r="W66" t="s">
        <v>409</v>
      </c>
      <c r="X66">
        <v>5</v>
      </c>
      <c r="Y66" t="s">
        <v>233</v>
      </c>
      <c r="Z66">
        <v>310</v>
      </c>
      <c r="AD66">
        <v>58738</v>
      </c>
      <c r="AF66">
        <v>247858</v>
      </c>
      <c r="AI66">
        <v>4</v>
      </c>
    </row>
    <row r="67" spans="1:35" x14ac:dyDescent="0.35">
      <c r="C67">
        <v>2021</v>
      </c>
      <c r="D67">
        <v>2021</v>
      </c>
      <c r="E67">
        <v>6</v>
      </c>
      <c r="F67">
        <v>1</v>
      </c>
      <c r="G67">
        <v>1</v>
      </c>
      <c r="H67" t="s">
        <v>141</v>
      </c>
      <c r="I67">
        <v>700</v>
      </c>
      <c r="J67" t="s">
        <v>78</v>
      </c>
      <c r="K67" t="s">
        <v>404</v>
      </c>
      <c r="L67">
        <v>345</v>
      </c>
      <c r="M67" t="s">
        <v>347</v>
      </c>
      <c r="N67" t="s">
        <v>426</v>
      </c>
      <c r="V67">
        <v>4011</v>
      </c>
      <c r="Z67">
        <f>SUM(Z65:Z66)</f>
        <v>312</v>
      </c>
      <c r="AA67">
        <f t="shared" ref="AA67:AF67" si="12">SUM(AA65:AA66)</f>
        <v>0</v>
      </c>
      <c r="AB67">
        <f t="shared" si="12"/>
        <v>0</v>
      </c>
      <c r="AC67">
        <f t="shared" si="12"/>
        <v>0</v>
      </c>
      <c r="AD67">
        <f t="shared" si="12"/>
        <v>58738</v>
      </c>
      <c r="AE67">
        <f t="shared" si="12"/>
        <v>0</v>
      </c>
      <c r="AF67">
        <f t="shared" si="12"/>
        <v>247890</v>
      </c>
    </row>
    <row r="68" spans="1:35" hidden="1" x14ac:dyDescent="0.35">
      <c r="A68" t="s">
        <v>403</v>
      </c>
      <c r="B68">
        <v>2021</v>
      </c>
      <c r="C68">
        <v>2021</v>
      </c>
      <c r="D68">
        <v>2021</v>
      </c>
      <c r="E68">
        <v>6</v>
      </c>
      <c r="F68">
        <v>1</v>
      </c>
      <c r="G68">
        <v>1</v>
      </c>
      <c r="H68" t="s">
        <v>141</v>
      </c>
      <c r="I68">
        <v>699</v>
      </c>
      <c r="J68" t="s">
        <v>78</v>
      </c>
      <c r="K68" t="s">
        <v>404</v>
      </c>
      <c r="L68">
        <v>348</v>
      </c>
      <c r="M68" t="s">
        <v>358</v>
      </c>
      <c r="N68" t="s">
        <v>427</v>
      </c>
      <c r="V68">
        <v>401180</v>
      </c>
      <c r="W68" t="s">
        <v>409</v>
      </c>
      <c r="X68">
        <v>5</v>
      </c>
      <c r="Y68" t="s">
        <v>233</v>
      </c>
      <c r="Z68">
        <v>4</v>
      </c>
      <c r="AD68">
        <v>20</v>
      </c>
      <c r="AF68">
        <v>87</v>
      </c>
      <c r="AI68">
        <v>4</v>
      </c>
    </row>
    <row r="69" spans="1:35" hidden="1" x14ac:dyDescent="0.35">
      <c r="A69" t="s">
        <v>403</v>
      </c>
      <c r="B69">
        <v>2021</v>
      </c>
      <c r="C69">
        <v>2021</v>
      </c>
      <c r="D69">
        <v>2021</v>
      </c>
      <c r="E69">
        <v>6</v>
      </c>
      <c r="F69">
        <v>1</v>
      </c>
      <c r="G69">
        <v>1</v>
      </c>
      <c r="H69" t="s">
        <v>141</v>
      </c>
      <c r="I69">
        <v>699</v>
      </c>
      <c r="J69" t="s">
        <v>78</v>
      </c>
      <c r="K69" t="s">
        <v>404</v>
      </c>
      <c r="L69">
        <v>348</v>
      </c>
      <c r="M69" t="s">
        <v>358</v>
      </c>
      <c r="N69" t="s">
        <v>427</v>
      </c>
      <c r="V69">
        <v>401110</v>
      </c>
      <c r="W69" t="s">
        <v>406</v>
      </c>
      <c r="X69">
        <v>5</v>
      </c>
      <c r="Y69" t="s">
        <v>233</v>
      </c>
      <c r="Z69">
        <v>41</v>
      </c>
      <c r="AD69">
        <v>1607</v>
      </c>
      <c r="AF69">
        <v>8688</v>
      </c>
      <c r="AI69">
        <v>4</v>
      </c>
    </row>
    <row r="70" spans="1:35" x14ac:dyDescent="0.35">
      <c r="C70">
        <v>2021</v>
      </c>
      <c r="D70">
        <v>2021</v>
      </c>
      <c r="E70">
        <v>6</v>
      </c>
      <c r="F70">
        <v>1</v>
      </c>
      <c r="G70">
        <v>1</v>
      </c>
      <c r="H70" t="s">
        <v>141</v>
      </c>
      <c r="I70">
        <v>700</v>
      </c>
      <c r="J70" t="s">
        <v>78</v>
      </c>
      <c r="K70" t="s">
        <v>404</v>
      </c>
      <c r="L70">
        <v>349</v>
      </c>
      <c r="M70" t="s">
        <v>358</v>
      </c>
      <c r="N70" t="s">
        <v>427</v>
      </c>
      <c r="V70">
        <v>4011</v>
      </c>
      <c r="Z70">
        <f>SUM(Z68:Z69)</f>
        <v>45</v>
      </c>
      <c r="AA70">
        <f t="shared" ref="AA70:AF70" si="13">SUM(AA68:AA69)</f>
        <v>0</v>
      </c>
      <c r="AB70">
        <f t="shared" si="13"/>
        <v>0</v>
      </c>
      <c r="AC70">
        <f t="shared" si="13"/>
        <v>0</v>
      </c>
      <c r="AD70">
        <f t="shared" si="13"/>
        <v>1627</v>
      </c>
      <c r="AE70">
        <f t="shared" si="13"/>
        <v>0</v>
      </c>
      <c r="AF70">
        <f t="shared" si="13"/>
        <v>8775</v>
      </c>
    </row>
    <row r="71" spans="1:35" hidden="1" x14ac:dyDescent="0.35">
      <c r="A71" t="s">
        <v>403</v>
      </c>
      <c r="B71">
        <v>2021</v>
      </c>
      <c r="C71">
        <v>2021</v>
      </c>
      <c r="D71">
        <v>2021</v>
      </c>
      <c r="E71">
        <v>6</v>
      </c>
      <c r="F71">
        <v>1</v>
      </c>
      <c r="G71">
        <v>1</v>
      </c>
      <c r="H71" t="s">
        <v>141</v>
      </c>
      <c r="I71">
        <v>699</v>
      </c>
      <c r="J71" t="s">
        <v>78</v>
      </c>
      <c r="K71" t="s">
        <v>404</v>
      </c>
      <c r="L71">
        <v>360</v>
      </c>
      <c r="M71" t="s">
        <v>328</v>
      </c>
      <c r="N71" t="s">
        <v>428</v>
      </c>
      <c r="V71">
        <v>401110</v>
      </c>
      <c r="W71" t="s">
        <v>406</v>
      </c>
      <c r="X71">
        <v>5</v>
      </c>
      <c r="Y71" t="s">
        <v>233</v>
      </c>
      <c r="Z71">
        <v>61125</v>
      </c>
      <c r="AD71">
        <v>338388</v>
      </c>
      <c r="AF71">
        <v>1828709</v>
      </c>
      <c r="AI71">
        <v>4</v>
      </c>
    </row>
    <row r="72" spans="1:35" hidden="1" x14ac:dyDescent="0.35">
      <c r="A72" t="s">
        <v>403</v>
      </c>
      <c r="B72">
        <v>2021</v>
      </c>
      <c r="C72">
        <v>2021</v>
      </c>
      <c r="D72">
        <v>2021</v>
      </c>
      <c r="E72">
        <v>6</v>
      </c>
      <c r="F72">
        <v>1</v>
      </c>
      <c r="G72">
        <v>1</v>
      </c>
      <c r="H72" t="s">
        <v>141</v>
      </c>
      <c r="I72">
        <v>699</v>
      </c>
      <c r="J72" t="s">
        <v>78</v>
      </c>
      <c r="K72" t="s">
        <v>404</v>
      </c>
      <c r="L72">
        <v>360</v>
      </c>
      <c r="M72" t="s">
        <v>328</v>
      </c>
      <c r="N72" t="s">
        <v>428</v>
      </c>
      <c r="V72">
        <v>401120</v>
      </c>
      <c r="W72" t="s">
        <v>407</v>
      </c>
      <c r="X72">
        <v>5</v>
      </c>
      <c r="Y72" t="s">
        <v>233</v>
      </c>
      <c r="Z72">
        <v>5</v>
      </c>
      <c r="AD72">
        <v>476</v>
      </c>
      <c r="AF72">
        <v>1896</v>
      </c>
      <c r="AI72">
        <v>4</v>
      </c>
    </row>
    <row r="73" spans="1:35" hidden="1" x14ac:dyDescent="0.35">
      <c r="A73" t="s">
        <v>403</v>
      </c>
      <c r="B73">
        <v>2021</v>
      </c>
      <c r="C73">
        <v>2021</v>
      </c>
      <c r="D73">
        <v>2021</v>
      </c>
      <c r="E73">
        <v>6</v>
      </c>
      <c r="F73">
        <v>1</v>
      </c>
      <c r="G73">
        <v>1</v>
      </c>
      <c r="H73" t="s">
        <v>141</v>
      </c>
      <c r="I73">
        <v>699</v>
      </c>
      <c r="J73" t="s">
        <v>78</v>
      </c>
      <c r="K73" t="s">
        <v>404</v>
      </c>
      <c r="L73">
        <v>360</v>
      </c>
      <c r="M73" t="s">
        <v>328</v>
      </c>
      <c r="N73" t="s">
        <v>428</v>
      </c>
      <c r="V73">
        <v>401140</v>
      </c>
      <c r="W73" t="s">
        <v>408</v>
      </c>
      <c r="X73">
        <v>5</v>
      </c>
      <c r="Y73" t="s">
        <v>233</v>
      </c>
      <c r="Z73">
        <v>44272</v>
      </c>
      <c r="AD73">
        <v>219342</v>
      </c>
      <c r="AF73">
        <v>1569875</v>
      </c>
      <c r="AI73">
        <v>4</v>
      </c>
    </row>
    <row r="74" spans="1:35" hidden="1" x14ac:dyDescent="0.35">
      <c r="A74" t="s">
        <v>403</v>
      </c>
      <c r="B74">
        <v>2021</v>
      </c>
      <c r="C74">
        <v>2021</v>
      </c>
      <c r="D74">
        <v>2021</v>
      </c>
      <c r="E74">
        <v>6</v>
      </c>
      <c r="F74">
        <v>1</v>
      </c>
      <c r="G74">
        <v>1</v>
      </c>
      <c r="H74" t="s">
        <v>141</v>
      </c>
      <c r="I74">
        <v>699</v>
      </c>
      <c r="J74" t="s">
        <v>78</v>
      </c>
      <c r="K74" t="s">
        <v>404</v>
      </c>
      <c r="L74">
        <v>360</v>
      </c>
      <c r="M74" t="s">
        <v>328</v>
      </c>
      <c r="N74" t="s">
        <v>428</v>
      </c>
      <c r="V74">
        <v>401190</v>
      </c>
      <c r="W74" t="s">
        <v>411</v>
      </c>
      <c r="X74">
        <v>5</v>
      </c>
      <c r="Y74" t="s">
        <v>233</v>
      </c>
      <c r="Z74">
        <v>1730</v>
      </c>
      <c r="AF74">
        <v>62890</v>
      </c>
      <c r="AI74">
        <v>4</v>
      </c>
    </row>
    <row r="75" spans="1:35" x14ac:dyDescent="0.35">
      <c r="C75">
        <v>2021</v>
      </c>
      <c r="D75">
        <v>2021</v>
      </c>
      <c r="E75">
        <v>6</v>
      </c>
      <c r="F75">
        <v>1</v>
      </c>
      <c r="G75">
        <v>1</v>
      </c>
      <c r="H75" t="s">
        <v>141</v>
      </c>
      <c r="I75">
        <v>700</v>
      </c>
      <c r="J75" t="s">
        <v>78</v>
      </c>
      <c r="K75" t="s">
        <v>404</v>
      </c>
      <c r="L75">
        <v>361</v>
      </c>
      <c r="M75" t="s">
        <v>328</v>
      </c>
      <c r="N75" t="s">
        <v>428</v>
      </c>
      <c r="V75">
        <v>4011</v>
      </c>
      <c r="W75" t="s">
        <v>411</v>
      </c>
      <c r="X75">
        <v>6</v>
      </c>
      <c r="Y75" t="s">
        <v>233</v>
      </c>
      <c r="Z75">
        <f>SUM(Z71:Z74)</f>
        <v>107132</v>
      </c>
      <c r="AA75">
        <f t="shared" ref="AA75:AF75" si="14">SUM(AA71:AA74)</f>
        <v>0</v>
      </c>
      <c r="AB75">
        <f t="shared" si="14"/>
        <v>0</v>
      </c>
      <c r="AC75">
        <f t="shared" si="14"/>
        <v>0</v>
      </c>
      <c r="AD75">
        <f t="shared" si="14"/>
        <v>558206</v>
      </c>
      <c r="AE75">
        <f t="shared" si="14"/>
        <v>0</v>
      </c>
      <c r="AF75">
        <f t="shared" si="14"/>
        <v>3463370</v>
      </c>
    </row>
    <row r="76" spans="1:35" hidden="1" x14ac:dyDescent="0.35">
      <c r="A76" t="s">
        <v>403</v>
      </c>
      <c r="B76">
        <v>2021</v>
      </c>
      <c r="C76">
        <v>2021</v>
      </c>
      <c r="D76">
        <v>2021</v>
      </c>
      <c r="E76">
        <v>6</v>
      </c>
      <c r="F76">
        <v>1</v>
      </c>
      <c r="G76">
        <v>1</v>
      </c>
      <c r="H76" t="s">
        <v>141</v>
      </c>
      <c r="I76">
        <v>699</v>
      </c>
      <c r="J76" t="s">
        <v>78</v>
      </c>
      <c r="K76" t="s">
        <v>404</v>
      </c>
      <c r="L76">
        <v>376</v>
      </c>
      <c r="M76" t="s">
        <v>352</v>
      </c>
      <c r="N76" t="s">
        <v>429</v>
      </c>
      <c r="V76">
        <v>401170</v>
      </c>
      <c r="W76" t="s">
        <v>410</v>
      </c>
      <c r="X76">
        <v>5</v>
      </c>
      <c r="Y76" t="s">
        <v>233</v>
      </c>
      <c r="Z76">
        <v>7</v>
      </c>
      <c r="AD76">
        <v>1520</v>
      </c>
      <c r="AF76">
        <v>6120</v>
      </c>
      <c r="AI76">
        <v>4</v>
      </c>
    </row>
    <row r="77" spans="1:35" hidden="1" x14ac:dyDescent="0.35">
      <c r="A77" t="s">
        <v>403</v>
      </c>
      <c r="B77">
        <v>2021</v>
      </c>
      <c r="C77">
        <v>2021</v>
      </c>
      <c r="D77">
        <v>2021</v>
      </c>
      <c r="E77">
        <v>6</v>
      </c>
      <c r="F77">
        <v>1</v>
      </c>
      <c r="G77">
        <v>1</v>
      </c>
      <c r="H77" t="s">
        <v>141</v>
      </c>
      <c r="I77">
        <v>699</v>
      </c>
      <c r="J77" t="s">
        <v>78</v>
      </c>
      <c r="K77" t="s">
        <v>404</v>
      </c>
      <c r="L77">
        <v>376</v>
      </c>
      <c r="M77" t="s">
        <v>352</v>
      </c>
      <c r="N77" t="s">
        <v>429</v>
      </c>
      <c r="V77">
        <v>401110</v>
      </c>
      <c r="W77" t="s">
        <v>406</v>
      </c>
      <c r="X77">
        <v>5</v>
      </c>
      <c r="Y77" t="s">
        <v>233</v>
      </c>
      <c r="Z77">
        <v>3673</v>
      </c>
      <c r="AD77">
        <v>20640</v>
      </c>
      <c r="AF77">
        <v>111544</v>
      </c>
      <c r="AI77">
        <v>4</v>
      </c>
    </row>
    <row r="78" spans="1:35" x14ac:dyDescent="0.35">
      <c r="C78">
        <v>2021</v>
      </c>
      <c r="D78">
        <v>2021</v>
      </c>
      <c r="E78">
        <v>6</v>
      </c>
      <c r="F78">
        <v>1</v>
      </c>
      <c r="G78">
        <v>1</v>
      </c>
      <c r="H78" t="s">
        <v>141</v>
      </c>
      <c r="I78">
        <v>700</v>
      </c>
      <c r="J78" t="s">
        <v>78</v>
      </c>
      <c r="K78" t="s">
        <v>404</v>
      </c>
      <c r="L78">
        <v>377</v>
      </c>
      <c r="M78" t="s">
        <v>352</v>
      </c>
      <c r="N78" t="s">
        <v>429</v>
      </c>
      <c r="V78">
        <v>4011</v>
      </c>
      <c r="Z78">
        <f>SUM(Z76:Z77)</f>
        <v>3680</v>
      </c>
      <c r="AA78">
        <f t="shared" ref="AA78:AF78" si="15">SUM(AA76:AA77)</f>
        <v>0</v>
      </c>
      <c r="AB78">
        <f t="shared" si="15"/>
        <v>0</v>
      </c>
      <c r="AC78">
        <f t="shared" si="15"/>
        <v>0</v>
      </c>
      <c r="AD78">
        <f t="shared" si="15"/>
        <v>22160</v>
      </c>
      <c r="AE78">
        <f t="shared" si="15"/>
        <v>0</v>
      </c>
      <c r="AF78">
        <f t="shared" si="15"/>
        <v>117664</v>
      </c>
    </row>
    <row r="79" spans="1:35" hidden="1" x14ac:dyDescent="0.35">
      <c r="A79" t="s">
        <v>403</v>
      </c>
      <c r="B79">
        <v>2021</v>
      </c>
      <c r="C79">
        <v>2021</v>
      </c>
      <c r="D79">
        <v>2021</v>
      </c>
      <c r="E79">
        <v>6</v>
      </c>
      <c r="F79">
        <v>1</v>
      </c>
      <c r="G79">
        <v>1</v>
      </c>
      <c r="H79" t="s">
        <v>141</v>
      </c>
      <c r="I79">
        <v>699</v>
      </c>
      <c r="J79" t="s">
        <v>78</v>
      </c>
      <c r="K79" t="s">
        <v>404</v>
      </c>
      <c r="L79">
        <v>381</v>
      </c>
      <c r="M79" t="s">
        <v>338</v>
      </c>
      <c r="N79" t="s">
        <v>430</v>
      </c>
      <c r="V79">
        <v>401110</v>
      </c>
      <c r="W79" t="s">
        <v>406</v>
      </c>
      <c r="X79">
        <v>5</v>
      </c>
      <c r="Y79" t="s">
        <v>233</v>
      </c>
      <c r="Z79">
        <v>3956</v>
      </c>
      <c r="AD79">
        <v>104873</v>
      </c>
      <c r="AF79">
        <v>566751</v>
      </c>
      <c r="AI79">
        <v>4</v>
      </c>
    </row>
    <row r="80" spans="1:35" hidden="1" x14ac:dyDescent="0.35">
      <c r="A80" t="s">
        <v>403</v>
      </c>
      <c r="B80">
        <v>2021</v>
      </c>
      <c r="C80">
        <v>2021</v>
      </c>
      <c r="D80">
        <v>2021</v>
      </c>
      <c r="E80">
        <v>6</v>
      </c>
      <c r="F80">
        <v>1</v>
      </c>
      <c r="G80">
        <v>1</v>
      </c>
      <c r="H80" t="s">
        <v>141</v>
      </c>
      <c r="I80">
        <v>699</v>
      </c>
      <c r="J80" t="s">
        <v>78</v>
      </c>
      <c r="K80" t="s">
        <v>404</v>
      </c>
      <c r="L80">
        <v>381</v>
      </c>
      <c r="M80" t="s">
        <v>338</v>
      </c>
      <c r="N80" t="s">
        <v>430</v>
      </c>
      <c r="V80">
        <v>401140</v>
      </c>
      <c r="W80" t="s">
        <v>408</v>
      </c>
      <c r="X80">
        <v>5</v>
      </c>
      <c r="Y80" t="s">
        <v>233</v>
      </c>
      <c r="Z80">
        <v>224</v>
      </c>
      <c r="AD80">
        <v>1767</v>
      </c>
      <c r="AF80">
        <v>12651</v>
      </c>
      <c r="AI80">
        <v>4</v>
      </c>
    </row>
    <row r="81" spans="1:35" hidden="1" x14ac:dyDescent="0.35">
      <c r="A81" t="s">
        <v>403</v>
      </c>
      <c r="B81">
        <v>2021</v>
      </c>
      <c r="C81">
        <v>2021</v>
      </c>
      <c r="D81">
        <v>2021</v>
      </c>
      <c r="E81">
        <v>6</v>
      </c>
      <c r="F81">
        <v>1</v>
      </c>
      <c r="G81">
        <v>1</v>
      </c>
      <c r="H81" t="s">
        <v>141</v>
      </c>
      <c r="I81">
        <v>699</v>
      </c>
      <c r="J81" t="s">
        <v>78</v>
      </c>
      <c r="K81" t="s">
        <v>404</v>
      </c>
      <c r="L81">
        <v>381</v>
      </c>
      <c r="M81" t="s">
        <v>338</v>
      </c>
      <c r="N81" t="s">
        <v>430</v>
      </c>
      <c r="V81">
        <v>401120</v>
      </c>
      <c r="W81" t="s">
        <v>407</v>
      </c>
      <c r="X81">
        <v>5</v>
      </c>
      <c r="Y81" t="s">
        <v>233</v>
      </c>
      <c r="Z81">
        <v>4125</v>
      </c>
      <c r="AD81">
        <v>394353</v>
      </c>
      <c r="AF81">
        <v>1569144</v>
      </c>
      <c r="AI81">
        <v>4</v>
      </c>
    </row>
    <row r="82" spans="1:35" hidden="1" x14ac:dyDescent="0.35">
      <c r="A82" t="s">
        <v>403</v>
      </c>
      <c r="B82">
        <v>2021</v>
      </c>
      <c r="C82">
        <v>2021</v>
      </c>
      <c r="D82">
        <v>2021</v>
      </c>
      <c r="E82">
        <v>6</v>
      </c>
      <c r="F82">
        <v>1</v>
      </c>
      <c r="G82">
        <v>1</v>
      </c>
      <c r="H82" t="s">
        <v>141</v>
      </c>
      <c r="I82">
        <v>699</v>
      </c>
      <c r="J82" t="s">
        <v>78</v>
      </c>
      <c r="K82" t="s">
        <v>404</v>
      </c>
      <c r="L82">
        <v>381</v>
      </c>
      <c r="M82" t="s">
        <v>338</v>
      </c>
      <c r="N82" t="s">
        <v>430</v>
      </c>
      <c r="V82">
        <v>401170</v>
      </c>
      <c r="W82" t="s">
        <v>410</v>
      </c>
      <c r="X82">
        <v>5</v>
      </c>
      <c r="Y82" t="s">
        <v>233</v>
      </c>
      <c r="Z82">
        <v>32</v>
      </c>
      <c r="AD82">
        <v>18417</v>
      </c>
      <c r="AF82">
        <v>74150</v>
      </c>
      <c r="AI82">
        <v>4</v>
      </c>
    </row>
    <row r="83" spans="1:35" hidden="1" x14ac:dyDescent="0.35">
      <c r="A83" t="s">
        <v>403</v>
      </c>
      <c r="B83">
        <v>2021</v>
      </c>
      <c r="C83">
        <v>2021</v>
      </c>
      <c r="D83">
        <v>2021</v>
      </c>
      <c r="E83">
        <v>6</v>
      </c>
      <c r="F83">
        <v>1</v>
      </c>
      <c r="G83">
        <v>1</v>
      </c>
      <c r="H83" t="s">
        <v>141</v>
      </c>
      <c r="I83">
        <v>699</v>
      </c>
      <c r="J83" t="s">
        <v>78</v>
      </c>
      <c r="K83" t="s">
        <v>404</v>
      </c>
      <c r="L83">
        <v>381</v>
      </c>
      <c r="M83" t="s">
        <v>338</v>
      </c>
      <c r="N83" t="s">
        <v>430</v>
      </c>
      <c r="V83">
        <v>401180</v>
      </c>
      <c r="W83" t="s">
        <v>409</v>
      </c>
      <c r="X83">
        <v>5</v>
      </c>
      <c r="Y83" t="s">
        <v>233</v>
      </c>
      <c r="Z83">
        <v>849</v>
      </c>
      <c r="AD83">
        <v>22983</v>
      </c>
      <c r="AF83">
        <v>96983</v>
      </c>
      <c r="AI83">
        <v>4</v>
      </c>
    </row>
    <row r="84" spans="1:35" x14ac:dyDescent="0.35">
      <c r="C84">
        <v>2021</v>
      </c>
      <c r="D84">
        <v>2021</v>
      </c>
      <c r="E84">
        <v>6</v>
      </c>
      <c r="F84">
        <v>1</v>
      </c>
      <c r="G84">
        <v>1</v>
      </c>
      <c r="H84" t="s">
        <v>141</v>
      </c>
      <c r="I84">
        <v>700</v>
      </c>
      <c r="J84" t="s">
        <v>78</v>
      </c>
      <c r="K84" t="s">
        <v>404</v>
      </c>
      <c r="L84">
        <v>382</v>
      </c>
      <c r="M84" t="s">
        <v>338</v>
      </c>
      <c r="N84" t="s">
        <v>430</v>
      </c>
      <c r="V84">
        <v>4011</v>
      </c>
      <c r="Z84">
        <f>SUM(Z79:Z83)</f>
        <v>9186</v>
      </c>
      <c r="AA84">
        <f t="shared" ref="AA84:AF84" si="16">SUM(AA79:AA83)</f>
        <v>0</v>
      </c>
      <c r="AB84">
        <f t="shared" si="16"/>
        <v>0</v>
      </c>
      <c r="AC84">
        <f t="shared" si="16"/>
        <v>0</v>
      </c>
      <c r="AD84">
        <f t="shared" si="16"/>
        <v>542393</v>
      </c>
      <c r="AE84">
        <f t="shared" si="16"/>
        <v>0</v>
      </c>
      <c r="AF84">
        <f t="shared" si="16"/>
        <v>2319679</v>
      </c>
    </row>
    <row r="85" spans="1:35" hidden="1" x14ac:dyDescent="0.35">
      <c r="A85" t="s">
        <v>403</v>
      </c>
      <c r="B85">
        <v>2021</v>
      </c>
      <c r="C85">
        <v>2021</v>
      </c>
      <c r="D85">
        <v>2021</v>
      </c>
      <c r="E85">
        <v>6</v>
      </c>
      <c r="F85">
        <v>1</v>
      </c>
      <c r="G85">
        <v>1</v>
      </c>
      <c r="H85" t="s">
        <v>141</v>
      </c>
      <c r="I85">
        <v>699</v>
      </c>
      <c r="J85" t="s">
        <v>78</v>
      </c>
      <c r="K85" t="s">
        <v>404</v>
      </c>
      <c r="L85">
        <v>392</v>
      </c>
      <c r="M85" t="s">
        <v>169</v>
      </c>
      <c r="N85" t="s">
        <v>431</v>
      </c>
      <c r="V85">
        <v>401180</v>
      </c>
      <c r="W85" t="s">
        <v>409</v>
      </c>
      <c r="X85">
        <v>5</v>
      </c>
      <c r="Y85" t="s">
        <v>233</v>
      </c>
      <c r="Z85">
        <v>9162</v>
      </c>
      <c r="AD85">
        <v>11469781</v>
      </c>
      <c r="AF85">
        <v>48399351</v>
      </c>
      <c r="AI85">
        <v>4</v>
      </c>
    </row>
    <row r="86" spans="1:35" hidden="1" x14ac:dyDescent="0.35">
      <c r="A86" t="s">
        <v>403</v>
      </c>
      <c r="B86">
        <v>2021</v>
      </c>
      <c r="C86">
        <v>2021</v>
      </c>
      <c r="D86">
        <v>2021</v>
      </c>
      <c r="E86">
        <v>6</v>
      </c>
      <c r="F86">
        <v>1</v>
      </c>
      <c r="G86">
        <v>1</v>
      </c>
      <c r="H86" t="s">
        <v>141</v>
      </c>
      <c r="I86">
        <v>699</v>
      </c>
      <c r="J86" t="s">
        <v>78</v>
      </c>
      <c r="K86" t="s">
        <v>404</v>
      </c>
      <c r="L86">
        <v>392</v>
      </c>
      <c r="M86" t="s">
        <v>169</v>
      </c>
      <c r="N86" t="s">
        <v>431</v>
      </c>
      <c r="V86">
        <v>401170</v>
      </c>
      <c r="W86" t="s">
        <v>410</v>
      </c>
      <c r="X86">
        <v>5</v>
      </c>
      <c r="Y86" t="s">
        <v>233</v>
      </c>
      <c r="Z86">
        <v>8</v>
      </c>
      <c r="AD86">
        <v>56</v>
      </c>
      <c r="AF86">
        <v>229</v>
      </c>
      <c r="AI86">
        <v>4</v>
      </c>
    </row>
    <row r="87" spans="1:35" hidden="1" x14ac:dyDescent="0.35">
      <c r="A87" t="s">
        <v>403</v>
      </c>
      <c r="B87">
        <v>2021</v>
      </c>
      <c r="C87">
        <v>2021</v>
      </c>
      <c r="D87">
        <v>2021</v>
      </c>
      <c r="E87">
        <v>6</v>
      </c>
      <c r="F87">
        <v>1</v>
      </c>
      <c r="G87">
        <v>1</v>
      </c>
      <c r="H87" t="s">
        <v>141</v>
      </c>
      <c r="I87">
        <v>699</v>
      </c>
      <c r="J87" t="s">
        <v>78</v>
      </c>
      <c r="K87" t="s">
        <v>404</v>
      </c>
      <c r="L87">
        <v>392</v>
      </c>
      <c r="M87" t="s">
        <v>169</v>
      </c>
      <c r="N87" t="s">
        <v>431</v>
      </c>
      <c r="V87">
        <v>401190</v>
      </c>
      <c r="W87" t="s">
        <v>411</v>
      </c>
      <c r="X87">
        <v>5</v>
      </c>
      <c r="Y87" t="s">
        <v>233</v>
      </c>
      <c r="Z87">
        <v>1126</v>
      </c>
      <c r="AF87">
        <v>5479351</v>
      </c>
      <c r="AI87">
        <v>4</v>
      </c>
    </row>
    <row r="88" spans="1:35" hidden="1" x14ac:dyDescent="0.35">
      <c r="A88" t="s">
        <v>403</v>
      </c>
      <c r="B88">
        <v>2021</v>
      </c>
      <c r="C88">
        <v>2021</v>
      </c>
      <c r="D88">
        <v>2021</v>
      </c>
      <c r="E88">
        <v>6</v>
      </c>
      <c r="F88">
        <v>1</v>
      </c>
      <c r="G88">
        <v>1</v>
      </c>
      <c r="H88" t="s">
        <v>141</v>
      </c>
      <c r="I88">
        <v>699</v>
      </c>
      <c r="J88" t="s">
        <v>78</v>
      </c>
      <c r="K88" t="s">
        <v>404</v>
      </c>
      <c r="L88">
        <v>392</v>
      </c>
      <c r="M88" t="s">
        <v>169</v>
      </c>
      <c r="N88" t="s">
        <v>431</v>
      </c>
      <c r="V88">
        <v>401120</v>
      </c>
      <c r="W88" t="s">
        <v>407</v>
      </c>
      <c r="X88">
        <v>5</v>
      </c>
      <c r="Y88" t="s">
        <v>233</v>
      </c>
      <c r="Z88">
        <v>10054</v>
      </c>
      <c r="AD88">
        <v>260355</v>
      </c>
      <c r="AF88">
        <v>1035960</v>
      </c>
      <c r="AI88">
        <v>4</v>
      </c>
    </row>
    <row r="89" spans="1:35" hidden="1" x14ac:dyDescent="0.35">
      <c r="A89" t="s">
        <v>403</v>
      </c>
      <c r="B89">
        <v>2021</v>
      </c>
      <c r="C89">
        <v>2021</v>
      </c>
      <c r="D89">
        <v>2021</v>
      </c>
      <c r="E89">
        <v>6</v>
      </c>
      <c r="F89">
        <v>1</v>
      </c>
      <c r="G89">
        <v>1</v>
      </c>
      <c r="H89" t="s">
        <v>141</v>
      </c>
      <c r="I89">
        <v>699</v>
      </c>
      <c r="J89" t="s">
        <v>78</v>
      </c>
      <c r="K89" t="s">
        <v>404</v>
      </c>
      <c r="L89">
        <v>392</v>
      </c>
      <c r="M89" t="s">
        <v>169</v>
      </c>
      <c r="N89" t="s">
        <v>431</v>
      </c>
      <c r="V89">
        <v>401140</v>
      </c>
      <c r="W89" t="s">
        <v>408</v>
      </c>
      <c r="X89">
        <v>5</v>
      </c>
      <c r="Y89" t="s">
        <v>233</v>
      </c>
      <c r="Z89">
        <v>13873</v>
      </c>
      <c r="AD89">
        <v>88495</v>
      </c>
      <c r="AF89">
        <v>633382</v>
      </c>
      <c r="AI89">
        <v>4</v>
      </c>
    </row>
    <row r="90" spans="1:35" hidden="1" x14ac:dyDescent="0.35">
      <c r="A90" t="s">
        <v>403</v>
      </c>
      <c r="B90">
        <v>2021</v>
      </c>
      <c r="C90">
        <v>2021</v>
      </c>
      <c r="D90">
        <v>2021</v>
      </c>
      <c r="E90">
        <v>6</v>
      </c>
      <c r="F90">
        <v>1</v>
      </c>
      <c r="G90">
        <v>1</v>
      </c>
      <c r="H90" t="s">
        <v>141</v>
      </c>
      <c r="I90">
        <v>699</v>
      </c>
      <c r="J90" t="s">
        <v>78</v>
      </c>
      <c r="K90" t="s">
        <v>404</v>
      </c>
      <c r="L90">
        <v>392</v>
      </c>
      <c r="M90" t="s">
        <v>169</v>
      </c>
      <c r="N90" t="s">
        <v>431</v>
      </c>
      <c r="V90">
        <v>401110</v>
      </c>
      <c r="W90" t="s">
        <v>406</v>
      </c>
      <c r="X90">
        <v>5</v>
      </c>
      <c r="Y90" t="s">
        <v>233</v>
      </c>
      <c r="Z90">
        <v>30934</v>
      </c>
      <c r="AD90">
        <v>516943</v>
      </c>
      <c r="AF90">
        <v>2793650</v>
      </c>
      <c r="AI90">
        <v>4</v>
      </c>
    </row>
    <row r="91" spans="1:35" x14ac:dyDescent="0.35">
      <c r="C91">
        <v>2021</v>
      </c>
      <c r="D91">
        <v>2021</v>
      </c>
      <c r="E91">
        <v>6</v>
      </c>
      <c r="F91">
        <v>1</v>
      </c>
      <c r="G91">
        <v>1</v>
      </c>
      <c r="H91" t="s">
        <v>141</v>
      </c>
      <c r="I91">
        <v>700</v>
      </c>
      <c r="J91" t="s">
        <v>78</v>
      </c>
      <c r="K91" t="s">
        <v>404</v>
      </c>
      <c r="L91">
        <v>393</v>
      </c>
      <c r="M91" t="s">
        <v>169</v>
      </c>
      <c r="N91" t="s">
        <v>431</v>
      </c>
      <c r="V91">
        <v>4011</v>
      </c>
      <c r="Z91">
        <f>SUM(Z85:Z90)</f>
        <v>65157</v>
      </c>
      <c r="AA91">
        <f t="shared" ref="AA91:AF91" si="17">SUM(AA85:AA90)</f>
        <v>0</v>
      </c>
      <c r="AB91">
        <f t="shared" si="17"/>
        <v>0</v>
      </c>
      <c r="AC91">
        <f t="shared" si="17"/>
        <v>0</v>
      </c>
      <c r="AD91">
        <f t="shared" si="17"/>
        <v>12335630</v>
      </c>
      <c r="AE91">
        <f t="shared" si="17"/>
        <v>0</v>
      </c>
      <c r="AF91">
        <f t="shared" si="17"/>
        <v>58341923</v>
      </c>
    </row>
    <row r="92" spans="1:35" hidden="1" x14ac:dyDescent="0.35">
      <c r="A92" t="s">
        <v>403</v>
      </c>
      <c r="B92">
        <v>2021</v>
      </c>
      <c r="C92">
        <v>2021</v>
      </c>
      <c r="D92">
        <v>2021</v>
      </c>
      <c r="E92">
        <v>6</v>
      </c>
      <c r="F92">
        <v>1</v>
      </c>
      <c r="G92">
        <v>1</v>
      </c>
      <c r="H92" t="s">
        <v>141</v>
      </c>
      <c r="I92">
        <v>699</v>
      </c>
      <c r="J92" t="s">
        <v>78</v>
      </c>
      <c r="K92" t="s">
        <v>404</v>
      </c>
      <c r="L92">
        <v>410</v>
      </c>
      <c r="M92" t="s">
        <v>234</v>
      </c>
      <c r="N92" t="s">
        <v>432</v>
      </c>
      <c r="V92">
        <v>401110</v>
      </c>
      <c r="W92" t="s">
        <v>406</v>
      </c>
      <c r="X92">
        <v>5</v>
      </c>
      <c r="Y92" t="s">
        <v>233</v>
      </c>
      <c r="Z92">
        <v>12993</v>
      </c>
      <c r="AD92">
        <v>148790</v>
      </c>
      <c r="AF92">
        <v>804090</v>
      </c>
      <c r="AI92">
        <v>4</v>
      </c>
    </row>
    <row r="93" spans="1:35" hidden="1" x14ac:dyDescent="0.35">
      <c r="A93" t="s">
        <v>403</v>
      </c>
      <c r="B93">
        <v>2021</v>
      </c>
      <c r="C93">
        <v>2021</v>
      </c>
      <c r="D93">
        <v>2021</v>
      </c>
      <c r="E93">
        <v>6</v>
      </c>
      <c r="F93">
        <v>1</v>
      </c>
      <c r="G93">
        <v>1</v>
      </c>
      <c r="H93" t="s">
        <v>141</v>
      </c>
      <c r="I93">
        <v>699</v>
      </c>
      <c r="J93" t="s">
        <v>78</v>
      </c>
      <c r="K93" t="s">
        <v>404</v>
      </c>
      <c r="L93">
        <v>410</v>
      </c>
      <c r="M93" t="s">
        <v>234</v>
      </c>
      <c r="N93" t="s">
        <v>432</v>
      </c>
      <c r="V93">
        <v>401140</v>
      </c>
      <c r="W93" t="s">
        <v>408</v>
      </c>
      <c r="X93">
        <v>5</v>
      </c>
      <c r="Y93" t="s">
        <v>233</v>
      </c>
      <c r="Z93">
        <v>17150</v>
      </c>
      <c r="AD93">
        <v>88401</v>
      </c>
      <c r="AF93">
        <v>632708</v>
      </c>
      <c r="AI93">
        <v>4</v>
      </c>
    </row>
    <row r="94" spans="1:35" hidden="1" x14ac:dyDescent="0.35">
      <c r="A94" t="s">
        <v>403</v>
      </c>
      <c r="B94">
        <v>2021</v>
      </c>
      <c r="C94">
        <v>2021</v>
      </c>
      <c r="D94">
        <v>2021</v>
      </c>
      <c r="E94">
        <v>6</v>
      </c>
      <c r="F94">
        <v>1</v>
      </c>
      <c r="G94">
        <v>1</v>
      </c>
      <c r="H94" t="s">
        <v>141</v>
      </c>
      <c r="I94">
        <v>699</v>
      </c>
      <c r="J94" t="s">
        <v>78</v>
      </c>
      <c r="K94" t="s">
        <v>404</v>
      </c>
      <c r="L94">
        <v>410</v>
      </c>
      <c r="M94" t="s">
        <v>234</v>
      </c>
      <c r="N94" t="s">
        <v>432</v>
      </c>
      <c r="V94">
        <v>401120</v>
      </c>
      <c r="W94" t="s">
        <v>407</v>
      </c>
      <c r="X94">
        <v>5</v>
      </c>
      <c r="Y94" t="s">
        <v>233</v>
      </c>
      <c r="Z94">
        <v>417</v>
      </c>
      <c r="AD94">
        <v>5946</v>
      </c>
      <c r="AF94">
        <v>23661</v>
      </c>
      <c r="AI94">
        <v>4</v>
      </c>
    </row>
    <row r="95" spans="1:35" hidden="1" x14ac:dyDescent="0.35">
      <c r="A95" t="s">
        <v>403</v>
      </c>
      <c r="B95">
        <v>2021</v>
      </c>
      <c r="C95">
        <v>2021</v>
      </c>
      <c r="D95">
        <v>2021</v>
      </c>
      <c r="E95">
        <v>6</v>
      </c>
      <c r="F95">
        <v>1</v>
      </c>
      <c r="G95">
        <v>1</v>
      </c>
      <c r="H95" t="s">
        <v>141</v>
      </c>
      <c r="I95">
        <v>699</v>
      </c>
      <c r="J95" t="s">
        <v>78</v>
      </c>
      <c r="K95" t="s">
        <v>404</v>
      </c>
      <c r="L95">
        <v>410</v>
      </c>
      <c r="M95" t="s">
        <v>234</v>
      </c>
      <c r="N95" t="s">
        <v>432</v>
      </c>
      <c r="V95">
        <v>401190</v>
      </c>
      <c r="W95" t="s">
        <v>411</v>
      </c>
      <c r="X95">
        <v>5</v>
      </c>
      <c r="Y95" t="s">
        <v>233</v>
      </c>
      <c r="Z95">
        <v>6</v>
      </c>
      <c r="AF95">
        <v>216</v>
      </c>
      <c r="AI95">
        <v>4</v>
      </c>
    </row>
    <row r="96" spans="1:35" hidden="1" x14ac:dyDescent="0.35">
      <c r="A96" t="s">
        <v>403</v>
      </c>
      <c r="B96">
        <v>2021</v>
      </c>
      <c r="C96">
        <v>2021</v>
      </c>
      <c r="D96">
        <v>2021</v>
      </c>
      <c r="E96">
        <v>6</v>
      </c>
      <c r="F96">
        <v>1</v>
      </c>
      <c r="G96">
        <v>1</v>
      </c>
      <c r="H96" t="s">
        <v>141</v>
      </c>
      <c r="I96">
        <v>699</v>
      </c>
      <c r="J96" t="s">
        <v>78</v>
      </c>
      <c r="K96" t="s">
        <v>404</v>
      </c>
      <c r="L96">
        <v>410</v>
      </c>
      <c r="M96" t="s">
        <v>234</v>
      </c>
      <c r="N96" t="s">
        <v>432</v>
      </c>
      <c r="V96">
        <v>401170</v>
      </c>
      <c r="W96" t="s">
        <v>410</v>
      </c>
      <c r="X96">
        <v>5</v>
      </c>
      <c r="Y96" t="s">
        <v>233</v>
      </c>
      <c r="Z96">
        <v>1724</v>
      </c>
      <c r="AD96">
        <v>42305</v>
      </c>
      <c r="AF96">
        <v>170323</v>
      </c>
      <c r="AI96">
        <v>4</v>
      </c>
    </row>
    <row r="97" spans="1:35" hidden="1" x14ac:dyDescent="0.35">
      <c r="A97" t="s">
        <v>403</v>
      </c>
      <c r="B97">
        <v>2021</v>
      </c>
      <c r="C97">
        <v>2021</v>
      </c>
      <c r="D97">
        <v>2021</v>
      </c>
      <c r="E97">
        <v>6</v>
      </c>
      <c r="F97">
        <v>1</v>
      </c>
      <c r="G97">
        <v>1</v>
      </c>
      <c r="H97" t="s">
        <v>141</v>
      </c>
      <c r="I97">
        <v>699</v>
      </c>
      <c r="J97" t="s">
        <v>78</v>
      </c>
      <c r="K97" t="s">
        <v>404</v>
      </c>
      <c r="L97">
        <v>410</v>
      </c>
      <c r="M97" t="s">
        <v>234</v>
      </c>
      <c r="N97" t="s">
        <v>432</v>
      </c>
      <c r="V97">
        <v>401180</v>
      </c>
      <c r="W97" t="s">
        <v>409</v>
      </c>
      <c r="X97">
        <v>5</v>
      </c>
      <c r="Y97" t="s">
        <v>233</v>
      </c>
      <c r="Z97">
        <v>968</v>
      </c>
      <c r="AD97">
        <v>83461</v>
      </c>
      <c r="AF97">
        <v>352184</v>
      </c>
      <c r="AI97">
        <v>4</v>
      </c>
    </row>
    <row r="98" spans="1:35" x14ac:dyDescent="0.35">
      <c r="C98">
        <v>2021</v>
      </c>
      <c r="D98">
        <v>2021</v>
      </c>
      <c r="E98">
        <v>6</v>
      </c>
      <c r="F98">
        <v>1</v>
      </c>
      <c r="G98">
        <v>1</v>
      </c>
      <c r="H98" t="s">
        <v>141</v>
      </c>
      <c r="I98">
        <v>700</v>
      </c>
      <c r="J98" t="s">
        <v>78</v>
      </c>
      <c r="K98" t="s">
        <v>404</v>
      </c>
      <c r="L98">
        <v>411</v>
      </c>
      <c r="M98" t="s">
        <v>234</v>
      </c>
      <c r="N98" t="s">
        <v>432</v>
      </c>
      <c r="V98">
        <v>4011</v>
      </c>
      <c r="Z98">
        <f>SUM(Z92:Z97)</f>
        <v>33258</v>
      </c>
      <c r="AA98">
        <f t="shared" ref="AA98:AF98" si="18">SUM(AA92:AA97)</f>
        <v>0</v>
      </c>
      <c r="AB98">
        <f t="shared" si="18"/>
        <v>0</v>
      </c>
      <c r="AC98">
        <f t="shared" si="18"/>
        <v>0</v>
      </c>
      <c r="AD98">
        <f t="shared" si="18"/>
        <v>368903</v>
      </c>
      <c r="AE98">
        <f t="shared" si="18"/>
        <v>0</v>
      </c>
      <c r="AF98">
        <f t="shared" si="18"/>
        <v>1983182</v>
      </c>
    </row>
    <row r="99" spans="1:35" x14ac:dyDescent="0.35">
      <c r="A99" t="s">
        <v>403</v>
      </c>
      <c r="B99">
        <v>2021</v>
      </c>
      <c r="C99">
        <v>2021</v>
      </c>
      <c r="D99">
        <v>2021</v>
      </c>
      <c r="E99">
        <v>6</v>
      </c>
      <c r="F99">
        <v>1</v>
      </c>
      <c r="G99">
        <v>1</v>
      </c>
      <c r="H99" t="s">
        <v>141</v>
      </c>
      <c r="I99">
        <v>699</v>
      </c>
      <c r="J99" t="s">
        <v>78</v>
      </c>
      <c r="K99" t="s">
        <v>404</v>
      </c>
      <c r="L99">
        <v>414</v>
      </c>
      <c r="M99" t="s">
        <v>366</v>
      </c>
      <c r="N99" t="s">
        <v>433</v>
      </c>
      <c r="V99">
        <v>4011</v>
      </c>
      <c r="W99" t="s">
        <v>408</v>
      </c>
      <c r="X99">
        <v>5</v>
      </c>
      <c r="Y99" t="s">
        <v>233</v>
      </c>
      <c r="Z99">
        <v>1</v>
      </c>
      <c r="AD99">
        <v>106</v>
      </c>
      <c r="AF99">
        <v>763</v>
      </c>
      <c r="AI99">
        <v>4</v>
      </c>
    </row>
    <row r="100" spans="1:35" x14ac:dyDescent="0.35">
      <c r="A100" t="s">
        <v>403</v>
      </c>
      <c r="B100">
        <v>2021</v>
      </c>
      <c r="C100">
        <v>2021</v>
      </c>
      <c r="D100">
        <v>2021</v>
      </c>
      <c r="E100">
        <v>6</v>
      </c>
      <c r="F100">
        <v>1</v>
      </c>
      <c r="G100">
        <v>1</v>
      </c>
      <c r="H100" t="s">
        <v>141</v>
      </c>
      <c r="I100">
        <v>699</v>
      </c>
      <c r="J100" t="s">
        <v>78</v>
      </c>
      <c r="K100" t="s">
        <v>404</v>
      </c>
      <c r="L100">
        <v>440</v>
      </c>
      <c r="M100" t="s">
        <v>356</v>
      </c>
      <c r="N100" t="s">
        <v>434</v>
      </c>
      <c r="V100">
        <v>4011</v>
      </c>
      <c r="W100" t="s">
        <v>409</v>
      </c>
      <c r="X100">
        <v>5</v>
      </c>
      <c r="Y100" t="s">
        <v>233</v>
      </c>
      <c r="Z100">
        <v>32</v>
      </c>
      <c r="AD100">
        <v>3753</v>
      </c>
      <c r="AF100">
        <v>15839</v>
      </c>
      <c r="AI100">
        <v>4</v>
      </c>
    </row>
    <row r="101" spans="1:35" hidden="1" x14ac:dyDescent="0.35">
      <c r="A101" t="s">
        <v>403</v>
      </c>
      <c r="B101">
        <v>2021</v>
      </c>
      <c r="C101">
        <v>2021</v>
      </c>
      <c r="D101">
        <v>2021</v>
      </c>
      <c r="E101">
        <v>6</v>
      </c>
      <c r="F101">
        <v>1</v>
      </c>
      <c r="G101">
        <v>1</v>
      </c>
      <c r="H101" t="s">
        <v>141</v>
      </c>
      <c r="I101">
        <v>699</v>
      </c>
      <c r="J101" t="s">
        <v>78</v>
      </c>
      <c r="K101" t="s">
        <v>404</v>
      </c>
      <c r="L101">
        <v>442</v>
      </c>
      <c r="M101" t="s">
        <v>346</v>
      </c>
      <c r="N101" t="s">
        <v>435</v>
      </c>
      <c r="V101">
        <v>401180</v>
      </c>
      <c r="W101" t="s">
        <v>409</v>
      </c>
      <c r="X101">
        <v>5</v>
      </c>
      <c r="Y101" t="s">
        <v>233</v>
      </c>
      <c r="Z101">
        <v>36</v>
      </c>
      <c r="AD101">
        <v>16181</v>
      </c>
      <c r="AF101">
        <v>68282</v>
      </c>
      <c r="AI101">
        <v>4</v>
      </c>
    </row>
    <row r="102" spans="1:35" hidden="1" x14ac:dyDescent="0.35">
      <c r="A102" t="s">
        <v>403</v>
      </c>
      <c r="B102">
        <v>2021</v>
      </c>
      <c r="C102">
        <v>2021</v>
      </c>
      <c r="D102">
        <v>2021</v>
      </c>
      <c r="E102">
        <v>6</v>
      </c>
      <c r="F102">
        <v>1</v>
      </c>
      <c r="G102">
        <v>1</v>
      </c>
      <c r="H102" t="s">
        <v>141</v>
      </c>
      <c r="I102">
        <v>699</v>
      </c>
      <c r="J102" t="s">
        <v>78</v>
      </c>
      <c r="K102" t="s">
        <v>404</v>
      </c>
      <c r="L102">
        <v>442</v>
      </c>
      <c r="M102" t="s">
        <v>346</v>
      </c>
      <c r="N102" t="s">
        <v>435</v>
      </c>
      <c r="V102">
        <v>401190</v>
      </c>
      <c r="W102" t="s">
        <v>411</v>
      </c>
      <c r="X102">
        <v>5</v>
      </c>
      <c r="Y102" t="s">
        <v>233</v>
      </c>
      <c r="Z102">
        <v>54</v>
      </c>
      <c r="AF102">
        <v>246541</v>
      </c>
      <c r="AI102">
        <v>4</v>
      </c>
    </row>
    <row r="103" spans="1:35" hidden="1" x14ac:dyDescent="0.35">
      <c r="A103" t="s">
        <v>403</v>
      </c>
      <c r="B103">
        <v>2021</v>
      </c>
      <c r="C103">
        <v>2021</v>
      </c>
      <c r="D103">
        <v>2021</v>
      </c>
      <c r="E103">
        <v>6</v>
      </c>
      <c r="F103">
        <v>1</v>
      </c>
      <c r="G103">
        <v>1</v>
      </c>
      <c r="H103" t="s">
        <v>141</v>
      </c>
      <c r="I103">
        <v>699</v>
      </c>
      <c r="J103" t="s">
        <v>78</v>
      </c>
      <c r="K103" t="s">
        <v>404</v>
      </c>
      <c r="L103">
        <v>442</v>
      </c>
      <c r="M103" t="s">
        <v>346</v>
      </c>
      <c r="N103" t="s">
        <v>435</v>
      </c>
      <c r="V103">
        <v>401110</v>
      </c>
      <c r="W103" t="s">
        <v>406</v>
      </c>
      <c r="X103">
        <v>5</v>
      </c>
      <c r="Y103" t="s">
        <v>233</v>
      </c>
      <c r="Z103">
        <v>34</v>
      </c>
      <c r="AD103">
        <v>514</v>
      </c>
      <c r="AF103">
        <v>2781</v>
      </c>
      <c r="AI103">
        <v>4</v>
      </c>
    </row>
    <row r="104" spans="1:35" x14ac:dyDescent="0.35">
      <c r="C104">
        <v>2021</v>
      </c>
      <c r="D104">
        <v>2021</v>
      </c>
      <c r="E104">
        <v>6</v>
      </c>
      <c r="F104">
        <v>1</v>
      </c>
      <c r="G104">
        <v>1</v>
      </c>
      <c r="H104" t="s">
        <v>141</v>
      </c>
      <c r="I104">
        <v>700</v>
      </c>
      <c r="J104" t="s">
        <v>78</v>
      </c>
      <c r="K104" t="s">
        <v>404</v>
      </c>
      <c r="L104">
        <v>443</v>
      </c>
      <c r="M104" t="s">
        <v>346</v>
      </c>
      <c r="N104" t="s">
        <v>435</v>
      </c>
      <c r="V104">
        <v>4011</v>
      </c>
      <c r="Z104">
        <f>SUM(Z101:Z103)</f>
        <v>124</v>
      </c>
      <c r="AA104">
        <f t="shared" ref="AA104:AF104" si="19">SUM(AA101:AA103)</f>
        <v>0</v>
      </c>
      <c r="AB104">
        <f t="shared" si="19"/>
        <v>0</v>
      </c>
      <c r="AC104">
        <f t="shared" si="19"/>
        <v>0</v>
      </c>
      <c r="AD104">
        <f t="shared" si="19"/>
        <v>16695</v>
      </c>
      <c r="AE104">
        <f t="shared" si="19"/>
        <v>0</v>
      </c>
      <c r="AF104">
        <f t="shared" si="19"/>
        <v>317604</v>
      </c>
    </row>
    <row r="105" spans="1:35" hidden="1" x14ac:dyDescent="0.35">
      <c r="A105" t="s">
        <v>403</v>
      </c>
      <c r="B105">
        <v>2021</v>
      </c>
      <c r="C105">
        <v>2021</v>
      </c>
      <c r="D105">
        <v>2021</v>
      </c>
      <c r="E105">
        <v>6</v>
      </c>
      <c r="F105">
        <v>1</v>
      </c>
      <c r="G105">
        <v>1</v>
      </c>
      <c r="H105" t="s">
        <v>141</v>
      </c>
      <c r="I105">
        <v>699</v>
      </c>
      <c r="J105" t="s">
        <v>78</v>
      </c>
      <c r="K105" t="s">
        <v>404</v>
      </c>
      <c r="L105">
        <v>458</v>
      </c>
      <c r="M105" t="s">
        <v>329</v>
      </c>
      <c r="N105" t="s">
        <v>436</v>
      </c>
      <c r="V105">
        <v>401110</v>
      </c>
      <c r="W105" t="s">
        <v>406</v>
      </c>
      <c r="X105">
        <v>5</v>
      </c>
      <c r="Y105" t="s">
        <v>233</v>
      </c>
      <c r="Z105">
        <v>3356</v>
      </c>
      <c r="AD105">
        <v>69712</v>
      </c>
      <c r="AF105">
        <v>376738</v>
      </c>
      <c r="AI105">
        <v>4</v>
      </c>
    </row>
    <row r="106" spans="1:35" hidden="1" x14ac:dyDescent="0.35">
      <c r="A106" t="s">
        <v>403</v>
      </c>
      <c r="B106">
        <v>2021</v>
      </c>
      <c r="C106">
        <v>2021</v>
      </c>
      <c r="D106">
        <v>2021</v>
      </c>
      <c r="E106">
        <v>6</v>
      </c>
      <c r="F106">
        <v>1</v>
      </c>
      <c r="G106">
        <v>1</v>
      </c>
      <c r="H106" t="s">
        <v>141</v>
      </c>
      <c r="I106">
        <v>699</v>
      </c>
      <c r="J106" t="s">
        <v>78</v>
      </c>
      <c r="K106" t="s">
        <v>404</v>
      </c>
      <c r="L106">
        <v>458</v>
      </c>
      <c r="M106" t="s">
        <v>329</v>
      </c>
      <c r="N106" t="s">
        <v>436</v>
      </c>
      <c r="V106">
        <v>401140</v>
      </c>
      <c r="W106" t="s">
        <v>408</v>
      </c>
      <c r="X106">
        <v>5</v>
      </c>
      <c r="Y106" t="s">
        <v>233</v>
      </c>
      <c r="Z106">
        <v>25846</v>
      </c>
      <c r="AD106">
        <v>114071</v>
      </c>
      <c r="AF106">
        <v>816433</v>
      </c>
      <c r="AI106">
        <v>4</v>
      </c>
    </row>
    <row r="107" spans="1:35" hidden="1" x14ac:dyDescent="0.35">
      <c r="A107" t="s">
        <v>403</v>
      </c>
      <c r="B107">
        <v>2021</v>
      </c>
      <c r="C107">
        <v>2021</v>
      </c>
      <c r="D107">
        <v>2021</v>
      </c>
      <c r="E107">
        <v>6</v>
      </c>
      <c r="F107">
        <v>1</v>
      </c>
      <c r="G107">
        <v>1</v>
      </c>
      <c r="H107" t="s">
        <v>141</v>
      </c>
      <c r="I107">
        <v>699</v>
      </c>
      <c r="J107" t="s">
        <v>78</v>
      </c>
      <c r="K107" t="s">
        <v>404</v>
      </c>
      <c r="L107">
        <v>458</v>
      </c>
      <c r="M107" t="s">
        <v>329</v>
      </c>
      <c r="N107" t="s">
        <v>436</v>
      </c>
      <c r="V107">
        <v>401190</v>
      </c>
      <c r="W107" t="s">
        <v>411</v>
      </c>
      <c r="X107">
        <v>5</v>
      </c>
      <c r="Y107" t="s">
        <v>233</v>
      </c>
      <c r="Z107">
        <v>13</v>
      </c>
      <c r="AF107">
        <v>22157</v>
      </c>
      <c r="AI107">
        <v>4</v>
      </c>
    </row>
    <row r="108" spans="1:35" hidden="1" x14ac:dyDescent="0.35">
      <c r="A108" t="s">
        <v>403</v>
      </c>
      <c r="B108">
        <v>2021</v>
      </c>
      <c r="C108">
        <v>2021</v>
      </c>
      <c r="D108">
        <v>2021</v>
      </c>
      <c r="E108">
        <v>6</v>
      </c>
      <c r="F108">
        <v>1</v>
      </c>
      <c r="G108">
        <v>1</v>
      </c>
      <c r="H108" t="s">
        <v>141</v>
      </c>
      <c r="I108">
        <v>699</v>
      </c>
      <c r="J108" t="s">
        <v>78</v>
      </c>
      <c r="K108" t="s">
        <v>404</v>
      </c>
      <c r="L108">
        <v>458</v>
      </c>
      <c r="M108" t="s">
        <v>329</v>
      </c>
      <c r="N108" t="s">
        <v>436</v>
      </c>
      <c r="V108">
        <v>401180</v>
      </c>
      <c r="W108" t="s">
        <v>409</v>
      </c>
      <c r="X108">
        <v>5</v>
      </c>
      <c r="Y108" t="s">
        <v>233</v>
      </c>
      <c r="Z108">
        <v>21</v>
      </c>
      <c r="AD108">
        <v>8547</v>
      </c>
      <c r="AF108">
        <v>36067</v>
      </c>
      <c r="AI108">
        <v>4</v>
      </c>
    </row>
    <row r="109" spans="1:35" x14ac:dyDescent="0.35">
      <c r="C109">
        <v>2021</v>
      </c>
      <c r="D109">
        <v>2021</v>
      </c>
      <c r="E109">
        <v>6</v>
      </c>
      <c r="F109">
        <v>1</v>
      </c>
      <c r="G109">
        <v>1</v>
      </c>
      <c r="H109" t="s">
        <v>141</v>
      </c>
      <c r="I109">
        <v>700</v>
      </c>
      <c r="J109" t="s">
        <v>78</v>
      </c>
      <c r="K109" t="s">
        <v>404</v>
      </c>
      <c r="L109">
        <v>459</v>
      </c>
      <c r="M109" t="s">
        <v>329</v>
      </c>
      <c r="N109" t="s">
        <v>436</v>
      </c>
      <c r="V109">
        <v>4011</v>
      </c>
      <c r="Z109">
        <f>SUM(Z105:Z108)</f>
        <v>29236</v>
      </c>
      <c r="AA109">
        <f t="shared" ref="AA109:AF109" si="20">SUM(AA105:AA108)</f>
        <v>0</v>
      </c>
      <c r="AB109">
        <f t="shared" si="20"/>
        <v>0</v>
      </c>
      <c r="AC109">
        <f t="shared" si="20"/>
        <v>0</v>
      </c>
      <c r="AD109">
        <f t="shared" si="20"/>
        <v>192330</v>
      </c>
      <c r="AE109">
        <f t="shared" si="20"/>
        <v>0</v>
      </c>
      <c r="AF109">
        <f t="shared" si="20"/>
        <v>1251395</v>
      </c>
    </row>
    <row r="110" spans="1:35" x14ac:dyDescent="0.35">
      <c r="A110" t="s">
        <v>403</v>
      </c>
      <c r="B110">
        <v>2021</v>
      </c>
      <c r="C110">
        <v>2021</v>
      </c>
      <c r="D110">
        <v>2021</v>
      </c>
      <c r="E110">
        <v>6</v>
      </c>
      <c r="F110">
        <v>1</v>
      </c>
      <c r="G110">
        <v>1</v>
      </c>
      <c r="H110" t="s">
        <v>141</v>
      </c>
      <c r="I110">
        <v>699</v>
      </c>
      <c r="J110" t="s">
        <v>78</v>
      </c>
      <c r="K110" t="s">
        <v>404</v>
      </c>
      <c r="L110">
        <v>484</v>
      </c>
      <c r="M110" t="s">
        <v>344</v>
      </c>
      <c r="N110" t="s">
        <v>437</v>
      </c>
      <c r="V110">
        <v>4011</v>
      </c>
      <c r="W110" t="s">
        <v>406</v>
      </c>
      <c r="X110">
        <v>5</v>
      </c>
      <c r="Y110" t="s">
        <v>233</v>
      </c>
      <c r="Z110">
        <v>5640</v>
      </c>
      <c r="AD110">
        <v>113410</v>
      </c>
      <c r="AF110">
        <v>612888</v>
      </c>
      <c r="AI110">
        <v>4</v>
      </c>
    </row>
    <row r="111" spans="1:35" hidden="1" x14ac:dyDescent="0.35">
      <c r="A111" t="s">
        <v>403</v>
      </c>
      <c r="B111">
        <v>2021</v>
      </c>
      <c r="C111">
        <v>2021</v>
      </c>
      <c r="D111">
        <v>2021</v>
      </c>
      <c r="E111">
        <v>6</v>
      </c>
      <c r="F111">
        <v>1</v>
      </c>
      <c r="G111">
        <v>1</v>
      </c>
      <c r="H111" t="s">
        <v>141</v>
      </c>
      <c r="I111">
        <v>699</v>
      </c>
      <c r="J111" t="s">
        <v>78</v>
      </c>
      <c r="K111" t="s">
        <v>404</v>
      </c>
      <c r="L111">
        <v>490</v>
      </c>
      <c r="M111" t="s">
        <v>438</v>
      </c>
      <c r="V111">
        <v>401110</v>
      </c>
      <c r="W111" t="s">
        <v>406</v>
      </c>
      <c r="X111">
        <v>5</v>
      </c>
      <c r="Y111" t="s">
        <v>233</v>
      </c>
      <c r="Z111">
        <v>8214</v>
      </c>
      <c r="AD111">
        <v>76923</v>
      </c>
      <c r="AF111">
        <v>415705</v>
      </c>
      <c r="AI111">
        <v>4</v>
      </c>
    </row>
    <row r="112" spans="1:35" hidden="1" x14ac:dyDescent="0.35">
      <c r="A112" t="s">
        <v>403</v>
      </c>
      <c r="B112">
        <v>2021</v>
      </c>
      <c r="C112">
        <v>2021</v>
      </c>
      <c r="D112">
        <v>2021</v>
      </c>
      <c r="E112">
        <v>6</v>
      </c>
      <c r="F112">
        <v>1</v>
      </c>
      <c r="G112">
        <v>1</v>
      </c>
      <c r="H112" t="s">
        <v>141</v>
      </c>
      <c r="I112">
        <v>699</v>
      </c>
      <c r="J112" t="s">
        <v>78</v>
      </c>
      <c r="K112" t="s">
        <v>404</v>
      </c>
      <c r="L112">
        <v>490</v>
      </c>
      <c r="M112" t="s">
        <v>438</v>
      </c>
      <c r="V112">
        <v>401140</v>
      </c>
      <c r="W112" t="s">
        <v>408</v>
      </c>
      <c r="X112">
        <v>5</v>
      </c>
      <c r="Y112" t="s">
        <v>233</v>
      </c>
      <c r="Z112">
        <v>1068</v>
      </c>
      <c r="AD112">
        <v>5563</v>
      </c>
      <c r="AF112">
        <v>39818</v>
      </c>
      <c r="AI112">
        <v>4</v>
      </c>
    </row>
    <row r="113" spans="1:35" hidden="1" x14ac:dyDescent="0.35">
      <c r="A113" t="s">
        <v>403</v>
      </c>
      <c r="B113">
        <v>2021</v>
      </c>
      <c r="C113">
        <v>2021</v>
      </c>
      <c r="D113">
        <v>2021</v>
      </c>
      <c r="E113">
        <v>6</v>
      </c>
      <c r="F113">
        <v>1</v>
      </c>
      <c r="G113">
        <v>1</v>
      </c>
      <c r="H113" t="s">
        <v>141</v>
      </c>
      <c r="I113">
        <v>699</v>
      </c>
      <c r="J113" t="s">
        <v>78</v>
      </c>
      <c r="K113" t="s">
        <v>404</v>
      </c>
      <c r="L113">
        <v>490</v>
      </c>
      <c r="M113" t="s">
        <v>438</v>
      </c>
      <c r="V113">
        <v>401120</v>
      </c>
      <c r="W113" t="s">
        <v>407</v>
      </c>
      <c r="X113">
        <v>5</v>
      </c>
      <c r="Y113" t="s">
        <v>233</v>
      </c>
      <c r="Z113">
        <v>200</v>
      </c>
      <c r="AD113">
        <v>2254</v>
      </c>
      <c r="AF113">
        <v>8971</v>
      </c>
      <c r="AI113">
        <v>4</v>
      </c>
    </row>
    <row r="114" spans="1:35" hidden="1" x14ac:dyDescent="0.35">
      <c r="A114" t="s">
        <v>403</v>
      </c>
      <c r="B114">
        <v>2021</v>
      </c>
      <c r="C114">
        <v>2021</v>
      </c>
      <c r="D114">
        <v>2021</v>
      </c>
      <c r="E114">
        <v>6</v>
      </c>
      <c r="F114">
        <v>1</v>
      </c>
      <c r="G114">
        <v>1</v>
      </c>
      <c r="H114" t="s">
        <v>141</v>
      </c>
      <c r="I114">
        <v>699</v>
      </c>
      <c r="J114" t="s">
        <v>78</v>
      </c>
      <c r="K114" t="s">
        <v>404</v>
      </c>
      <c r="L114">
        <v>490</v>
      </c>
      <c r="M114" t="s">
        <v>438</v>
      </c>
      <c r="V114">
        <v>401180</v>
      </c>
      <c r="W114" t="s">
        <v>409</v>
      </c>
      <c r="X114">
        <v>5</v>
      </c>
      <c r="Y114" t="s">
        <v>233</v>
      </c>
      <c r="Z114">
        <v>12</v>
      </c>
      <c r="AD114">
        <v>4384</v>
      </c>
      <c r="AF114">
        <v>18503</v>
      </c>
      <c r="AI114">
        <v>4</v>
      </c>
    </row>
    <row r="115" spans="1:35" hidden="1" x14ac:dyDescent="0.35">
      <c r="A115" t="s">
        <v>403</v>
      </c>
      <c r="B115">
        <v>2021</v>
      </c>
      <c r="C115">
        <v>2021</v>
      </c>
      <c r="D115">
        <v>2021</v>
      </c>
      <c r="E115">
        <v>6</v>
      </c>
      <c r="F115">
        <v>1</v>
      </c>
      <c r="G115">
        <v>1</v>
      </c>
      <c r="H115" t="s">
        <v>141</v>
      </c>
      <c r="I115">
        <v>699</v>
      </c>
      <c r="J115" t="s">
        <v>78</v>
      </c>
      <c r="K115" t="s">
        <v>404</v>
      </c>
      <c r="L115">
        <v>490</v>
      </c>
      <c r="M115" t="s">
        <v>438</v>
      </c>
      <c r="V115">
        <v>401190</v>
      </c>
      <c r="W115" t="s">
        <v>411</v>
      </c>
      <c r="X115">
        <v>5</v>
      </c>
      <c r="Y115" t="s">
        <v>233</v>
      </c>
      <c r="Z115">
        <v>105</v>
      </c>
      <c r="AF115">
        <v>3603</v>
      </c>
      <c r="AI115">
        <v>4</v>
      </c>
    </row>
    <row r="116" spans="1:35" hidden="1" x14ac:dyDescent="0.35">
      <c r="A116" t="s">
        <v>403</v>
      </c>
      <c r="B116">
        <v>2021</v>
      </c>
      <c r="C116">
        <v>2021</v>
      </c>
      <c r="D116">
        <v>2021</v>
      </c>
      <c r="E116">
        <v>6</v>
      </c>
      <c r="F116">
        <v>1</v>
      </c>
      <c r="G116">
        <v>1</v>
      </c>
      <c r="H116" t="s">
        <v>141</v>
      </c>
      <c r="I116">
        <v>699</v>
      </c>
      <c r="J116" t="s">
        <v>78</v>
      </c>
      <c r="K116" t="s">
        <v>404</v>
      </c>
      <c r="L116">
        <v>490</v>
      </c>
      <c r="M116" t="s">
        <v>438</v>
      </c>
      <c r="V116">
        <v>401170</v>
      </c>
      <c r="W116" t="s">
        <v>410</v>
      </c>
      <c r="X116">
        <v>5</v>
      </c>
      <c r="Y116" t="s">
        <v>233</v>
      </c>
      <c r="Z116">
        <v>201</v>
      </c>
      <c r="AD116">
        <v>2411</v>
      </c>
      <c r="AF116">
        <v>9709</v>
      </c>
      <c r="AI116">
        <v>4</v>
      </c>
    </row>
    <row r="117" spans="1:35" x14ac:dyDescent="0.35">
      <c r="A117" t="s">
        <v>403</v>
      </c>
      <c r="B117">
        <v>2021</v>
      </c>
      <c r="C117">
        <v>2021</v>
      </c>
      <c r="D117">
        <v>2021</v>
      </c>
      <c r="E117">
        <v>6</v>
      </c>
      <c r="F117">
        <v>1</v>
      </c>
      <c r="G117">
        <v>1</v>
      </c>
      <c r="H117" t="s">
        <v>141</v>
      </c>
      <c r="I117">
        <v>699</v>
      </c>
      <c r="J117" t="s">
        <v>78</v>
      </c>
      <c r="K117" t="s">
        <v>404</v>
      </c>
      <c r="L117">
        <v>504</v>
      </c>
      <c r="M117" t="s">
        <v>367</v>
      </c>
      <c r="N117" t="s">
        <v>439</v>
      </c>
      <c r="V117">
        <v>4011</v>
      </c>
      <c r="W117" t="s">
        <v>410</v>
      </c>
      <c r="X117">
        <v>5</v>
      </c>
      <c r="Y117" t="s">
        <v>233</v>
      </c>
      <c r="Z117">
        <v>1</v>
      </c>
      <c r="AD117">
        <v>161</v>
      </c>
      <c r="AF117">
        <v>651</v>
      </c>
      <c r="AI117">
        <v>4</v>
      </c>
    </row>
    <row r="118" spans="1:35" hidden="1" x14ac:dyDescent="0.35">
      <c r="A118" t="s">
        <v>403</v>
      </c>
      <c r="B118">
        <v>2021</v>
      </c>
      <c r="C118">
        <v>2021</v>
      </c>
      <c r="D118">
        <v>2021</v>
      </c>
      <c r="E118">
        <v>6</v>
      </c>
      <c r="F118">
        <v>1</v>
      </c>
      <c r="G118">
        <v>1</v>
      </c>
      <c r="H118" t="s">
        <v>141</v>
      </c>
      <c r="I118">
        <v>699</v>
      </c>
      <c r="J118" t="s">
        <v>78</v>
      </c>
      <c r="K118" t="s">
        <v>404</v>
      </c>
      <c r="L118">
        <v>528</v>
      </c>
      <c r="M118" t="s">
        <v>342</v>
      </c>
      <c r="N118" t="s">
        <v>440</v>
      </c>
      <c r="V118">
        <v>401170</v>
      </c>
      <c r="W118" t="s">
        <v>410</v>
      </c>
      <c r="X118">
        <v>5</v>
      </c>
      <c r="Y118" t="s">
        <v>233</v>
      </c>
      <c r="Z118">
        <v>17</v>
      </c>
      <c r="AD118">
        <v>7130</v>
      </c>
      <c r="AF118">
        <v>28706</v>
      </c>
      <c r="AI118">
        <v>4</v>
      </c>
    </row>
    <row r="119" spans="1:35" hidden="1" x14ac:dyDescent="0.35">
      <c r="A119" t="s">
        <v>403</v>
      </c>
      <c r="B119">
        <v>2021</v>
      </c>
      <c r="C119">
        <v>2021</v>
      </c>
      <c r="D119">
        <v>2021</v>
      </c>
      <c r="E119">
        <v>6</v>
      </c>
      <c r="F119">
        <v>1</v>
      </c>
      <c r="G119">
        <v>1</v>
      </c>
      <c r="H119" t="s">
        <v>141</v>
      </c>
      <c r="I119">
        <v>699</v>
      </c>
      <c r="J119" t="s">
        <v>78</v>
      </c>
      <c r="K119" t="s">
        <v>404</v>
      </c>
      <c r="L119">
        <v>528</v>
      </c>
      <c r="M119" t="s">
        <v>342</v>
      </c>
      <c r="N119" t="s">
        <v>440</v>
      </c>
      <c r="V119">
        <v>401190</v>
      </c>
      <c r="W119" t="s">
        <v>411</v>
      </c>
      <c r="X119">
        <v>5</v>
      </c>
      <c r="Y119" t="s">
        <v>233</v>
      </c>
      <c r="Z119">
        <v>6</v>
      </c>
      <c r="AF119">
        <v>10318</v>
      </c>
      <c r="AI119">
        <v>4</v>
      </c>
    </row>
    <row r="120" spans="1:35" hidden="1" x14ac:dyDescent="0.35">
      <c r="A120" t="s">
        <v>403</v>
      </c>
      <c r="B120">
        <v>2021</v>
      </c>
      <c r="C120">
        <v>2021</v>
      </c>
      <c r="D120">
        <v>2021</v>
      </c>
      <c r="E120">
        <v>6</v>
      </c>
      <c r="F120">
        <v>1</v>
      </c>
      <c r="G120">
        <v>1</v>
      </c>
      <c r="H120" t="s">
        <v>141</v>
      </c>
      <c r="I120">
        <v>699</v>
      </c>
      <c r="J120" t="s">
        <v>78</v>
      </c>
      <c r="K120" t="s">
        <v>404</v>
      </c>
      <c r="L120">
        <v>528</v>
      </c>
      <c r="M120" t="s">
        <v>342</v>
      </c>
      <c r="N120" t="s">
        <v>440</v>
      </c>
      <c r="V120">
        <v>401180</v>
      </c>
      <c r="W120" t="s">
        <v>409</v>
      </c>
      <c r="X120">
        <v>5</v>
      </c>
      <c r="Y120" t="s">
        <v>233</v>
      </c>
      <c r="Z120">
        <v>102</v>
      </c>
      <c r="AD120">
        <v>17479</v>
      </c>
      <c r="AF120">
        <v>73760</v>
      </c>
      <c r="AI120">
        <v>4</v>
      </c>
    </row>
    <row r="121" spans="1:35" hidden="1" x14ac:dyDescent="0.35">
      <c r="A121" t="s">
        <v>403</v>
      </c>
      <c r="B121">
        <v>2021</v>
      </c>
      <c r="C121">
        <v>2021</v>
      </c>
      <c r="D121">
        <v>2021</v>
      </c>
      <c r="E121">
        <v>6</v>
      </c>
      <c r="F121">
        <v>1</v>
      </c>
      <c r="G121">
        <v>1</v>
      </c>
      <c r="H121" t="s">
        <v>141</v>
      </c>
      <c r="I121">
        <v>699</v>
      </c>
      <c r="J121" t="s">
        <v>78</v>
      </c>
      <c r="K121" t="s">
        <v>404</v>
      </c>
      <c r="L121">
        <v>528</v>
      </c>
      <c r="M121" t="s">
        <v>342</v>
      </c>
      <c r="N121" t="s">
        <v>440</v>
      </c>
      <c r="V121">
        <v>401120</v>
      </c>
      <c r="W121" t="s">
        <v>407</v>
      </c>
      <c r="X121">
        <v>5</v>
      </c>
      <c r="Y121" t="s">
        <v>233</v>
      </c>
      <c r="Z121">
        <v>16</v>
      </c>
      <c r="AD121">
        <v>2083</v>
      </c>
      <c r="AF121">
        <v>8290</v>
      </c>
      <c r="AI121">
        <v>4</v>
      </c>
    </row>
    <row r="122" spans="1:35" hidden="1" x14ac:dyDescent="0.35">
      <c r="A122" t="s">
        <v>403</v>
      </c>
      <c r="B122">
        <v>2021</v>
      </c>
      <c r="C122">
        <v>2021</v>
      </c>
      <c r="D122">
        <v>2021</v>
      </c>
      <c r="E122">
        <v>6</v>
      </c>
      <c r="F122">
        <v>1</v>
      </c>
      <c r="G122">
        <v>1</v>
      </c>
      <c r="H122" t="s">
        <v>141</v>
      </c>
      <c r="I122">
        <v>699</v>
      </c>
      <c r="J122" t="s">
        <v>78</v>
      </c>
      <c r="K122" t="s">
        <v>404</v>
      </c>
      <c r="L122">
        <v>528</v>
      </c>
      <c r="M122" t="s">
        <v>342</v>
      </c>
      <c r="N122" t="s">
        <v>440</v>
      </c>
      <c r="V122">
        <v>401140</v>
      </c>
      <c r="W122" t="s">
        <v>408</v>
      </c>
      <c r="X122">
        <v>5</v>
      </c>
      <c r="Y122" t="s">
        <v>233</v>
      </c>
      <c r="Z122">
        <v>69</v>
      </c>
      <c r="AD122">
        <v>1485</v>
      </c>
      <c r="AF122">
        <v>10630</v>
      </c>
      <c r="AI122">
        <v>4</v>
      </c>
    </row>
    <row r="123" spans="1:35" hidden="1" x14ac:dyDescent="0.35">
      <c r="A123" t="s">
        <v>403</v>
      </c>
      <c r="B123">
        <v>2021</v>
      </c>
      <c r="C123">
        <v>2021</v>
      </c>
      <c r="D123">
        <v>2021</v>
      </c>
      <c r="E123">
        <v>6</v>
      </c>
      <c r="F123">
        <v>1</v>
      </c>
      <c r="G123">
        <v>1</v>
      </c>
      <c r="H123" t="s">
        <v>141</v>
      </c>
      <c r="I123">
        <v>699</v>
      </c>
      <c r="J123" t="s">
        <v>78</v>
      </c>
      <c r="K123" t="s">
        <v>404</v>
      </c>
      <c r="L123">
        <v>528</v>
      </c>
      <c r="M123" t="s">
        <v>342</v>
      </c>
      <c r="N123" t="s">
        <v>440</v>
      </c>
      <c r="V123">
        <v>401110</v>
      </c>
      <c r="W123" t="s">
        <v>406</v>
      </c>
      <c r="X123">
        <v>5</v>
      </c>
      <c r="Y123" t="s">
        <v>233</v>
      </c>
      <c r="Z123">
        <v>8682</v>
      </c>
      <c r="AD123">
        <v>184038</v>
      </c>
      <c r="AF123">
        <v>994575</v>
      </c>
      <c r="AI123">
        <v>4</v>
      </c>
    </row>
    <row r="124" spans="1:35" x14ac:dyDescent="0.35">
      <c r="C124">
        <v>2021</v>
      </c>
      <c r="D124">
        <v>2021</v>
      </c>
      <c r="E124">
        <v>6</v>
      </c>
      <c r="F124">
        <v>1</v>
      </c>
      <c r="G124">
        <v>1</v>
      </c>
      <c r="H124" t="s">
        <v>141</v>
      </c>
      <c r="I124">
        <v>700</v>
      </c>
      <c r="J124" t="s">
        <v>78</v>
      </c>
      <c r="K124" t="s">
        <v>404</v>
      </c>
      <c r="L124">
        <v>529</v>
      </c>
      <c r="M124" t="s">
        <v>342</v>
      </c>
      <c r="N124" t="s">
        <v>440</v>
      </c>
      <c r="V124">
        <v>4011</v>
      </c>
      <c r="Z124">
        <f>SUM(Z118:Z123)</f>
        <v>8892</v>
      </c>
      <c r="AA124">
        <f t="shared" ref="AA124:AF124" si="21">SUM(AA118:AA123)</f>
        <v>0</v>
      </c>
      <c r="AB124">
        <f t="shared" si="21"/>
        <v>0</v>
      </c>
      <c r="AC124">
        <f t="shared" si="21"/>
        <v>0</v>
      </c>
      <c r="AD124">
        <f t="shared" si="21"/>
        <v>212215</v>
      </c>
      <c r="AE124">
        <f t="shared" si="21"/>
        <v>0</v>
      </c>
      <c r="AF124">
        <f t="shared" si="21"/>
        <v>1126279</v>
      </c>
    </row>
    <row r="125" spans="1:35" x14ac:dyDescent="0.35">
      <c r="A125" t="s">
        <v>403</v>
      </c>
      <c r="B125">
        <v>2021</v>
      </c>
      <c r="C125">
        <v>2021</v>
      </c>
      <c r="D125">
        <v>2021</v>
      </c>
      <c r="E125">
        <v>6</v>
      </c>
      <c r="F125">
        <v>1</v>
      </c>
      <c r="G125">
        <v>1</v>
      </c>
      <c r="H125" t="s">
        <v>141</v>
      </c>
      <c r="I125">
        <v>699</v>
      </c>
      <c r="J125" t="s">
        <v>78</v>
      </c>
      <c r="K125" t="s">
        <v>404</v>
      </c>
      <c r="L125">
        <v>531</v>
      </c>
      <c r="M125" t="s">
        <v>372</v>
      </c>
      <c r="N125" t="s">
        <v>441</v>
      </c>
      <c r="V125">
        <v>4011</v>
      </c>
      <c r="W125" t="s">
        <v>406</v>
      </c>
      <c r="X125">
        <v>5</v>
      </c>
      <c r="Y125" t="s">
        <v>233</v>
      </c>
      <c r="Z125">
        <v>1</v>
      </c>
      <c r="AD125">
        <v>9</v>
      </c>
      <c r="AF125">
        <v>51</v>
      </c>
      <c r="AI125">
        <v>4</v>
      </c>
    </row>
    <row r="126" spans="1:35" hidden="1" x14ac:dyDescent="0.35">
      <c r="A126" t="s">
        <v>403</v>
      </c>
      <c r="B126">
        <v>2021</v>
      </c>
      <c r="C126">
        <v>2021</v>
      </c>
      <c r="D126">
        <v>2021</v>
      </c>
      <c r="E126">
        <v>6</v>
      </c>
      <c r="F126">
        <v>1</v>
      </c>
      <c r="G126">
        <v>1</v>
      </c>
      <c r="H126" t="s">
        <v>141</v>
      </c>
      <c r="I126">
        <v>699</v>
      </c>
      <c r="J126" t="s">
        <v>78</v>
      </c>
      <c r="K126" t="s">
        <v>404</v>
      </c>
      <c r="L126">
        <v>566</v>
      </c>
      <c r="M126" t="s">
        <v>370</v>
      </c>
      <c r="N126" t="s">
        <v>442</v>
      </c>
      <c r="V126">
        <v>401110</v>
      </c>
      <c r="W126" t="s">
        <v>406</v>
      </c>
      <c r="X126">
        <v>5</v>
      </c>
      <c r="Y126" t="s">
        <v>233</v>
      </c>
      <c r="Z126">
        <v>1</v>
      </c>
      <c r="AD126">
        <v>3</v>
      </c>
      <c r="AF126">
        <v>19</v>
      </c>
      <c r="AI126">
        <v>4</v>
      </c>
    </row>
    <row r="127" spans="1:35" hidden="1" x14ac:dyDescent="0.35">
      <c r="A127" t="s">
        <v>403</v>
      </c>
      <c r="B127">
        <v>2021</v>
      </c>
      <c r="C127">
        <v>2021</v>
      </c>
      <c r="D127">
        <v>2021</v>
      </c>
      <c r="E127">
        <v>6</v>
      </c>
      <c r="F127">
        <v>1</v>
      </c>
      <c r="G127">
        <v>1</v>
      </c>
      <c r="H127" t="s">
        <v>141</v>
      </c>
      <c r="I127">
        <v>699</v>
      </c>
      <c r="J127" t="s">
        <v>78</v>
      </c>
      <c r="K127" t="s">
        <v>404</v>
      </c>
      <c r="L127">
        <v>566</v>
      </c>
      <c r="M127" t="s">
        <v>370</v>
      </c>
      <c r="N127" t="s">
        <v>442</v>
      </c>
      <c r="V127">
        <v>401120</v>
      </c>
      <c r="W127" t="s">
        <v>407</v>
      </c>
      <c r="X127">
        <v>5</v>
      </c>
      <c r="Y127" t="s">
        <v>233</v>
      </c>
      <c r="Z127">
        <v>3</v>
      </c>
      <c r="AD127">
        <v>39</v>
      </c>
      <c r="AF127">
        <v>155</v>
      </c>
      <c r="AI127">
        <v>4</v>
      </c>
    </row>
    <row r="128" spans="1:35" x14ac:dyDescent="0.35">
      <c r="C128">
        <v>2021</v>
      </c>
      <c r="D128">
        <v>2021</v>
      </c>
      <c r="E128">
        <v>6</v>
      </c>
      <c r="F128">
        <v>1</v>
      </c>
      <c r="G128">
        <v>1</v>
      </c>
      <c r="H128" t="s">
        <v>141</v>
      </c>
      <c r="I128">
        <v>700</v>
      </c>
      <c r="J128" t="s">
        <v>78</v>
      </c>
      <c r="K128" t="s">
        <v>404</v>
      </c>
      <c r="L128">
        <v>567</v>
      </c>
      <c r="M128" t="s">
        <v>370</v>
      </c>
      <c r="N128" t="s">
        <v>442</v>
      </c>
      <c r="V128">
        <v>4011</v>
      </c>
      <c r="Z128">
        <f>SUM(Z126:Z127)</f>
        <v>4</v>
      </c>
      <c r="AA128">
        <f t="shared" ref="AA128:AF128" si="22">SUM(AA126:AA127)</f>
        <v>0</v>
      </c>
      <c r="AB128">
        <f t="shared" si="22"/>
        <v>0</v>
      </c>
      <c r="AC128">
        <f t="shared" si="22"/>
        <v>0</v>
      </c>
      <c r="AD128">
        <f t="shared" si="22"/>
        <v>42</v>
      </c>
      <c r="AE128">
        <f t="shared" si="22"/>
        <v>0</v>
      </c>
      <c r="AF128">
        <f t="shared" si="22"/>
        <v>174</v>
      </c>
    </row>
    <row r="129" spans="1:35" x14ac:dyDescent="0.35">
      <c r="A129" t="s">
        <v>403</v>
      </c>
      <c r="B129">
        <v>2021</v>
      </c>
      <c r="C129">
        <v>2021</v>
      </c>
      <c r="D129">
        <v>2021</v>
      </c>
      <c r="E129">
        <v>6</v>
      </c>
      <c r="F129">
        <v>1</v>
      </c>
      <c r="G129">
        <v>1</v>
      </c>
      <c r="H129" t="s">
        <v>141</v>
      </c>
      <c r="I129">
        <v>699</v>
      </c>
      <c r="J129" t="s">
        <v>78</v>
      </c>
      <c r="K129" t="s">
        <v>404</v>
      </c>
      <c r="L129">
        <v>591</v>
      </c>
      <c r="M129" t="s">
        <v>353</v>
      </c>
      <c r="N129" t="s">
        <v>443</v>
      </c>
      <c r="V129">
        <v>4011</v>
      </c>
      <c r="W129" t="s">
        <v>406</v>
      </c>
      <c r="X129">
        <v>5</v>
      </c>
      <c r="Y129" t="s">
        <v>233</v>
      </c>
      <c r="Z129">
        <v>400</v>
      </c>
      <c r="AD129">
        <v>6291</v>
      </c>
      <c r="AF129">
        <v>33998</v>
      </c>
      <c r="AI129">
        <v>4</v>
      </c>
    </row>
    <row r="130" spans="1:35" x14ac:dyDescent="0.35">
      <c r="A130" t="s">
        <v>403</v>
      </c>
      <c r="B130">
        <v>2021</v>
      </c>
      <c r="C130">
        <v>2021</v>
      </c>
      <c r="D130">
        <v>2021</v>
      </c>
      <c r="E130">
        <v>6</v>
      </c>
      <c r="F130">
        <v>1</v>
      </c>
      <c r="G130">
        <v>1</v>
      </c>
      <c r="H130" t="s">
        <v>141</v>
      </c>
      <c r="I130">
        <v>699</v>
      </c>
      <c r="J130" t="s">
        <v>78</v>
      </c>
      <c r="K130" t="s">
        <v>404</v>
      </c>
      <c r="L130">
        <v>608</v>
      </c>
      <c r="M130" t="s">
        <v>235</v>
      </c>
      <c r="N130" t="s">
        <v>444</v>
      </c>
      <c r="V130">
        <v>4011</v>
      </c>
      <c r="W130" t="s">
        <v>406</v>
      </c>
      <c r="X130">
        <v>5</v>
      </c>
      <c r="Y130" t="s">
        <v>233</v>
      </c>
      <c r="Z130">
        <v>4616</v>
      </c>
      <c r="AD130">
        <v>66674</v>
      </c>
      <c r="AF130">
        <v>360320</v>
      </c>
      <c r="AI130">
        <v>4</v>
      </c>
    </row>
    <row r="131" spans="1:35" hidden="1" x14ac:dyDescent="0.35">
      <c r="A131" t="s">
        <v>403</v>
      </c>
      <c r="B131">
        <v>2021</v>
      </c>
      <c r="C131">
        <v>2021</v>
      </c>
      <c r="D131">
        <v>2021</v>
      </c>
      <c r="E131">
        <v>6</v>
      </c>
      <c r="F131">
        <v>1</v>
      </c>
      <c r="G131">
        <v>1</v>
      </c>
      <c r="H131" t="s">
        <v>141</v>
      </c>
      <c r="I131">
        <v>699</v>
      </c>
      <c r="J131" t="s">
        <v>78</v>
      </c>
      <c r="K131" t="s">
        <v>404</v>
      </c>
      <c r="L131">
        <v>616</v>
      </c>
      <c r="M131" t="s">
        <v>343</v>
      </c>
      <c r="N131" t="s">
        <v>445</v>
      </c>
      <c r="V131">
        <v>401110</v>
      </c>
      <c r="W131" t="s">
        <v>406</v>
      </c>
      <c r="X131">
        <v>5</v>
      </c>
      <c r="Y131" t="s">
        <v>233</v>
      </c>
      <c r="Z131">
        <v>5121</v>
      </c>
      <c r="AD131">
        <v>108915</v>
      </c>
      <c r="AF131">
        <v>588600</v>
      </c>
      <c r="AI131">
        <v>4</v>
      </c>
    </row>
    <row r="132" spans="1:35" hidden="1" x14ac:dyDescent="0.35">
      <c r="A132" t="s">
        <v>403</v>
      </c>
      <c r="B132">
        <v>2021</v>
      </c>
      <c r="C132">
        <v>2021</v>
      </c>
      <c r="D132">
        <v>2021</v>
      </c>
      <c r="E132">
        <v>6</v>
      </c>
      <c r="F132">
        <v>1</v>
      </c>
      <c r="G132">
        <v>1</v>
      </c>
      <c r="H132" t="s">
        <v>141</v>
      </c>
      <c r="I132">
        <v>699</v>
      </c>
      <c r="J132" t="s">
        <v>78</v>
      </c>
      <c r="K132" t="s">
        <v>404</v>
      </c>
      <c r="L132">
        <v>616</v>
      </c>
      <c r="M132" t="s">
        <v>343</v>
      </c>
      <c r="N132" t="s">
        <v>445</v>
      </c>
      <c r="V132">
        <v>401120</v>
      </c>
      <c r="W132" t="s">
        <v>407</v>
      </c>
      <c r="X132">
        <v>5</v>
      </c>
      <c r="Y132" t="s">
        <v>233</v>
      </c>
      <c r="Z132">
        <v>145</v>
      </c>
      <c r="AD132">
        <v>9921</v>
      </c>
      <c r="AF132">
        <v>39476</v>
      </c>
      <c r="AI132">
        <v>4</v>
      </c>
    </row>
    <row r="133" spans="1:35" hidden="1" x14ac:dyDescent="0.35">
      <c r="A133" t="s">
        <v>403</v>
      </c>
      <c r="B133">
        <v>2021</v>
      </c>
      <c r="C133">
        <v>2021</v>
      </c>
      <c r="D133">
        <v>2021</v>
      </c>
      <c r="E133">
        <v>6</v>
      </c>
      <c r="F133">
        <v>1</v>
      </c>
      <c r="G133">
        <v>1</v>
      </c>
      <c r="H133" t="s">
        <v>141</v>
      </c>
      <c r="I133">
        <v>699</v>
      </c>
      <c r="J133" t="s">
        <v>78</v>
      </c>
      <c r="K133" t="s">
        <v>404</v>
      </c>
      <c r="L133">
        <v>616</v>
      </c>
      <c r="M133" t="s">
        <v>343</v>
      </c>
      <c r="N133" t="s">
        <v>445</v>
      </c>
      <c r="V133">
        <v>401170</v>
      </c>
      <c r="W133" t="s">
        <v>410</v>
      </c>
      <c r="X133">
        <v>5</v>
      </c>
      <c r="Y133" t="s">
        <v>233</v>
      </c>
      <c r="Z133">
        <v>356</v>
      </c>
      <c r="AD133">
        <v>59767</v>
      </c>
      <c r="AF133">
        <v>240627</v>
      </c>
      <c r="AI133">
        <v>4</v>
      </c>
    </row>
    <row r="134" spans="1:35" x14ac:dyDescent="0.35">
      <c r="C134">
        <v>2021</v>
      </c>
      <c r="D134">
        <v>2021</v>
      </c>
      <c r="E134">
        <v>6</v>
      </c>
      <c r="F134">
        <v>1</v>
      </c>
      <c r="G134">
        <v>1</v>
      </c>
      <c r="H134" t="s">
        <v>141</v>
      </c>
      <c r="I134">
        <v>700</v>
      </c>
      <c r="J134" t="s">
        <v>78</v>
      </c>
      <c r="K134" t="s">
        <v>404</v>
      </c>
      <c r="L134">
        <v>617</v>
      </c>
      <c r="M134" t="s">
        <v>343</v>
      </c>
      <c r="N134" t="s">
        <v>445</v>
      </c>
      <c r="V134">
        <v>4011</v>
      </c>
      <c r="Z134">
        <f>SUM(Z131:Z133)</f>
        <v>5622</v>
      </c>
      <c r="AA134">
        <f t="shared" ref="AA134:AF134" si="23">SUM(AA131:AA133)</f>
        <v>0</v>
      </c>
      <c r="AB134">
        <f t="shared" si="23"/>
        <v>0</v>
      </c>
      <c r="AC134">
        <f t="shared" si="23"/>
        <v>0</v>
      </c>
      <c r="AD134">
        <f t="shared" si="23"/>
        <v>178603</v>
      </c>
      <c r="AE134">
        <f t="shared" si="23"/>
        <v>0</v>
      </c>
      <c r="AF134">
        <f t="shared" si="23"/>
        <v>868703</v>
      </c>
    </row>
    <row r="135" spans="1:35" x14ac:dyDescent="0.35">
      <c r="A135" t="s">
        <v>403</v>
      </c>
      <c r="B135">
        <v>2021</v>
      </c>
      <c r="C135">
        <v>2021</v>
      </c>
      <c r="D135">
        <v>2021</v>
      </c>
      <c r="E135">
        <v>6</v>
      </c>
      <c r="F135">
        <v>1</v>
      </c>
      <c r="G135">
        <v>1</v>
      </c>
      <c r="H135" t="s">
        <v>141</v>
      </c>
      <c r="I135">
        <v>699</v>
      </c>
      <c r="J135" t="s">
        <v>78</v>
      </c>
      <c r="K135" t="s">
        <v>404</v>
      </c>
      <c r="L135">
        <v>620</v>
      </c>
      <c r="M135" t="s">
        <v>368</v>
      </c>
      <c r="N135" t="s">
        <v>446</v>
      </c>
      <c r="V135">
        <v>4011</v>
      </c>
      <c r="W135" t="s">
        <v>410</v>
      </c>
      <c r="X135">
        <v>5</v>
      </c>
      <c r="Y135" t="s">
        <v>233</v>
      </c>
      <c r="Z135">
        <v>4</v>
      </c>
      <c r="AD135">
        <v>73</v>
      </c>
      <c r="AF135">
        <v>297</v>
      </c>
      <c r="AI135">
        <v>4</v>
      </c>
    </row>
    <row r="136" spans="1:35" x14ac:dyDescent="0.35">
      <c r="A136" t="s">
        <v>403</v>
      </c>
      <c r="B136">
        <v>2021</v>
      </c>
      <c r="C136">
        <v>2021</v>
      </c>
      <c r="D136">
        <v>2021</v>
      </c>
      <c r="E136">
        <v>6</v>
      </c>
      <c r="F136">
        <v>1</v>
      </c>
      <c r="G136">
        <v>1</v>
      </c>
      <c r="H136" t="s">
        <v>141</v>
      </c>
      <c r="I136">
        <v>699</v>
      </c>
      <c r="J136" t="s">
        <v>78</v>
      </c>
      <c r="K136" t="s">
        <v>404</v>
      </c>
      <c r="L136">
        <v>634</v>
      </c>
      <c r="M136" t="s">
        <v>364</v>
      </c>
      <c r="N136" t="s">
        <v>447</v>
      </c>
      <c r="V136">
        <v>4011</v>
      </c>
      <c r="W136" t="s">
        <v>406</v>
      </c>
      <c r="X136">
        <v>5</v>
      </c>
      <c r="Y136" t="s">
        <v>233</v>
      </c>
      <c r="Z136">
        <v>6</v>
      </c>
      <c r="AD136">
        <v>186</v>
      </c>
      <c r="AF136">
        <v>1005</v>
      </c>
      <c r="AI136">
        <v>4</v>
      </c>
    </row>
    <row r="137" spans="1:35" hidden="1" x14ac:dyDescent="0.35">
      <c r="A137" t="s">
        <v>403</v>
      </c>
      <c r="B137">
        <v>2021</v>
      </c>
      <c r="C137">
        <v>2021</v>
      </c>
      <c r="D137">
        <v>2021</v>
      </c>
      <c r="E137">
        <v>6</v>
      </c>
      <c r="F137">
        <v>1</v>
      </c>
      <c r="G137">
        <v>1</v>
      </c>
      <c r="H137" t="s">
        <v>141</v>
      </c>
      <c r="I137">
        <v>699</v>
      </c>
      <c r="J137" t="s">
        <v>78</v>
      </c>
      <c r="K137" t="s">
        <v>404</v>
      </c>
      <c r="L137">
        <v>642</v>
      </c>
      <c r="M137" t="s">
        <v>203</v>
      </c>
      <c r="N137" t="s">
        <v>448</v>
      </c>
      <c r="V137">
        <v>401110</v>
      </c>
      <c r="W137" t="s">
        <v>406</v>
      </c>
      <c r="X137">
        <v>5</v>
      </c>
      <c r="Y137" t="s">
        <v>233</v>
      </c>
      <c r="Z137">
        <v>48951</v>
      </c>
      <c r="AD137">
        <v>619746</v>
      </c>
      <c r="AF137">
        <v>3349214</v>
      </c>
      <c r="AI137">
        <v>4</v>
      </c>
    </row>
    <row r="138" spans="1:35" hidden="1" x14ac:dyDescent="0.35">
      <c r="A138" t="s">
        <v>403</v>
      </c>
      <c r="B138">
        <v>2021</v>
      </c>
      <c r="C138">
        <v>2021</v>
      </c>
      <c r="D138">
        <v>2021</v>
      </c>
      <c r="E138">
        <v>6</v>
      </c>
      <c r="F138">
        <v>1</v>
      </c>
      <c r="G138">
        <v>1</v>
      </c>
      <c r="H138" t="s">
        <v>141</v>
      </c>
      <c r="I138">
        <v>699</v>
      </c>
      <c r="J138" t="s">
        <v>78</v>
      </c>
      <c r="K138" t="s">
        <v>404</v>
      </c>
      <c r="L138">
        <v>642</v>
      </c>
      <c r="M138" t="s">
        <v>203</v>
      </c>
      <c r="N138" t="s">
        <v>448</v>
      </c>
      <c r="V138">
        <v>401140</v>
      </c>
      <c r="W138" t="s">
        <v>408</v>
      </c>
      <c r="X138">
        <v>5</v>
      </c>
      <c r="Y138" t="s">
        <v>233</v>
      </c>
      <c r="Z138">
        <v>1500</v>
      </c>
      <c r="AD138">
        <v>1237</v>
      </c>
      <c r="AF138">
        <v>8858</v>
      </c>
      <c r="AI138">
        <v>4</v>
      </c>
    </row>
    <row r="139" spans="1:35" hidden="1" x14ac:dyDescent="0.35">
      <c r="A139" t="s">
        <v>403</v>
      </c>
      <c r="B139">
        <v>2021</v>
      </c>
      <c r="C139">
        <v>2021</v>
      </c>
      <c r="D139">
        <v>2021</v>
      </c>
      <c r="E139">
        <v>6</v>
      </c>
      <c r="F139">
        <v>1</v>
      </c>
      <c r="G139">
        <v>1</v>
      </c>
      <c r="H139" t="s">
        <v>141</v>
      </c>
      <c r="I139">
        <v>699</v>
      </c>
      <c r="J139" t="s">
        <v>78</v>
      </c>
      <c r="K139" t="s">
        <v>404</v>
      </c>
      <c r="L139">
        <v>642</v>
      </c>
      <c r="M139" t="s">
        <v>203</v>
      </c>
      <c r="N139" t="s">
        <v>448</v>
      </c>
      <c r="V139">
        <v>401170</v>
      </c>
      <c r="W139" t="s">
        <v>410</v>
      </c>
      <c r="X139">
        <v>5</v>
      </c>
      <c r="Y139" t="s">
        <v>233</v>
      </c>
      <c r="Z139">
        <v>1</v>
      </c>
      <c r="AD139">
        <v>222</v>
      </c>
      <c r="AF139">
        <v>894</v>
      </c>
      <c r="AI139">
        <v>4</v>
      </c>
    </row>
    <row r="140" spans="1:35" hidden="1" x14ac:dyDescent="0.35">
      <c r="A140" t="s">
        <v>403</v>
      </c>
      <c r="B140">
        <v>2021</v>
      </c>
      <c r="C140">
        <v>2021</v>
      </c>
      <c r="D140">
        <v>2021</v>
      </c>
      <c r="E140">
        <v>6</v>
      </c>
      <c r="F140">
        <v>1</v>
      </c>
      <c r="G140">
        <v>1</v>
      </c>
      <c r="H140" t="s">
        <v>141</v>
      </c>
      <c r="I140">
        <v>699</v>
      </c>
      <c r="J140" t="s">
        <v>78</v>
      </c>
      <c r="K140" t="s">
        <v>404</v>
      </c>
      <c r="L140">
        <v>642</v>
      </c>
      <c r="M140" t="s">
        <v>203</v>
      </c>
      <c r="N140" t="s">
        <v>448</v>
      </c>
      <c r="V140">
        <v>401180</v>
      </c>
      <c r="W140" t="s">
        <v>409</v>
      </c>
      <c r="X140">
        <v>5</v>
      </c>
      <c r="Y140" t="s">
        <v>233</v>
      </c>
      <c r="Z140">
        <v>400</v>
      </c>
      <c r="AD140">
        <v>26101</v>
      </c>
      <c r="AF140">
        <v>110141</v>
      </c>
      <c r="AI140">
        <v>4</v>
      </c>
    </row>
    <row r="141" spans="1:35" x14ac:dyDescent="0.35">
      <c r="C141">
        <v>2021</v>
      </c>
      <c r="D141">
        <v>2021</v>
      </c>
      <c r="E141">
        <v>6</v>
      </c>
      <c r="F141">
        <v>1</v>
      </c>
      <c r="G141">
        <v>1</v>
      </c>
      <c r="H141" t="s">
        <v>141</v>
      </c>
      <c r="I141">
        <v>700</v>
      </c>
      <c r="J141" t="s">
        <v>78</v>
      </c>
      <c r="K141" t="s">
        <v>404</v>
      </c>
      <c r="L141">
        <v>643</v>
      </c>
      <c r="M141" t="s">
        <v>203</v>
      </c>
      <c r="N141" t="s">
        <v>448</v>
      </c>
      <c r="V141">
        <v>4011</v>
      </c>
      <c r="Z141">
        <f>SUM(Z137:Z140)</f>
        <v>50852</v>
      </c>
      <c r="AA141">
        <f t="shared" ref="AA141:AI141" si="24">SUM(AA137:AA140)</f>
        <v>0</v>
      </c>
      <c r="AB141">
        <f t="shared" si="24"/>
        <v>0</v>
      </c>
      <c r="AC141">
        <f t="shared" si="24"/>
        <v>0</v>
      </c>
      <c r="AD141">
        <f t="shared" si="24"/>
        <v>647306</v>
      </c>
      <c r="AE141">
        <f t="shared" si="24"/>
        <v>0</v>
      </c>
      <c r="AF141">
        <f t="shared" si="24"/>
        <v>3469107</v>
      </c>
      <c r="AG141">
        <f t="shared" si="24"/>
        <v>0</v>
      </c>
      <c r="AH141">
        <f t="shared" si="24"/>
        <v>0</v>
      </c>
      <c r="AI141">
        <f t="shared" si="24"/>
        <v>16</v>
      </c>
    </row>
    <row r="142" spans="1:35" hidden="1" x14ac:dyDescent="0.35">
      <c r="A142" t="s">
        <v>403</v>
      </c>
      <c r="B142">
        <v>2021</v>
      </c>
      <c r="C142">
        <v>2021</v>
      </c>
      <c r="D142">
        <v>2021</v>
      </c>
      <c r="E142">
        <v>6</v>
      </c>
      <c r="F142">
        <v>1</v>
      </c>
      <c r="G142">
        <v>1</v>
      </c>
      <c r="H142" t="s">
        <v>141</v>
      </c>
      <c r="I142">
        <v>699</v>
      </c>
      <c r="J142" t="s">
        <v>78</v>
      </c>
      <c r="K142" t="s">
        <v>404</v>
      </c>
      <c r="L142">
        <v>643</v>
      </c>
      <c r="M142" t="s">
        <v>360</v>
      </c>
      <c r="N142" t="s">
        <v>449</v>
      </c>
      <c r="V142">
        <v>401190</v>
      </c>
      <c r="W142" t="s">
        <v>411</v>
      </c>
      <c r="X142">
        <v>5</v>
      </c>
      <c r="Y142" t="s">
        <v>233</v>
      </c>
      <c r="Z142">
        <v>28</v>
      </c>
      <c r="AF142">
        <v>2534</v>
      </c>
      <c r="AI142">
        <v>4</v>
      </c>
    </row>
    <row r="143" spans="1:35" hidden="1" x14ac:dyDescent="0.35">
      <c r="A143" t="s">
        <v>403</v>
      </c>
      <c r="B143">
        <v>2021</v>
      </c>
      <c r="C143">
        <v>2021</v>
      </c>
      <c r="D143">
        <v>2021</v>
      </c>
      <c r="E143">
        <v>6</v>
      </c>
      <c r="F143">
        <v>1</v>
      </c>
      <c r="G143">
        <v>1</v>
      </c>
      <c r="H143" t="s">
        <v>141</v>
      </c>
      <c r="I143">
        <v>699</v>
      </c>
      <c r="J143" t="s">
        <v>78</v>
      </c>
      <c r="K143" t="s">
        <v>404</v>
      </c>
      <c r="L143">
        <v>643</v>
      </c>
      <c r="M143" t="s">
        <v>360</v>
      </c>
      <c r="N143" t="s">
        <v>449</v>
      </c>
      <c r="V143">
        <v>401110</v>
      </c>
      <c r="W143" t="s">
        <v>406</v>
      </c>
      <c r="X143">
        <v>5</v>
      </c>
      <c r="Y143" t="s">
        <v>233</v>
      </c>
      <c r="Z143">
        <v>120</v>
      </c>
      <c r="AD143">
        <v>420</v>
      </c>
      <c r="AF143">
        <v>2274</v>
      </c>
      <c r="AI143">
        <v>4</v>
      </c>
    </row>
    <row r="144" spans="1:35" x14ac:dyDescent="0.35">
      <c r="C144">
        <v>2021</v>
      </c>
      <c r="D144">
        <v>2021</v>
      </c>
      <c r="E144">
        <v>6</v>
      </c>
      <c r="F144">
        <v>1</v>
      </c>
      <c r="G144">
        <v>1</v>
      </c>
      <c r="H144" t="s">
        <v>141</v>
      </c>
      <c r="I144">
        <v>700</v>
      </c>
      <c r="J144" t="s">
        <v>78</v>
      </c>
      <c r="K144" t="s">
        <v>404</v>
      </c>
      <c r="L144">
        <v>644</v>
      </c>
      <c r="M144" t="s">
        <v>360</v>
      </c>
      <c r="N144" t="s">
        <v>449</v>
      </c>
      <c r="V144">
        <v>4011</v>
      </c>
      <c r="Z144">
        <f>SUM(Z142:Z143)</f>
        <v>148</v>
      </c>
      <c r="AA144">
        <f t="shared" ref="AA144:AF144" si="25">SUM(AA142:AA143)</f>
        <v>0</v>
      </c>
      <c r="AB144">
        <f t="shared" si="25"/>
        <v>0</v>
      </c>
      <c r="AC144">
        <f t="shared" si="25"/>
        <v>0</v>
      </c>
      <c r="AD144">
        <f t="shared" si="25"/>
        <v>420</v>
      </c>
      <c r="AE144">
        <f t="shared" si="25"/>
        <v>0</v>
      </c>
      <c r="AF144">
        <f t="shared" si="25"/>
        <v>4808</v>
      </c>
    </row>
    <row r="145" spans="1:35" hidden="1" x14ac:dyDescent="0.35">
      <c r="A145" t="s">
        <v>403</v>
      </c>
      <c r="B145">
        <v>2021</v>
      </c>
      <c r="C145">
        <v>2021</v>
      </c>
      <c r="D145">
        <v>2021</v>
      </c>
      <c r="E145">
        <v>6</v>
      </c>
      <c r="F145">
        <v>1</v>
      </c>
      <c r="G145">
        <v>1</v>
      </c>
      <c r="H145" t="s">
        <v>141</v>
      </c>
      <c r="I145">
        <v>699</v>
      </c>
      <c r="J145" t="s">
        <v>78</v>
      </c>
      <c r="K145" t="s">
        <v>404</v>
      </c>
      <c r="L145">
        <v>682</v>
      </c>
      <c r="M145" t="s">
        <v>362</v>
      </c>
      <c r="N145" t="s">
        <v>450</v>
      </c>
      <c r="V145">
        <v>401110</v>
      </c>
      <c r="W145" t="s">
        <v>406</v>
      </c>
      <c r="X145">
        <v>5</v>
      </c>
      <c r="Y145" t="s">
        <v>233</v>
      </c>
      <c r="Z145">
        <v>4</v>
      </c>
      <c r="AD145">
        <v>357</v>
      </c>
      <c r="AF145">
        <v>1929</v>
      </c>
      <c r="AI145">
        <v>4</v>
      </c>
    </row>
    <row r="146" spans="1:35" hidden="1" x14ac:dyDescent="0.35">
      <c r="A146" t="s">
        <v>403</v>
      </c>
      <c r="B146">
        <v>2021</v>
      </c>
      <c r="C146">
        <v>2021</v>
      </c>
      <c r="D146">
        <v>2021</v>
      </c>
      <c r="E146">
        <v>6</v>
      </c>
      <c r="F146">
        <v>1</v>
      </c>
      <c r="G146">
        <v>1</v>
      </c>
      <c r="H146" t="s">
        <v>141</v>
      </c>
      <c r="I146">
        <v>699</v>
      </c>
      <c r="J146" t="s">
        <v>78</v>
      </c>
      <c r="K146" t="s">
        <v>404</v>
      </c>
      <c r="L146">
        <v>682</v>
      </c>
      <c r="M146" t="s">
        <v>362</v>
      </c>
      <c r="N146" t="s">
        <v>450</v>
      </c>
      <c r="V146">
        <v>401120</v>
      </c>
      <c r="W146" t="s">
        <v>407</v>
      </c>
      <c r="X146">
        <v>5</v>
      </c>
      <c r="Y146" t="s">
        <v>233</v>
      </c>
      <c r="Z146">
        <v>2</v>
      </c>
      <c r="AD146">
        <v>120</v>
      </c>
      <c r="AF146">
        <v>477</v>
      </c>
      <c r="AI146">
        <v>4</v>
      </c>
    </row>
    <row r="147" spans="1:35" x14ac:dyDescent="0.35">
      <c r="C147">
        <v>2021</v>
      </c>
      <c r="D147">
        <v>2021</v>
      </c>
      <c r="E147">
        <v>6</v>
      </c>
      <c r="F147">
        <v>1</v>
      </c>
      <c r="G147">
        <v>1</v>
      </c>
      <c r="H147" t="s">
        <v>141</v>
      </c>
      <c r="I147">
        <v>700</v>
      </c>
      <c r="J147" t="s">
        <v>78</v>
      </c>
      <c r="K147" t="s">
        <v>404</v>
      </c>
      <c r="L147">
        <v>683</v>
      </c>
      <c r="M147" t="s">
        <v>362</v>
      </c>
      <c r="N147" t="s">
        <v>450</v>
      </c>
      <c r="V147">
        <v>4011</v>
      </c>
      <c r="Z147">
        <f>SUM(Z145:Z146)</f>
        <v>6</v>
      </c>
      <c r="AA147">
        <f t="shared" ref="AA147:AF147" si="26">SUM(AA145:AA146)</f>
        <v>0</v>
      </c>
      <c r="AB147">
        <f t="shared" si="26"/>
        <v>0</v>
      </c>
      <c r="AC147">
        <f t="shared" si="26"/>
        <v>0</v>
      </c>
      <c r="AD147">
        <f t="shared" si="26"/>
        <v>477</v>
      </c>
      <c r="AE147">
        <f t="shared" si="26"/>
        <v>0</v>
      </c>
      <c r="AF147">
        <f t="shared" si="26"/>
        <v>2406</v>
      </c>
    </row>
    <row r="148" spans="1:35" x14ac:dyDescent="0.35">
      <c r="A148" t="s">
        <v>403</v>
      </c>
      <c r="B148">
        <v>2021</v>
      </c>
      <c r="C148">
        <v>2021</v>
      </c>
      <c r="D148">
        <v>2021</v>
      </c>
      <c r="E148">
        <v>6</v>
      </c>
      <c r="F148">
        <v>1</v>
      </c>
      <c r="G148">
        <v>1</v>
      </c>
      <c r="H148" t="s">
        <v>141</v>
      </c>
      <c r="I148">
        <v>699</v>
      </c>
      <c r="J148" t="s">
        <v>78</v>
      </c>
      <c r="K148" t="s">
        <v>404</v>
      </c>
      <c r="L148">
        <v>688</v>
      </c>
      <c r="M148" t="s">
        <v>363</v>
      </c>
      <c r="N148" t="s">
        <v>451</v>
      </c>
      <c r="V148">
        <v>4011</v>
      </c>
      <c r="W148" t="s">
        <v>408</v>
      </c>
      <c r="X148">
        <v>5</v>
      </c>
      <c r="Y148" t="s">
        <v>233</v>
      </c>
      <c r="Z148">
        <v>32</v>
      </c>
      <c r="AD148">
        <v>200</v>
      </c>
      <c r="AF148">
        <v>1438</v>
      </c>
      <c r="AI148">
        <v>4</v>
      </c>
    </row>
    <row r="149" spans="1:35" hidden="1" x14ac:dyDescent="0.35">
      <c r="A149" t="s">
        <v>403</v>
      </c>
      <c r="B149">
        <v>2021</v>
      </c>
      <c r="C149">
        <v>2021</v>
      </c>
      <c r="D149">
        <v>2021</v>
      </c>
      <c r="E149">
        <v>6</v>
      </c>
      <c r="F149">
        <v>1</v>
      </c>
      <c r="G149">
        <v>1</v>
      </c>
      <c r="H149" t="s">
        <v>141</v>
      </c>
      <c r="I149">
        <v>699</v>
      </c>
      <c r="J149" t="s">
        <v>78</v>
      </c>
      <c r="K149" t="s">
        <v>404</v>
      </c>
      <c r="L149">
        <v>702</v>
      </c>
      <c r="M149" t="s">
        <v>171</v>
      </c>
      <c r="N149" t="s">
        <v>452</v>
      </c>
      <c r="V149">
        <v>401110</v>
      </c>
      <c r="W149" t="s">
        <v>406</v>
      </c>
      <c r="X149">
        <v>5</v>
      </c>
      <c r="Y149" t="s">
        <v>233</v>
      </c>
      <c r="Z149">
        <v>3427</v>
      </c>
      <c r="AD149">
        <v>54386</v>
      </c>
      <c r="AF149">
        <v>293915</v>
      </c>
      <c r="AI149">
        <v>4</v>
      </c>
    </row>
    <row r="150" spans="1:35" hidden="1" x14ac:dyDescent="0.35">
      <c r="A150" t="s">
        <v>403</v>
      </c>
      <c r="B150">
        <v>2021</v>
      </c>
      <c r="C150">
        <v>2021</v>
      </c>
      <c r="D150">
        <v>2021</v>
      </c>
      <c r="E150">
        <v>6</v>
      </c>
      <c r="F150">
        <v>1</v>
      </c>
      <c r="G150">
        <v>1</v>
      </c>
      <c r="H150" t="s">
        <v>141</v>
      </c>
      <c r="I150">
        <v>699</v>
      </c>
      <c r="J150" t="s">
        <v>78</v>
      </c>
      <c r="K150" t="s">
        <v>404</v>
      </c>
      <c r="L150">
        <v>702</v>
      </c>
      <c r="M150" t="s">
        <v>171</v>
      </c>
      <c r="N150" t="s">
        <v>452</v>
      </c>
      <c r="V150">
        <v>401190</v>
      </c>
      <c r="W150" t="s">
        <v>411</v>
      </c>
      <c r="X150">
        <v>5</v>
      </c>
      <c r="Y150" t="s">
        <v>233</v>
      </c>
      <c r="Z150">
        <v>394</v>
      </c>
      <c r="AF150">
        <v>10755</v>
      </c>
      <c r="AI150">
        <v>4</v>
      </c>
    </row>
    <row r="151" spans="1:35" hidden="1" x14ac:dyDescent="0.35">
      <c r="A151" t="s">
        <v>403</v>
      </c>
      <c r="B151">
        <v>2021</v>
      </c>
      <c r="C151">
        <v>2021</v>
      </c>
      <c r="D151">
        <v>2021</v>
      </c>
      <c r="E151">
        <v>6</v>
      </c>
      <c r="F151">
        <v>1</v>
      </c>
      <c r="G151">
        <v>1</v>
      </c>
      <c r="H151" t="s">
        <v>141</v>
      </c>
      <c r="I151">
        <v>699</v>
      </c>
      <c r="J151" t="s">
        <v>78</v>
      </c>
      <c r="K151" t="s">
        <v>404</v>
      </c>
      <c r="L151">
        <v>702</v>
      </c>
      <c r="M151" t="s">
        <v>171</v>
      </c>
      <c r="N151" t="s">
        <v>452</v>
      </c>
      <c r="V151">
        <v>401170</v>
      </c>
      <c r="W151" t="s">
        <v>410</v>
      </c>
      <c r="X151">
        <v>5</v>
      </c>
      <c r="Y151" t="s">
        <v>233</v>
      </c>
      <c r="Z151">
        <v>4</v>
      </c>
      <c r="AD151">
        <v>220</v>
      </c>
      <c r="AF151">
        <v>888</v>
      </c>
      <c r="AI151">
        <v>4</v>
      </c>
    </row>
    <row r="152" spans="1:35" hidden="1" x14ac:dyDescent="0.35">
      <c r="A152" t="s">
        <v>403</v>
      </c>
      <c r="B152">
        <v>2021</v>
      </c>
      <c r="C152">
        <v>2021</v>
      </c>
      <c r="D152">
        <v>2021</v>
      </c>
      <c r="E152">
        <v>6</v>
      </c>
      <c r="F152">
        <v>1</v>
      </c>
      <c r="G152">
        <v>1</v>
      </c>
      <c r="H152" t="s">
        <v>141</v>
      </c>
      <c r="I152">
        <v>699</v>
      </c>
      <c r="J152" t="s">
        <v>78</v>
      </c>
      <c r="K152" t="s">
        <v>404</v>
      </c>
      <c r="L152">
        <v>702</v>
      </c>
      <c r="M152" t="s">
        <v>171</v>
      </c>
      <c r="N152" t="s">
        <v>452</v>
      </c>
      <c r="V152">
        <v>401180</v>
      </c>
      <c r="W152" t="s">
        <v>409</v>
      </c>
      <c r="X152">
        <v>5</v>
      </c>
      <c r="Y152" t="s">
        <v>233</v>
      </c>
      <c r="Z152">
        <v>79</v>
      </c>
      <c r="AD152">
        <v>3309</v>
      </c>
      <c r="AF152">
        <v>13965</v>
      </c>
      <c r="AI152">
        <v>4</v>
      </c>
    </row>
    <row r="153" spans="1:35" x14ac:dyDescent="0.35">
      <c r="C153">
        <v>2021</v>
      </c>
      <c r="D153">
        <v>2021</v>
      </c>
      <c r="E153">
        <v>6</v>
      </c>
      <c r="F153">
        <v>1</v>
      </c>
      <c r="G153">
        <v>1</v>
      </c>
      <c r="H153" t="s">
        <v>141</v>
      </c>
      <c r="I153">
        <v>700</v>
      </c>
      <c r="J153" t="s">
        <v>78</v>
      </c>
      <c r="K153" t="s">
        <v>404</v>
      </c>
      <c r="L153">
        <v>703</v>
      </c>
      <c r="M153" t="s">
        <v>171</v>
      </c>
      <c r="N153" t="s">
        <v>452</v>
      </c>
      <c r="V153">
        <v>4011</v>
      </c>
      <c r="Z153">
        <f>SUM(Z149:Z152)</f>
        <v>3904</v>
      </c>
      <c r="AA153">
        <f t="shared" ref="AA153:AF153" si="27">SUM(AA149:AA152)</f>
        <v>0</v>
      </c>
      <c r="AB153">
        <f t="shared" si="27"/>
        <v>0</v>
      </c>
      <c r="AC153">
        <f t="shared" si="27"/>
        <v>0</v>
      </c>
      <c r="AD153">
        <f t="shared" si="27"/>
        <v>57915</v>
      </c>
      <c r="AE153">
        <f t="shared" si="27"/>
        <v>0</v>
      </c>
      <c r="AF153">
        <f t="shared" si="27"/>
        <v>319523</v>
      </c>
    </row>
    <row r="154" spans="1:35" hidden="1" x14ac:dyDescent="0.35">
      <c r="A154" t="s">
        <v>403</v>
      </c>
      <c r="B154">
        <v>2021</v>
      </c>
      <c r="C154">
        <v>2021</v>
      </c>
      <c r="D154">
        <v>2021</v>
      </c>
      <c r="E154">
        <v>6</v>
      </c>
      <c r="F154">
        <v>1</v>
      </c>
      <c r="G154">
        <v>1</v>
      </c>
      <c r="H154" t="s">
        <v>141</v>
      </c>
      <c r="I154">
        <v>699</v>
      </c>
      <c r="J154" t="s">
        <v>78</v>
      </c>
      <c r="K154" t="s">
        <v>404</v>
      </c>
      <c r="L154">
        <v>704</v>
      </c>
      <c r="M154" t="s">
        <v>198</v>
      </c>
      <c r="N154" t="s">
        <v>453</v>
      </c>
      <c r="V154">
        <v>401180</v>
      </c>
      <c r="W154" t="s">
        <v>409</v>
      </c>
      <c r="X154">
        <v>5</v>
      </c>
      <c r="Y154" t="s">
        <v>233</v>
      </c>
      <c r="Z154">
        <v>1285</v>
      </c>
      <c r="AD154">
        <v>114604</v>
      </c>
      <c r="AF154">
        <v>483599</v>
      </c>
      <c r="AI154">
        <v>4</v>
      </c>
    </row>
    <row r="155" spans="1:35" hidden="1" x14ac:dyDescent="0.35">
      <c r="A155" t="s">
        <v>403</v>
      </c>
      <c r="B155">
        <v>2021</v>
      </c>
      <c r="C155">
        <v>2021</v>
      </c>
      <c r="D155">
        <v>2021</v>
      </c>
      <c r="E155">
        <v>6</v>
      </c>
      <c r="F155">
        <v>1</v>
      </c>
      <c r="G155">
        <v>1</v>
      </c>
      <c r="H155" t="s">
        <v>141</v>
      </c>
      <c r="I155">
        <v>699</v>
      </c>
      <c r="J155" t="s">
        <v>78</v>
      </c>
      <c r="K155" t="s">
        <v>404</v>
      </c>
      <c r="L155">
        <v>704</v>
      </c>
      <c r="M155" t="s">
        <v>198</v>
      </c>
      <c r="N155" t="s">
        <v>453</v>
      </c>
      <c r="V155">
        <v>401190</v>
      </c>
      <c r="W155" t="s">
        <v>411</v>
      </c>
      <c r="X155">
        <v>5</v>
      </c>
      <c r="Y155" t="s">
        <v>233</v>
      </c>
      <c r="Z155">
        <v>12</v>
      </c>
      <c r="AF155">
        <v>296</v>
      </c>
      <c r="AI155">
        <v>4</v>
      </c>
    </row>
    <row r="156" spans="1:35" hidden="1" x14ac:dyDescent="0.35">
      <c r="A156" t="s">
        <v>403</v>
      </c>
      <c r="B156">
        <v>2021</v>
      </c>
      <c r="C156">
        <v>2021</v>
      </c>
      <c r="D156">
        <v>2021</v>
      </c>
      <c r="E156">
        <v>6</v>
      </c>
      <c r="F156">
        <v>1</v>
      </c>
      <c r="G156">
        <v>1</v>
      </c>
      <c r="H156" t="s">
        <v>141</v>
      </c>
      <c r="I156">
        <v>699</v>
      </c>
      <c r="J156" t="s">
        <v>78</v>
      </c>
      <c r="K156" t="s">
        <v>404</v>
      </c>
      <c r="L156">
        <v>704</v>
      </c>
      <c r="M156" t="s">
        <v>198</v>
      </c>
      <c r="N156" t="s">
        <v>453</v>
      </c>
      <c r="V156">
        <v>401110</v>
      </c>
      <c r="W156" t="s">
        <v>406</v>
      </c>
      <c r="X156">
        <v>5</v>
      </c>
      <c r="Y156" t="s">
        <v>233</v>
      </c>
      <c r="Z156">
        <v>199399</v>
      </c>
      <c r="AD156">
        <v>1136101</v>
      </c>
      <c r="AF156">
        <v>6139685</v>
      </c>
      <c r="AI156">
        <v>4</v>
      </c>
    </row>
    <row r="157" spans="1:35" hidden="1" x14ac:dyDescent="0.35">
      <c r="A157" t="s">
        <v>403</v>
      </c>
      <c r="B157">
        <v>2021</v>
      </c>
      <c r="C157">
        <v>2021</v>
      </c>
      <c r="D157">
        <v>2021</v>
      </c>
      <c r="E157">
        <v>6</v>
      </c>
      <c r="F157">
        <v>1</v>
      </c>
      <c r="G157">
        <v>1</v>
      </c>
      <c r="H157" t="s">
        <v>141</v>
      </c>
      <c r="I157">
        <v>699</v>
      </c>
      <c r="J157" t="s">
        <v>78</v>
      </c>
      <c r="K157" t="s">
        <v>404</v>
      </c>
      <c r="L157">
        <v>704</v>
      </c>
      <c r="M157" t="s">
        <v>198</v>
      </c>
      <c r="N157" t="s">
        <v>453</v>
      </c>
      <c r="V157">
        <v>401120</v>
      </c>
      <c r="W157" t="s">
        <v>407</v>
      </c>
      <c r="X157">
        <v>5</v>
      </c>
      <c r="Y157" t="s">
        <v>233</v>
      </c>
      <c r="Z157">
        <v>24264</v>
      </c>
      <c r="AD157">
        <v>800111</v>
      </c>
      <c r="AF157">
        <v>3183665</v>
      </c>
      <c r="AI157">
        <v>4</v>
      </c>
    </row>
    <row r="158" spans="1:35" x14ac:dyDescent="0.35">
      <c r="C158">
        <v>2021</v>
      </c>
      <c r="D158">
        <v>2021</v>
      </c>
      <c r="E158">
        <v>6</v>
      </c>
      <c r="F158">
        <v>1</v>
      </c>
      <c r="G158">
        <v>1</v>
      </c>
      <c r="H158" t="s">
        <v>141</v>
      </c>
      <c r="I158">
        <v>700</v>
      </c>
      <c r="J158" t="s">
        <v>78</v>
      </c>
      <c r="K158" t="s">
        <v>404</v>
      </c>
      <c r="L158">
        <v>705</v>
      </c>
      <c r="M158" t="s">
        <v>198</v>
      </c>
      <c r="N158" t="s">
        <v>453</v>
      </c>
      <c r="V158">
        <v>4011</v>
      </c>
      <c r="Z158">
        <f>SUM(Z154:Z157)</f>
        <v>224960</v>
      </c>
      <c r="AA158">
        <f t="shared" ref="AA158:AF158" si="28">SUM(AA154:AA157)</f>
        <v>0</v>
      </c>
      <c r="AB158">
        <f t="shared" si="28"/>
        <v>0</v>
      </c>
      <c r="AC158">
        <f t="shared" si="28"/>
        <v>0</v>
      </c>
      <c r="AD158">
        <f t="shared" si="28"/>
        <v>2050816</v>
      </c>
      <c r="AE158">
        <f t="shared" si="28"/>
        <v>0</v>
      </c>
      <c r="AF158">
        <f t="shared" si="28"/>
        <v>9807245</v>
      </c>
    </row>
    <row r="159" spans="1:35" hidden="1" x14ac:dyDescent="0.35">
      <c r="A159" t="s">
        <v>403</v>
      </c>
      <c r="B159">
        <v>2021</v>
      </c>
      <c r="C159">
        <v>2021</v>
      </c>
      <c r="D159">
        <v>2021</v>
      </c>
      <c r="E159">
        <v>6</v>
      </c>
      <c r="F159">
        <v>1</v>
      </c>
      <c r="G159">
        <v>1</v>
      </c>
      <c r="H159" t="s">
        <v>141</v>
      </c>
      <c r="I159">
        <v>699</v>
      </c>
      <c r="J159" t="s">
        <v>78</v>
      </c>
      <c r="K159" t="s">
        <v>404</v>
      </c>
      <c r="L159">
        <v>710</v>
      </c>
      <c r="M159" t="s">
        <v>351</v>
      </c>
      <c r="N159" t="s">
        <v>454</v>
      </c>
      <c r="V159">
        <v>401110</v>
      </c>
      <c r="W159" t="s">
        <v>406</v>
      </c>
      <c r="X159">
        <v>5</v>
      </c>
      <c r="Y159" t="s">
        <v>233</v>
      </c>
      <c r="Z159">
        <v>1192</v>
      </c>
      <c r="AD159">
        <v>22817</v>
      </c>
      <c r="AF159">
        <v>123308</v>
      </c>
      <c r="AI159">
        <v>4</v>
      </c>
    </row>
    <row r="160" spans="1:35" hidden="1" x14ac:dyDescent="0.35">
      <c r="A160" t="s">
        <v>403</v>
      </c>
      <c r="B160">
        <v>2021</v>
      </c>
      <c r="C160">
        <v>2021</v>
      </c>
      <c r="D160">
        <v>2021</v>
      </c>
      <c r="E160">
        <v>6</v>
      </c>
      <c r="F160">
        <v>1</v>
      </c>
      <c r="G160">
        <v>1</v>
      </c>
      <c r="H160" t="s">
        <v>141</v>
      </c>
      <c r="I160">
        <v>699</v>
      </c>
      <c r="J160" t="s">
        <v>78</v>
      </c>
      <c r="K160" t="s">
        <v>404</v>
      </c>
      <c r="L160">
        <v>710</v>
      </c>
      <c r="M160" t="s">
        <v>351</v>
      </c>
      <c r="N160" t="s">
        <v>454</v>
      </c>
      <c r="V160">
        <v>401190</v>
      </c>
      <c r="W160" t="s">
        <v>411</v>
      </c>
      <c r="X160">
        <v>5</v>
      </c>
      <c r="Y160" t="s">
        <v>233</v>
      </c>
      <c r="Z160">
        <v>6</v>
      </c>
      <c r="AF160">
        <v>4073</v>
      </c>
      <c r="AI160">
        <v>4</v>
      </c>
    </row>
    <row r="161" spans="1:35" hidden="1" x14ac:dyDescent="0.35">
      <c r="A161" t="s">
        <v>403</v>
      </c>
      <c r="B161">
        <v>2021</v>
      </c>
      <c r="C161">
        <v>2021</v>
      </c>
      <c r="D161">
        <v>2021</v>
      </c>
      <c r="E161">
        <v>6</v>
      </c>
      <c r="F161">
        <v>1</v>
      </c>
      <c r="G161">
        <v>1</v>
      </c>
      <c r="H161" t="s">
        <v>141</v>
      </c>
      <c r="I161">
        <v>699</v>
      </c>
      <c r="J161" t="s">
        <v>78</v>
      </c>
      <c r="K161" t="s">
        <v>404</v>
      </c>
      <c r="L161">
        <v>710</v>
      </c>
      <c r="M161" t="s">
        <v>351</v>
      </c>
      <c r="N161" t="s">
        <v>454</v>
      </c>
      <c r="V161">
        <v>401170</v>
      </c>
      <c r="W161" t="s">
        <v>410</v>
      </c>
      <c r="X161">
        <v>5</v>
      </c>
      <c r="Y161" t="s">
        <v>233</v>
      </c>
      <c r="Z161">
        <v>2</v>
      </c>
      <c r="AD161">
        <v>243</v>
      </c>
      <c r="AF161">
        <v>978</v>
      </c>
      <c r="AI161">
        <v>4</v>
      </c>
    </row>
    <row r="162" spans="1:35" x14ac:dyDescent="0.35">
      <c r="C162">
        <v>2021</v>
      </c>
      <c r="D162">
        <v>2021</v>
      </c>
      <c r="E162">
        <v>6</v>
      </c>
      <c r="F162">
        <v>1</v>
      </c>
      <c r="G162">
        <v>1</v>
      </c>
      <c r="H162" t="s">
        <v>141</v>
      </c>
      <c r="I162">
        <v>700</v>
      </c>
      <c r="J162" t="s">
        <v>78</v>
      </c>
      <c r="K162" t="s">
        <v>404</v>
      </c>
      <c r="L162">
        <v>711</v>
      </c>
      <c r="M162" t="s">
        <v>351</v>
      </c>
      <c r="N162" t="s">
        <v>454</v>
      </c>
      <c r="V162">
        <v>4011</v>
      </c>
      <c r="Z162">
        <f>SUM(Z159:Z161)</f>
        <v>1200</v>
      </c>
      <c r="AA162">
        <f t="shared" ref="AA162:AI162" si="29">SUM(AA159:AA161)</f>
        <v>0</v>
      </c>
      <c r="AB162">
        <f t="shared" si="29"/>
        <v>0</v>
      </c>
      <c r="AC162">
        <f t="shared" si="29"/>
        <v>0</v>
      </c>
      <c r="AD162">
        <f t="shared" si="29"/>
        <v>23060</v>
      </c>
      <c r="AE162">
        <f t="shared" si="29"/>
        <v>0</v>
      </c>
      <c r="AF162">
        <f t="shared" si="29"/>
        <v>128359</v>
      </c>
      <c r="AG162">
        <f t="shared" si="29"/>
        <v>0</v>
      </c>
      <c r="AH162">
        <f t="shared" si="29"/>
        <v>0</v>
      </c>
      <c r="AI162">
        <f t="shared" si="29"/>
        <v>12</v>
      </c>
    </row>
    <row r="163" spans="1:35" hidden="1" x14ac:dyDescent="0.35">
      <c r="A163" t="s">
        <v>403</v>
      </c>
      <c r="B163">
        <v>2021</v>
      </c>
      <c r="C163">
        <v>2021</v>
      </c>
      <c r="D163">
        <v>2021</v>
      </c>
      <c r="E163">
        <v>6</v>
      </c>
      <c r="F163">
        <v>1</v>
      </c>
      <c r="G163">
        <v>1</v>
      </c>
      <c r="H163" t="s">
        <v>141</v>
      </c>
      <c r="I163">
        <v>699</v>
      </c>
      <c r="J163" t="s">
        <v>78</v>
      </c>
      <c r="K163" t="s">
        <v>404</v>
      </c>
      <c r="L163">
        <v>724</v>
      </c>
      <c r="M163" t="s">
        <v>239</v>
      </c>
      <c r="N163" t="s">
        <v>455</v>
      </c>
      <c r="V163">
        <v>401170</v>
      </c>
      <c r="W163" t="s">
        <v>410</v>
      </c>
      <c r="X163">
        <v>5</v>
      </c>
      <c r="Y163" t="s">
        <v>233</v>
      </c>
      <c r="Z163">
        <v>1</v>
      </c>
      <c r="AD163">
        <v>193</v>
      </c>
      <c r="AF163">
        <v>779</v>
      </c>
      <c r="AI163">
        <v>4</v>
      </c>
    </row>
    <row r="164" spans="1:35" hidden="1" x14ac:dyDescent="0.35">
      <c r="A164" t="s">
        <v>403</v>
      </c>
      <c r="B164">
        <v>2021</v>
      </c>
      <c r="C164">
        <v>2021</v>
      </c>
      <c r="D164">
        <v>2021</v>
      </c>
      <c r="E164">
        <v>6</v>
      </c>
      <c r="F164">
        <v>1</v>
      </c>
      <c r="G164">
        <v>1</v>
      </c>
      <c r="H164" t="s">
        <v>141</v>
      </c>
      <c r="I164">
        <v>699</v>
      </c>
      <c r="J164" t="s">
        <v>78</v>
      </c>
      <c r="K164" t="s">
        <v>404</v>
      </c>
      <c r="L164">
        <v>724</v>
      </c>
      <c r="M164" t="s">
        <v>239</v>
      </c>
      <c r="N164" t="s">
        <v>455</v>
      </c>
      <c r="V164">
        <v>401190</v>
      </c>
      <c r="W164" t="s">
        <v>411</v>
      </c>
      <c r="X164">
        <v>5</v>
      </c>
      <c r="Y164" t="s">
        <v>233</v>
      </c>
      <c r="Z164">
        <v>567</v>
      </c>
      <c r="AF164">
        <v>270555</v>
      </c>
      <c r="AI164">
        <v>4</v>
      </c>
    </row>
    <row r="165" spans="1:35" hidden="1" x14ac:dyDescent="0.35">
      <c r="A165" t="s">
        <v>403</v>
      </c>
      <c r="B165">
        <v>2021</v>
      </c>
      <c r="C165">
        <v>2021</v>
      </c>
      <c r="D165">
        <v>2021</v>
      </c>
      <c r="E165">
        <v>6</v>
      </c>
      <c r="F165">
        <v>1</v>
      </c>
      <c r="G165">
        <v>1</v>
      </c>
      <c r="H165" t="s">
        <v>141</v>
      </c>
      <c r="I165">
        <v>699</v>
      </c>
      <c r="J165" t="s">
        <v>78</v>
      </c>
      <c r="K165" t="s">
        <v>404</v>
      </c>
      <c r="L165">
        <v>724</v>
      </c>
      <c r="M165" t="s">
        <v>239</v>
      </c>
      <c r="N165" t="s">
        <v>455</v>
      </c>
      <c r="V165">
        <v>401180</v>
      </c>
      <c r="W165" t="s">
        <v>409</v>
      </c>
      <c r="X165">
        <v>5</v>
      </c>
      <c r="Y165" t="s">
        <v>233</v>
      </c>
      <c r="Z165">
        <v>378</v>
      </c>
      <c r="AD165">
        <v>290948</v>
      </c>
      <c r="AF165">
        <v>1227725</v>
      </c>
      <c r="AI165">
        <v>4</v>
      </c>
    </row>
    <row r="166" spans="1:35" hidden="1" x14ac:dyDescent="0.35">
      <c r="A166" t="s">
        <v>403</v>
      </c>
      <c r="B166">
        <v>2021</v>
      </c>
      <c r="C166">
        <v>2021</v>
      </c>
      <c r="D166">
        <v>2021</v>
      </c>
      <c r="E166">
        <v>6</v>
      </c>
      <c r="F166">
        <v>1</v>
      </c>
      <c r="G166">
        <v>1</v>
      </c>
      <c r="H166" t="s">
        <v>141</v>
      </c>
      <c r="I166">
        <v>699</v>
      </c>
      <c r="J166" t="s">
        <v>78</v>
      </c>
      <c r="K166" t="s">
        <v>404</v>
      </c>
      <c r="L166">
        <v>724</v>
      </c>
      <c r="M166" t="s">
        <v>239</v>
      </c>
      <c r="N166" t="s">
        <v>455</v>
      </c>
      <c r="V166">
        <v>401110</v>
      </c>
      <c r="W166" t="s">
        <v>406</v>
      </c>
      <c r="X166">
        <v>5</v>
      </c>
      <c r="Y166" t="s">
        <v>233</v>
      </c>
      <c r="Z166">
        <v>64</v>
      </c>
      <c r="AD166">
        <v>2722</v>
      </c>
      <c r="AF166">
        <v>14713</v>
      </c>
      <c r="AI166">
        <v>4</v>
      </c>
    </row>
    <row r="167" spans="1:35" hidden="1" x14ac:dyDescent="0.35">
      <c r="A167" t="s">
        <v>403</v>
      </c>
      <c r="B167">
        <v>2021</v>
      </c>
      <c r="C167">
        <v>2021</v>
      </c>
      <c r="D167">
        <v>2021</v>
      </c>
      <c r="E167">
        <v>6</v>
      </c>
      <c r="F167">
        <v>1</v>
      </c>
      <c r="G167">
        <v>1</v>
      </c>
      <c r="H167" t="s">
        <v>141</v>
      </c>
      <c r="I167">
        <v>699</v>
      </c>
      <c r="J167" t="s">
        <v>78</v>
      </c>
      <c r="K167" t="s">
        <v>404</v>
      </c>
      <c r="L167">
        <v>724</v>
      </c>
      <c r="M167" t="s">
        <v>239</v>
      </c>
      <c r="N167" t="s">
        <v>455</v>
      </c>
      <c r="V167">
        <v>401120</v>
      </c>
      <c r="W167" t="s">
        <v>407</v>
      </c>
      <c r="X167">
        <v>5</v>
      </c>
      <c r="Y167" t="s">
        <v>233</v>
      </c>
      <c r="Z167">
        <v>28</v>
      </c>
      <c r="AD167">
        <v>2119</v>
      </c>
      <c r="AF167">
        <v>8432</v>
      </c>
      <c r="AI167">
        <v>4</v>
      </c>
    </row>
    <row r="168" spans="1:35" hidden="1" x14ac:dyDescent="0.35">
      <c r="A168" t="s">
        <v>403</v>
      </c>
      <c r="B168">
        <v>2021</v>
      </c>
      <c r="C168">
        <v>2021</v>
      </c>
      <c r="D168">
        <v>2021</v>
      </c>
      <c r="E168">
        <v>6</v>
      </c>
      <c r="F168">
        <v>1</v>
      </c>
      <c r="G168">
        <v>1</v>
      </c>
      <c r="H168" t="s">
        <v>141</v>
      </c>
      <c r="I168">
        <v>699</v>
      </c>
      <c r="J168" t="s">
        <v>78</v>
      </c>
      <c r="K168" t="s">
        <v>404</v>
      </c>
      <c r="L168">
        <v>724</v>
      </c>
      <c r="M168" t="s">
        <v>239</v>
      </c>
      <c r="N168" t="s">
        <v>455</v>
      </c>
      <c r="V168">
        <v>401140</v>
      </c>
      <c r="W168" t="s">
        <v>408</v>
      </c>
      <c r="X168">
        <v>5</v>
      </c>
      <c r="Y168" t="s">
        <v>233</v>
      </c>
      <c r="Z168">
        <v>1093</v>
      </c>
      <c r="AD168">
        <v>11898</v>
      </c>
      <c r="AF168">
        <v>85162</v>
      </c>
      <c r="AI168">
        <v>4</v>
      </c>
    </row>
    <row r="169" spans="1:35" x14ac:dyDescent="0.35">
      <c r="C169">
        <v>2021</v>
      </c>
      <c r="D169">
        <v>2021</v>
      </c>
      <c r="E169">
        <v>6</v>
      </c>
      <c r="F169">
        <v>1</v>
      </c>
      <c r="G169">
        <v>1</v>
      </c>
      <c r="H169" t="s">
        <v>141</v>
      </c>
      <c r="I169">
        <v>700</v>
      </c>
      <c r="J169" t="s">
        <v>78</v>
      </c>
      <c r="K169" t="s">
        <v>404</v>
      </c>
      <c r="L169">
        <v>725</v>
      </c>
      <c r="M169" t="s">
        <v>239</v>
      </c>
      <c r="N169" t="s">
        <v>455</v>
      </c>
      <c r="V169">
        <v>4011</v>
      </c>
      <c r="Z169">
        <f>SUM(Z163:Z168)</f>
        <v>2131</v>
      </c>
      <c r="AA169">
        <f t="shared" ref="AA169:AF169" si="30">SUM(AA163:AA168)</f>
        <v>0</v>
      </c>
      <c r="AB169">
        <f t="shared" si="30"/>
        <v>0</v>
      </c>
      <c r="AC169">
        <f t="shared" si="30"/>
        <v>0</v>
      </c>
      <c r="AD169">
        <f t="shared" si="30"/>
        <v>307880</v>
      </c>
      <c r="AE169">
        <f t="shared" si="30"/>
        <v>0</v>
      </c>
      <c r="AF169">
        <f t="shared" si="30"/>
        <v>1607366</v>
      </c>
    </row>
    <row r="170" spans="1:35" x14ac:dyDescent="0.35">
      <c r="A170" t="s">
        <v>403</v>
      </c>
      <c r="B170">
        <v>2021</v>
      </c>
      <c r="C170">
        <v>2021</v>
      </c>
      <c r="D170">
        <v>2021</v>
      </c>
      <c r="E170">
        <v>6</v>
      </c>
      <c r="F170">
        <v>1</v>
      </c>
      <c r="G170">
        <v>1</v>
      </c>
      <c r="H170" t="s">
        <v>141</v>
      </c>
      <c r="I170">
        <v>699</v>
      </c>
      <c r="J170" t="s">
        <v>78</v>
      </c>
      <c r="K170" t="s">
        <v>404</v>
      </c>
      <c r="L170">
        <v>729</v>
      </c>
      <c r="M170" t="s">
        <v>365</v>
      </c>
      <c r="N170" t="s">
        <v>456</v>
      </c>
      <c r="V170">
        <v>4011</v>
      </c>
      <c r="W170" t="s">
        <v>410</v>
      </c>
      <c r="X170">
        <v>5</v>
      </c>
      <c r="Y170" t="s">
        <v>233</v>
      </c>
      <c r="Z170">
        <v>1</v>
      </c>
      <c r="AD170">
        <v>201</v>
      </c>
      <c r="AF170">
        <v>811</v>
      </c>
      <c r="AI170">
        <v>4</v>
      </c>
    </row>
    <row r="171" spans="1:35" hidden="1" x14ac:dyDescent="0.35">
      <c r="A171" t="s">
        <v>403</v>
      </c>
      <c r="B171">
        <v>2021</v>
      </c>
      <c r="C171">
        <v>2021</v>
      </c>
      <c r="D171">
        <v>2021</v>
      </c>
      <c r="E171">
        <v>6</v>
      </c>
      <c r="F171">
        <v>1</v>
      </c>
      <c r="G171">
        <v>1</v>
      </c>
      <c r="H171" t="s">
        <v>141</v>
      </c>
      <c r="I171">
        <v>699</v>
      </c>
      <c r="J171" t="s">
        <v>78</v>
      </c>
      <c r="K171" t="s">
        <v>404</v>
      </c>
      <c r="L171">
        <v>752</v>
      </c>
      <c r="M171" t="s">
        <v>350</v>
      </c>
      <c r="N171" t="s">
        <v>457</v>
      </c>
      <c r="V171">
        <v>401170</v>
      </c>
      <c r="W171" t="s">
        <v>410</v>
      </c>
      <c r="X171">
        <v>5</v>
      </c>
      <c r="Y171" t="s">
        <v>233</v>
      </c>
      <c r="Z171">
        <v>5</v>
      </c>
      <c r="AD171">
        <v>2331</v>
      </c>
      <c r="AF171">
        <v>9388</v>
      </c>
      <c r="AI171">
        <v>4</v>
      </c>
    </row>
    <row r="172" spans="1:35" hidden="1" x14ac:dyDescent="0.35">
      <c r="A172" t="s">
        <v>403</v>
      </c>
      <c r="B172">
        <v>2021</v>
      </c>
      <c r="C172">
        <v>2021</v>
      </c>
      <c r="D172">
        <v>2021</v>
      </c>
      <c r="E172">
        <v>6</v>
      </c>
      <c r="F172">
        <v>1</v>
      </c>
      <c r="G172">
        <v>1</v>
      </c>
      <c r="H172" t="s">
        <v>141</v>
      </c>
      <c r="I172">
        <v>699</v>
      </c>
      <c r="J172" t="s">
        <v>78</v>
      </c>
      <c r="K172" t="s">
        <v>404</v>
      </c>
      <c r="L172">
        <v>752</v>
      </c>
      <c r="M172" t="s">
        <v>350</v>
      </c>
      <c r="N172" t="s">
        <v>457</v>
      </c>
      <c r="V172">
        <v>401190</v>
      </c>
      <c r="W172" t="s">
        <v>411</v>
      </c>
      <c r="X172">
        <v>5</v>
      </c>
      <c r="Y172" t="s">
        <v>233</v>
      </c>
      <c r="Z172">
        <v>1</v>
      </c>
      <c r="AF172">
        <v>377</v>
      </c>
      <c r="AI172">
        <v>4</v>
      </c>
    </row>
    <row r="173" spans="1:35" hidden="1" x14ac:dyDescent="0.35">
      <c r="A173" t="s">
        <v>403</v>
      </c>
      <c r="B173">
        <v>2021</v>
      </c>
      <c r="C173">
        <v>2021</v>
      </c>
      <c r="D173">
        <v>2021</v>
      </c>
      <c r="E173">
        <v>6</v>
      </c>
      <c r="F173">
        <v>1</v>
      </c>
      <c r="G173">
        <v>1</v>
      </c>
      <c r="H173" t="s">
        <v>141</v>
      </c>
      <c r="I173">
        <v>699</v>
      </c>
      <c r="J173" t="s">
        <v>78</v>
      </c>
      <c r="K173" t="s">
        <v>404</v>
      </c>
      <c r="L173">
        <v>752</v>
      </c>
      <c r="M173" t="s">
        <v>350</v>
      </c>
      <c r="N173" t="s">
        <v>457</v>
      </c>
      <c r="V173">
        <v>401180</v>
      </c>
      <c r="W173" t="s">
        <v>409</v>
      </c>
      <c r="X173">
        <v>5</v>
      </c>
      <c r="Y173" t="s">
        <v>233</v>
      </c>
      <c r="Z173">
        <v>24</v>
      </c>
      <c r="AD173">
        <v>11460</v>
      </c>
      <c r="AF173">
        <v>48358</v>
      </c>
      <c r="AI173">
        <v>4</v>
      </c>
    </row>
    <row r="174" spans="1:35" hidden="1" x14ac:dyDescent="0.35">
      <c r="A174" t="s">
        <v>403</v>
      </c>
      <c r="B174">
        <v>2021</v>
      </c>
      <c r="C174">
        <v>2021</v>
      </c>
      <c r="D174">
        <v>2021</v>
      </c>
      <c r="E174">
        <v>6</v>
      </c>
      <c r="F174">
        <v>1</v>
      </c>
      <c r="G174">
        <v>1</v>
      </c>
      <c r="H174" t="s">
        <v>141</v>
      </c>
      <c r="I174">
        <v>699</v>
      </c>
      <c r="J174" t="s">
        <v>78</v>
      </c>
      <c r="K174" t="s">
        <v>404</v>
      </c>
      <c r="L174">
        <v>752</v>
      </c>
      <c r="M174" t="s">
        <v>350</v>
      </c>
      <c r="N174" t="s">
        <v>457</v>
      </c>
      <c r="V174">
        <v>401110</v>
      </c>
      <c r="W174" t="s">
        <v>406</v>
      </c>
      <c r="X174">
        <v>5</v>
      </c>
      <c r="Y174" t="s">
        <v>233</v>
      </c>
      <c r="Z174">
        <v>484</v>
      </c>
      <c r="AD174">
        <v>13196</v>
      </c>
      <c r="AF174">
        <v>71316</v>
      </c>
      <c r="AI174">
        <v>4</v>
      </c>
    </row>
    <row r="175" spans="1:35" x14ac:dyDescent="0.35">
      <c r="C175">
        <v>2021</v>
      </c>
      <c r="D175">
        <v>2021</v>
      </c>
      <c r="E175">
        <v>6</v>
      </c>
      <c r="F175">
        <v>1</v>
      </c>
      <c r="G175">
        <v>1</v>
      </c>
      <c r="H175" t="s">
        <v>141</v>
      </c>
      <c r="I175">
        <v>700</v>
      </c>
      <c r="J175" t="s">
        <v>78</v>
      </c>
      <c r="K175" t="s">
        <v>404</v>
      </c>
      <c r="L175">
        <v>753</v>
      </c>
      <c r="M175" t="s">
        <v>350</v>
      </c>
      <c r="N175" t="s">
        <v>457</v>
      </c>
      <c r="V175">
        <v>4011</v>
      </c>
      <c r="Z175">
        <f>SUM(Z171:Z174)</f>
        <v>514</v>
      </c>
      <c r="AA175">
        <f t="shared" ref="AA175:AF175" si="31">SUM(AA171:AA174)</f>
        <v>0</v>
      </c>
      <c r="AB175">
        <f t="shared" si="31"/>
        <v>0</v>
      </c>
      <c r="AC175">
        <f t="shared" si="31"/>
        <v>0</v>
      </c>
      <c r="AD175">
        <f t="shared" si="31"/>
        <v>26987</v>
      </c>
      <c r="AE175">
        <f t="shared" si="31"/>
        <v>0</v>
      </c>
      <c r="AF175">
        <f t="shared" si="31"/>
        <v>129439</v>
      </c>
    </row>
    <row r="176" spans="1:35" hidden="1" x14ac:dyDescent="0.35">
      <c r="A176" t="s">
        <v>403</v>
      </c>
      <c r="B176">
        <v>2021</v>
      </c>
      <c r="C176">
        <v>2021</v>
      </c>
      <c r="D176">
        <v>2021</v>
      </c>
      <c r="E176">
        <v>6</v>
      </c>
      <c r="F176">
        <v>1</v>
      </c>
      <c r="G176">
        <v>1</v>
      </c>
      <c r="H176" t="s">
        <v>141</v>
      </c>
      <c r="I176">
        <v>699</v>
      </c>
      <c r="J176" t="s">
        <v>78</v>
      </c>
      <c r="K176" t="s">
        <v>404</v>
      </c>
      <c r="L176">
        <v>757</v>
      </c>
      <c r="M176" t="s">
        <v>339</v>
      </c>
      <c r="N176" t="s">
        <v>458</v>
      </c>
      <c r="V176">
        <v>401110</v>
      </c>
      <c r="W176" t="s">
        <v>406</v>
      </c>
      <c r="X176">
        <v>5</v>
      </c>
      <c r="Y176" t="s">
        <v>233</v>
      </c>
      <c r="Z176">
        <v>8682</v>
      </c>
      <c r="AD176">
        <v>203029</v>
      </c>
      <c r="AF176">
        <v>1097204</v>
      </c>
      <c r="AI176">
        <v>4</v>
      </c>
    </row>
    <row r="177" spans="1:35" hidden="1" x14ac:dyDescent="0.35">
      <c r="A177" t="s">
        <v>403</v>
      </c>
      <c r="B177">
        <v>2021</v>
      </c>
      <c r="C177">
        <v>2021</v>
      </c>
      <c r="D177">
        <v>2021</v>
      </c>
      <c r="E177">
        <v>6</v>
      </c>
      <c r="F177">
        <v>1</v>
      </c>
      <c r="G177">
        <v>1</v>
      </c>
      <c r="H177" t="s">
        <v>141</v>
      </c>
      <c r="I177">
        <v>699</v>
      </c>
      <c r="J177" t="s">
        <v>78</v>
      </c>
      <c r="K177" t="s">
        <v>404</v>
      </c>
      <c r="L177">
        <v>757</v>
      </c>
      <c r="M177" t="s">
        <v>339</v>
      </c>
      <c r="N177" t="s">
        <v>458</v>
      </c>
      <c r="V177">
        <v>401140</v>
      </c>
      <c r="W177" t="s">
        <v>408</v>
      </c>
      <c r="X177">
        <v>5</v>
      </c>
      <c r="Y177" t="s">
        <v>233</v>
      </c>
      <c r="Z177">
        <v>9313</v>
      </c>
      <c r="AD177">
        <v>72184</v>
      </c>
      <c r="AF177">
        <v>516640</v>
      </c>
      <c r="AI177">
        <v>4</v>
      </c>
    </row>
    <row r="178" spans="1:35" hidden="1" x14ac:dyDescent="0.35">
      <c r="A178" t="s">
        <v>403</v>
      </c>
      <c r="B178">
        <v>2021</v>
      </c>
      <c r="C178">
        <v>2021</v>
      </c>
      <c r="D178">
        <v>2021</v>
      </c>
      <c r="E178">
        <v>6</v>
      </c>
      <c r="F178">
        <v>1</v>
      </c>
      <c r="G178">
        <v>1</v>
      </c>
      <c r="H178" t="s">
        <v>141</v>
      </c>
      <c r="I178">
        <v>699</v>
      </c>
      <c r="J178" t="s">
        <v>78</v>
      </c>
      <c r="K178" t="s">
        <v>404</v>
      </c>
      <c r="L178">
        <v>757</v>
      </c>
      <c r="M178" t="s">
        <v>339</v>
      </c>
      <c r="N178" t="s">
        <v>458</v>
      </c>
      <c r="V178">
        <v>401180</v>
      </c>
      <c r="W178" t="s">
        <v>409</v>
      </c>
      <c r="X178">
        <v>5</v>
      </c>
      <c r="Y178" t="s">
        <v>233</v>
      </c>
      <c r="Z178">
        <v>705</v>
      </c>
      <c r="AD178">
        <v>50296</v>
      </c>
      <c r="AF178">
        <v>212239</v>
      </c>
      <c r="AI178">
        <v>4</v>
      </c>
    </row>
    <row r="179" spans="1:35" x14ac:dyDescent="0.35">
      <c r="C179">
        <v>2021</v>
      </c>
      <c r="D179">
        <v>2021</v>
      </c>
      <c r="E179">
        <v>6</v>
      </c>
      <c r="F179">
        <v>1</v>
      </c>
      <c r="G179">
        <v>1</v>
      </c>
      <c r="H179" t="s">
        <v>141</v>
      </c>
      <c r="I179">
        <v>700</v>
      </c>
      <c r="J179" t="s">
        <v>78</v>
      </c>
      <c r="K179" t="s">
        <v>404</v>
      </c>
      <c r="L179">
        <v>758</v>
      </c>
      <c r="M179" t="s">
        <v>339</v>
      </c>
      <c r="N179" t="s">
        <v>458</v>
      </c>
      <c r="V179">
        <v>4011</v>
      </c>
      <c r="Z179">
        <f>SUM(Z176:Z178)</f>
        <v>18700</v>
      </c>
      <c r="AA179">
        <f t="shared" ref="AA179:AF179" si="32">SUM(AA176:AA178)</f>
        <v>0</v>
      </c>
      <c r="AB179">
        <f t="shared" si="32"/>
        <v>0</v>
      </c>
      <c r="AC179">
        <f t="shared" si="32"/>
        <v>0</v>
      </c>
      <c r="AD179">
        <f t="shared" si="32"/>
        <v>325509</v>
      </c>
      <c r="AE179">
        <f t="shared" si="32"/>
        <v>0</v>
      </c>
      <c r="AF179">
        <f t="shared" si="32"/>
        <v>1826083</v>
      </c>
    </row>
    <row r="180" spans="1:35" hidden="1" x14ac:dyDescent="0.35">
      <c r="A180" t="s">
        <v>403</v>
      </c>
      <c r="B180">
        <v>2021</v>
      </c>
      <c r="C180">
        <v>2021</v>
      </c>
      <c r="D180">
        <v>2021</v>
      </c>
      <c r="E180">
        <v>6</v>
      </c>
      <c r="F180">
        <v>1</v>
      </c>
      <c r="G180">
        <v>1</v>
      </c>
      <c r="H180" t="s">
        <v>141</v>
      </c>
      <c r="I180">
        <v>699</v>
      </c>
      <c r="J180" t="s">
        <v>78</v>
      </c>
      <c r="K180" t="s">
        <v>404</v>
      </c>
      <c r="L180">
        <v>764</v>
      </c>
      <c r="M180" t="s">
        <v>174</v>
      </c>
      <c r="N180" t="s">
        <v>459</v>
      </c>
      <c r="V180">
        <v>401180</v>
      </c>
      <c r="W180" t="s">
        <v>409</v>
      </c>
      <c r="X180">
        <v>5</v>
      </c>
      <c r="Y180" t="s">
        <v>233</v>
      </c>
      <c r="Z180">
        <v>9018</v>
      </c>
      <c r="AD180">
        <v>277726</v>
      </c>
      <c r="AF180">
        <v>1171930</v>
      </c>
      <c r="AI180">
        <v>4</v>
      </c>
    </row>
    <row r="181" spans="1:35" hidden="1" x14ac:dyDescent="0.35">
      <c r="A181" t="s">
        <v>403</v>
      </c>
      <c r="B181">
        <v>2021</v>
      </c>
      <c r="C181">
        <v>2021</v>
      </c>
      <c r="D181">
        <v>2021</v>
      </c>
      <c r="E181">
        <v>6</v>
      </c>
      <c r="F181">
        <v>1</v>
      </c>
      <c r="G181">
        <v>1</v>
      </c>
      <c r="H181" t="s">
        <v>141</v>
      </c>
      <c r="I181">
        <v>699</v>
      </c>
      <c r="J181" t="s">
        <v>78</v>
      </c>
      <c r="K181" t="s">
        <v>404</v>
      </c>
      <c r="L181">
        <v>764</v>
      </c>
      <c r="M181" t="s">
        <v>174</v>
      </c>
      <c r="N181" t="s">
        <v>459</v>
      </c>
      <c r="V181">
        <v>401190</v>
      </c>
      <c r="W181" t="s">
        <v>411</v>
      </c>
      <c r="X181">
        <v>5</v>
      </c>
      <c r="Y181" t="s">
        <v>233</v>
      </c>
      <c r="Z181">
        <v>1763</v>
      </c>
      <c r="AF181">
        <v>74391</v>
      </c>
      <c r="AI181">
        <v>4</v>
      </c>
    </row>
    <row r="182" spans="1:35" hidden="1" x14ac:dyDescent="0.35">
      <c r="A182" t="s">
        <v>403</v>
      </c>
      <c r="B182">
        <v>2021</v>
      </c>
      <c r="C182">
        <v>2021</v>
      </c>
      <c r="D182">
        <v>2021</v>
      </c>
      <c r="E182">
        <v>6</v>
      </c>
      <c r="F182">
        <v>1</v>
      </c>
      <c r="G182">
        <v>1</v>
      </c>
      <c r="H182" t="s">
        <v>141</v>
      </c>
      <c r="I182">
        <v>699</v>
      </c>
      <c r="J182" t="s">
        <v>78</v>
      </c>
      <c r="K182" t="s">
        <v>404</v>
      </c>
      <c r="L182">
        <v>764</v>
      </c>
      <c r="M182" t="s">
        <v>174</v>
      </c>
      <c r="N182" t="s">
        <v>459</v>
      </c>
      <c r="V182">
        <v>401140</v>
      </c>
      <c r="W182" t="s">
        <v>408</v>
      </c>
      <c r="X182">
        <v>5</v>
      </c>
      <c r="Y182" t="s">
        <v>233</v>
      </c>
      <c r="Z182">
        <v>61591</v>
      </c>
      <c r="AD182">
        <v>267639</v>
      </c>
      <c r="AF182">
        <v>1915547</v>
      </c>
      <c r="AI182">
        <v>4</v>
      </c>
    </row>
    <row r="183" spans="1:35" hidden="1" x14ac:dyDescent="0.35">
      <c r="A183" t="s">
        <v>403</v>
      </c>
      <c r="B183">
        <v>2021</v>
      </c>
      <c r="C183">
        <v>2021</v>
      </c>
      <c r="D183">
        <v>2021</v>
      </c>
      <c r="E183">
        <v>6</v>
      </c>
      <c r="F183">
        <v>1</v>
      </c>
      <c r="G183">
        <v>1</v>
      </c>
      <c r="H183" t="s">
        <v>141</v>
      </c>
      <c r="I183">
        <v>699</v>
      </c>
      <c r="J183" t="s">
        <v>78</v>
      </c>
      <c r="K183" t="s">
        <v>404</v>
      </c>
      <c r="L183">
        <v>764</v>
      </c>
      <c r="M183" t="s">
        <v>174</v>
      </c>
      <c r="N183" t="s">
        <v>459</v>
      </c>
      <c r="V183">
        <v>401120</v>
      </c>
      <c r="W183" t="s">
        <v>407</v>
      </c>
      <c r="X183">
        <v>5</v>
      </c>
      <c r="Y183" t="s">
        <v>233</v>
      </c>
      <c r="Z183">
        <v>80015</v>
      </c>
      <c r="AD183">
        <v>2520083</v>
      </c>
      <c r="AF183">
        <v>10027486</v>
      </c>
      <c r="AI183">
        <v>4</v>
      </c>
    </row>
    <row r="184" spans="1:35" hidden="1" x14ac:dyDescent="0.35">
      <c r="A184" t="s">
        <v>403</v>
      </c>
      <c r="B184">
        <v>2021</v>
      </c>
      <c r="C184">
        <v>2021</v>
      </c>
      <c r="D184">
        <v>2021</v>
      </c>
      <c r="E184">
        <v>6</v>
      </c>
      <c r="F184">
        <v>1</v>
      </c>
      <c r="G184">
        <v>1</v>
      </c>
      <c r="H184" t="s">
        <v>141</v>
      </c>
      <c r="I184">
        <v>699</v>
      </c>
      <c r="J184" t="s">
        <v>78</v>
      </c>
      <c r="K184" t="s">
        <v>404</v>
      </c>
      <c r="L184">
        <v>764</v>
      </c>
      <c r="M184" t="s">
        <v>174</v>
      </c>
      <c r="N184" t="s">
        <v>459</v>
      </c>
      <c r="V184">
        <v>401110</v>
      </c>
      <c r="W184" t="s">
        <v>406</v>
      </c>
      <c r="X184">
        <v>5</v>
      </c>
      <c r="Y184" t="s">
        <v>233</v>
      </c>
      <c r="Z184">
        <v>831246</v>
      </c>
      <c r="AD184">
        <v>6827191</v>
      </c>
      <c r="AF184">
        <v>36895284</v>
      </c>
      <c r="AI184">
        <v>4</v>
      </c>
    </row>
    <row r="185" spans="1:35" x14ac:dyDescent="0.35">
      <c r="C185">
        <v>2021</v>
      </c>
      <c r="D185">
        <v>2021</v>
      </c>
      <c r="E185">
        <v>6</v>
      </c>
      <c r="F185">
        <v>1</v>
      </c>
      <c r="G185">
        <v>1</v>
      </c>
      <c r="H185" t="s">
        <v>141</v>
      </c>
      <c r="I185">
        <v>700</v>
      </c>
      <c r="J185" t="s">
        <v>78</v>
      </c>
      <c r="K185" t="s">
        <v>404</v>
      </c>
      <c r="L185">
        <v>765</v>
      </c>
      <c r="M185" t="s">
        <v>174</v>
      </c>
      <c r="N185" t="s">
        <v>459</v>
      </c>
      <c r="V185">
        <v>4011</v>
      </c>
      <c r="Z185">
        <f>SUM(Z180:Z184)</f>
        <v>983633</v>
      </c>
      <c r="AA185">
        <f t="shared" ref="AA185:AF185" si="33">SUM(AA180:AA184)</f>
        <v>0</v>
      </c>
      <c r="AB185">
        <f t="shared" si="33"/>
        <v>0</v>
      </c>
      <c r="AC185">
        <f t="shared" si="33"/>
        <v>0</v>
      </c>
      <c r="AD185">
        <f t="shared" si="33"/>
        <v>9892639</v>
      </c>
      <c r="AE185">
        <f t="shared" si="33"/>
        <v>0</v>
      </c>
      <c r="AF185">
        <f t="shared" si="33"/>
        <v>50084638</v>
      </c>
    </row>
    <row r="186" spans="1:35" hidden="1" x14ac:dyDescent="0.35">
      <c r="A186" t="s">
        <v>403</v>
      </c>
      <c r="B186">
        <v>2021</v>
      </c>
      <c r="C186">
        <v>2021</v>
      </c>
      <c r="D186">
        <v>2021</v>
      </c>
      <c r="E186">
        <v>6</v>
      </c>
      <c r="F186">
        <v>1</v>
      </c>
      <c r="G186">
        <v>1</v>
      </c>
      <c r="H186" t="s">
        <v>141</v>
      </c>
      <c r="I186">
        <v>699</v>
      </c>
      <c r="J186" t="s">
        <v>78</v>
      </c>
      <c r="K186" t="s">
        <v>404</v>
      </c>
      <c r="L186">
        <v>784</v>
      </c>
      <c r="M186" t="s">
        <v>340</v>
      </c>
      <c r="N186" t="s">
        <v>460</v>
      </c>
      <c r="V186">
        <v>401110</v>
      </c>
      <c r="W186" t="s">
        <v>406</v>
      </c>
      <c r="X186">
        <v>5</v>
      </c>
      <c r="Y186" t="s">
        <v>233</v>
      </c>
      <c r="Z186">
        <v>35505</v>
      </c>
      <c r="AD186">
        <v>174115</v>
      </c>
      <c r="AF186">
        <v>940950</v>
      </c>
      <c r="AI186">
        <v>4</v>
      </c>
    </row>
    <row r="187" spans="1:35" hidden="1" x14ac:dyDescent="0.35">
      <c r="A187" t="s">
        <v>403</v>
      </c>
      <c r="B187">
        <v>2021</v>
      </c>
      <c r="C187">
        <v>2021</v>
      </c>
      <c r="D187">
        <v>2021</v>
      </c>
      <c r="E187">
        <v>6</v>
      </c>
      <c r="F187">
        <v>1</v>
      </c>
      <c r="G187">
        <v>1</v>
      </c>
      <c r="H187" t="s">
        <v>141</v>
      </c>
      <c r="I187">
        <v>699</v>
      </c>
      <c r="J187" t="s">
        <v>78</v>
      </c>
      <c r="K187" t="s">
        <v>404</v>
      </c>
      <c r="L187">
        <v>784</v>
      </c>
      <c r="M187" t="s">
        <v>340</v>
      </c>
      <c r="N187" t="s">
        <v>460</v>
      </c>
      <c r="V187">
        <v>401120</v>
      </c>
      <c r="W187" t="s">
        <v>407</v>
      </c>
      <c r="X187">
        <v>5</v>
      </c>
      <c r="Y187" t="s">
        <v>233</v>
      </c>
      <c r="Z187">
        <v>57</v>
      </c>
      <c r="AD187">
        <v>9934</v>
      </c>
      <c r="AF187">
        <v>39529</v>
      </c>
      <c r="AI187">
        <v>4</v>
      </c>
    </row>
    <row r="188" spans="1:35" hidden="1" x14ac:dyDescent="0.35">
      <c r="A188" t="s">
        <v>403</v>
      </c>
      <c r="B188">
        <v>2021</v>
      </c>
      <c r="C188">
        <v>2021</v>
      </c>
      <c r="D188">
        <v>2021</v>
      </c>
      <c r="E188">
        <v>6</v>
      </c>
      <c r="F188">
        <v>1</v>
      </c>
      <c r="G188">
        <v>1</v>
      </c>
      <c r="H188" t="s">
        <v>141</v>
      </c>
      <c r="I188">
        <v>699</v>
      </c>
      <c r="J188" t="s">
        <v>78</v>
      </c>
      <c r="K188" t="s">
        <v>404</v>
      </c>
      <c r="L188">
        <v>784</v>
      </c>
      <c r="M188" t="s">
        <v>340</v>
      </c>
      <c r="N188" t="s">
        <v>460</v>
      </c>
      <c r="V188">
        <v>401190</v>
      </c>
      <c r="W188" t="s">
        <v>411</v>
      </c>
      <c r="X188">
        <v>5</v>
      </c>
      <c r="Y188" t="s">
        <v>233</v>
      </c>
      <c r="Z188">
        <v>5055</v>
      </c>
      <c r="AF188">
        <v>132002</v>
      </c>
      <c r="AI188">
        <v>4</v>
      </c>
    </row>
    <row r="189" spans="1:35" hidden="1" x14ac:dyDescent="0.35">
      <c r="A189" t="s">
        <v>403</v>
      </c>
      <c r="B189">
        <v>2021</v>
      </c>
      <c r="C189">
        <v>2021</v>
      </c>
      <c r="D189">
        <v>2021</v>
      </c>
      <c r="E189">
        <v>6</v>
      </c>
      <c r="F189">
        <v>1</v>
      </c>
      <c r="G189">
        <v>1</v>
      </c>
      <c r="H189" t="s">
        <v>141</v>
      </c>
      <c r="I189">
        <v>699</v>
      </c>
      <c r="J189" t="s">
        <v>78</v>
      </c>
      <c r="K189" t="s">
        <v>404</v>
      </c>
      <c r="L189">
        <v>784</v>
      </c>
      <c r="M189" t="s">
        <v>340</v>
      </c>
      <c r="N189" t="s">
        <v>460</v>
      </c>
      <c r="V189">
        <v>401170</v>
      </c>
      <c r="W189" t="s">
        <v>410</v>
      </c>
      <c r="X189">
        <v>5</v>
      </c>
      <c r="Y189" t="s">
        <v>233</v>
      </c>
      <c r="Z189">
        <v>3984</v>
      </c>
      <c r="AD189">
        <v>20086</v>
      </c>
      <c r="AF189">
        <v>80869</v>
      </c>
      <c r="AI189">
        <v>4</v>
      </c>
    </row>
    <row r="190" spans="1:35" hidden="1" x14ac:dyDescent="0.35">
      <c r="A190" t="s">
        <v>403</v>
      </c>
      <c r="B190">
        <v>2021</v>
      </c>
      <c r="C190">
        <v>2021</v>
      </c>
      <c r="D190">
        <v>2021</v>
      </c>
      <c r="E190">
        <v>6</v>
      </c>
      <c r="F190">
        <v>1</v>
      </c>
      <c r="G190">
        <v>1</v>
      </c>
      <c r="H190" t="s">
        <v>141</v>
      </c>
      <c r="I190">
        <v>699</v>
      </c>
      <c r="J190" t="s">
        <v>78</v>
      </c>
      <c r="K190" t="s">
        <v>404</v>
      </c>
      <c r="L190">
        <v>784</v>
      </c>
      <c r="M190" t="s">
        <v>340</v>
      </c>
      <c r="N190" t="s">
        <v>460</v>
      </c>
      <c r="V190">
        <v>401180</v>
      </c>
      <c r="W190" t="s">
        <v>409</v>
      </c>
      <c r="X190">
        <v>5</v>
      </c>
      <c r="Y190" t="s">
        <v>233</v>
      </c>
      <c r="Z190">
        <v>883</v>
      </c>
      <c r="AD190">
        <v>14405</v>
      </c>
      <c r="AF190">
        <v>60786</v>
      </c>
      <c r="AI190">
        <v>4</v>
      </c>
    </row>
    <row r="191" spans="1:35" x14ac:dyDescent="0.35">
      <c r="C191">
        <v>2021</v>
      </c>
      <c r="D191">
        <v>2021</v>
      </c>
      <c r="E191">
        <v>6</v>
      </c>
      <c r="F191">
        <v>1</v>
      </c>
      <c r="G191">
        <v>1</v>
      </c>
      <c r="H191" t="s">
        <v>141</v>
      </c>
      <c r="I191">
        <v>700</v>
      </c>
      <c r="J191" t="s">
        <v>78</v>
      </c>
      <c r="K191" t="s">
        <v>404</v>
      </c>
      <c r="L191">
        <v>785</v>
      </c>
      <c r="M191" t="s">
        <v>340</v>
      </c>
      <c r="N191" t="s">
        <v>460</v>
      </c>
      <c r="V191">
        <v>4011</v>
      </c>
      <c r="Z191">
        <f>SUM(Z186:Z190)</f>
        <v>45484</v>
      </c>
      <c r="AA191">
        <f t="shared" ref="AA191:AF191" si="34">SUM(AA186:AA190)</f>
        <v>0</v>
      </c>
      <c r="AB191">
        <f t="shared" si="34"/>
        <v>0</v>
      </c>
      <c r="AC191">
        <f t="shared" si="34"/>
        <v>0</v>
      </c>
      <c r="AD191">
        <f t="shared" si="34"/>
        <v>218540</v>
      </c>
      <c r="AE191">
        <f t="shared" si="34"/>
        <v>0</v>
      </c>
      <c r="AF191">
        <f t="shared" si="34"/>
        <v>1254136</v>
      </c>
    </row>
    <row r="192" spans="1:35" hidden="1" x14ac:dyDescent="0.35">
      <c r="A192" t="s">
        <v>403</v>
      </c>
      <c r="B192">
        <v>2021</v>
      </c>
      <c r="C192">
        <v>2021</v>
      </c>
      <c r="D192">
        <v>2021</v>
      </c>
      <c r="E192">
        <v>6</v>
      </c>
      <c r="F192">
        <v>1</v>
      </c>
      <c r="G192">
        <v>1</v>
      </c>
      <c r="H192" t="s">
        <v>141</v>
      </c>
      <c r="I192">
        <v>699</v>
      </c>
      <c r="J192" t="s">
        <v>78</v>
      </c>
      <c r="K192" t="s">
        <v>404</v>
      </c>
      <c r="L192">
        <v>792</v>
      </c>
      <c r="M192" t="s">
        <v>348</v>
      </c>
      <c r="N192" t="s">
        <v>461</v>
      </c>
      <c r="V192">
        <v>401180</v>
      </c>
      <c r="W192" t="s">
        <v>409</v>
      </c>
      <c r="X192">
        <v>5</v>
      </c>
      <c r="Y192" t="s">
        <v>233</v>
      </c>
      <c r="Z192">
        <v>181</v>
      </c>
      <c r="AD192">
        <v>14525</v>
      </c>
      <c r="AF192">
        <v>61292</v>
      </c>
      <c r="AI192">
        <v>4</v>
      </c>
    </row>
    <row r="193" spans="1:35" hidden="1" x14ac:dyDescent="0.35">
      <c r="A193" t="s">
        <v>403</v>
      </c>
      <c r="B193">
        <v>2021</v>
      </c>
      <c r="C193">
        <v>2021</v>
      </c>
      <c r="D193">
        <v>2021</v>
      </c>
      <c r="E193">
        <v>6</v>
      </c>
      <c r="F193">
        <v>1</v>
      </c>
      <c r="G193">
        <v>1</v>
      </c>
      <c r="H193" t="s">
        <v>141</v>
      </c>
      <c r="I193">
        <v>699</v>
      </c>
      <c r="J193" t="s">
        <v>78</v>
      </c>
      <c r="K193" t="s">
        <v>404</v>
      </c>
      <c r="L193">
        <v>792</v>
      </c>
      <c r="M193" t="s">
        <v>348</v>
      </c>
      <c r="N193" t="s">
        <v>461</v>
      </c>
      <c r="V193">
        <v>401170</v>
      </c>
      <c r="W193" t="s">
        <v>410</v>
      </c>
      <c r="X193">
        <v>5</v>
      </c>
      <c r="Y193" t="s">
        <v>233</v>
      </c>
      <c r="Z193">
        <v>482</v>
      </c>
      <c r="AD193">
        <v>16479</v>
      </c>
      <c r="AF193">
        <v>66347</v>
      </c>
      <c r="AI193">
        <v>4</v>
      </c>
    </row>
    <row r="194" spans="1:35" hidden="1" x14ac:dyDescent="0.35">
      <c r="A194" t="s">
        <v>403</v>
      </c>
      <c r="B194">
        <v>2021</v>
      </c>
      <c r="C194">
        <v>2021</v>
      </c>
      <c r="D194">
        <v>2021</v>
      </c>
      <c r="E194">
        <v>6</v>
      </c>
      <c r="F194">
        <v>1</v>
      </c>
      <c r="G194">
        <v>1</v>
      </c>
      <c r="H194" t="s">
        <v>141</v>
      </c>
      <c r="I194">
        <v>699</v>
      </c>
      <c r="J194" t="s">
        <v>78</v>
      </c>
      <c r="K194" t="s">
        <v>404</v>
      </c>
      <c r="L194">
        <v>792</v>
      </c>
      <c r="M194" t="s">
        <v>348</v>
      </c>
      <c r="N194" t="s">
        <v>461</v>
      </c>
      <c r="V194">
        <v>401120</v>
      </c>
      <c r="W194" t="s">
        <v>407</v>
      </c>
      <c r="X194">
        <v>5</v>
      </c>
      <c r="Y194" t="s">
        <v>233</v>
      </c>
      <c r="Z194">
        <v>6</v>
      </c>
      <c r="AD194">
        <v>520</v>
      </c>
      <c r="AF194">
        <v>2072</v>
      </c>
      <c r="AI194">
        <v>4</v>
      </c>
    </row>
    <row r="195" spans="1:35" hidden="1" x14ac:dyDescent="0.35">
      <c r="A195" t="s">
        <v>403</v>
      </c>
      <c r="B195">
        <v>2021</v>
      </c>
      <c r="C195">
        <v>2021</v>
      </c>
      <c r="D195">
        <v>2021</v>
      </c>
      <c r="E195">
        <v>6</v>
      </c>
      <c r="F195">
        <v>1</v>
      </c>
      <c r="G195">
        <v>1</v>
      </c>
      <c r="H195" t="s">
        <v>141</v>
      </c>
      <c r="I195">
        <v>699</v>
      </c>
      <c r="J195" t="s">
        <v>78</v>
      </c>
      <c r="K195" t="s">
        <v>404</v>
      </c>
      <c r="L195">
        <v>792</v>
      </c>
      <c r="M195" t="s">
        <v>348</v>
      </c>
      <c r="N195" t="s">
        <v>461</v>
      </c>
      <c r="V195">
        <v>401110</v>
      </c>
      <c r="W195" t="s">
        <v>406</v>
      </c>
      <c r="X195">
        <v>5</v>
      </c>
      <c r="Y195" t="s">
        <v>233</v>
      </c>
      <c r="Z195">
        <v>710</v>
      </c>
      <c r="AD195">
        <v>19666</v>
      </c>
      <c r="AF195">
        <v>106281</v>
      </c>
      <c r="AI195">
        <v>4</v>
      </c>
    </row>
    <row r="196" spans="1:35" x14ac:dyDescent="0.35">
      <c r="C196">
        <v>2021</v>
      </c>
      <c r="D196">
        <v>2021</v>
      </c>
      <c r="E196">
        <v>6</v>
      </c>
      <c r="F196">
        <v>1</v>
      </c>
      <c r="G196">
        <v>1</v>
      </c>
      <c r="H196" t="s">
        <v>141</v>
      </c>
      <c r="I196">
        <v>700</v>
      </c>
      <c r="J196" t="s">
        <v>78</v>
      </c>
      <c r="K196" t="s">
        <v>404</v>
      </c>
      <c r="L196">
        <v>793</v>
      </c>
      <c r="M196" t="s">
        <v>348</v>
      </c>
      <c r="N196" t="s">
        <v>461</v>
      </c>
      <c r="V196">
        <v>4011</v>
      </c>
      <c r="Z196">
        <f>SUM(Z192:Z195)</f>
        <v>1379</v>
      </c>
      <c r="AA196">
        <f t="shared" ref="AA196:AF196" si="35">SUM(AA192:AA195)</f>
        <v>0</v>
      </c>
      <c r="AB196">
        <f t="shared" si="35"/>
        <v>0</v>
      </c>
      <c r="AC196">
        <f t="shared" si="35"/>
        <v>0</v>
      </c>
      <c r="AD196">
        <f t="shared" si="35"/>
        <v>51190</v>
      </c>
      <c r="AE196">
        <f t="shared" si="35"/>
        <v>0</v>
      </c>
      <c r="AF196">
        <f t="shared" si="35"/>
        <v>235992</v>
      </c>
    </row>
    <row r="197" spans="1:35" hidden="1" x14ac:dyDescent="0.35">
      <c r="A197" t="s">
        <v>403</v>
      </c>
      <c r="B197">
        <v>2021</v>
      </c>
      <c r="C197">
        <v>2021</v>
      </c>
      <c r="D197">
        <v>2021</v>
      </c>
      <c r="E197">
        <v>6</v>
      </c>
      <c r="F197">
        <v>1</v>
      </c>
      <c r="G197">
        <v>1</v>
      </c>
      <c r="H197" t="s">
        <v>141</v>
      </c>
      <c r="I197">
        <v>699</v>
      </c>
      <c r="J197" t="s">
        <v>78</v>
      </c>
      <c r="K197" t="s">
        <v>404</v>
      </c>
      <c r="L197">
        <v>818</v>
      </c>
      <c r="M197" t="s">
        <v>354</v>
      </c>
      <c r="N197" t="s">
        <v>462</v>
      </c>
      <c r="V197">
        <v>401140</v>
      </c>
      <c r="W197" t="s">
        <v>408</v>
      </c>
      <c r="X197">
        <v>5</v>
      </c>
      <c r="Y197" t="s">
        <v>233</v>
      </c>
      <c r="Z197">
        <v>1847</v>
      </c>
      <c r="AD197">
        <v>2578</v>
      </c>
      <c r="AF197">
        <v>18451</v>
      </c>
      <c r="AI197">
        <v>4</v>
      </c>
    </row>
    <row r="198" spans="1:35" hidden="1" x14ac:dyDescent="0.35">
      <c r="A198" t="s">
        <v>403</v>
      </c>
      <c r="B198">
        <v>2021</v>
      </c>
      <c r="C198">
        <v>2021</v>
      </c>
      <c r="D198">
        <v>2021</v>
      </c>
      <c r="E198">
        <v>6</v>
      </c>
      <c r="F198">
        <v>1</v>
      </c>
      <c r="G198">
        <v>1</v>
      </c>
      <c r="H198" t="s">
        <v>141</v>
      </c>
      <c r="I198">
        <v>699</v>
      </c>
      <c r="J198" t="s">
        <v>78</v>
      </c>
      <c r="K198" t="s">
        <v>404</v>
      </c>
      <c r="L198">
        <v>818</v>
      </c>
      <c r="M198" t="s">
        <v>354</v>
      </c>
      <c r="N198" t="s">
        <v>462</v>
      </c>
      <c r="V198">
        <v>401190</v>
      </c>
      <c r="W198" t="s">
        <v>411</v>
      </c>
      <c r="X198">
        <v>5</v>
      </c>
      <c r="Y198" t="s">
        <v>233</v>
      </c>
      <c r="Z198">
        <v>40</v>
      </c>
      <c r="AF198">
        <v>9937</v>
      </c>
      <c r="AI198">
        <v>4</v>
      </c>
    </row>
    <row r="199" spans="1:35" x14ac:dyDescent="0.35">
      <c r="C199">
        <v>2021</v>
      </c>
      <c r="D199">
        <v>2021</v>
      </c>
      <c r="E199">
        <v>6</v>
      </c>
      <c r="F199">
        <v>1</v>
      </c>
      <c r="G199">
        <v>1</v>
      </c>
      <c r="H199" t="s">
        <v>141</v>
      </c>
      <c r="I199">
        <v>700</v>
      </c>
      <c r="J199" t="s">
        <v>78</v>
      </c>
      <c r="K199" t="s">
        <v>404</v>
      </c>
      <c r="L199">
        <v>819</v>
      </c>
      <c r="M199" t="s">
        <v>354</v>
      </c>
      <c r="N199" t="s">
        <v>462</v>
      </c>
      <c r="V199">
        <v>4011</v>
      </c>
      <c r="Z199">
        <f>SUM(Z197:Z198)</f>
        <v>1887</v>
      </c>
      <c r="AA199">
        <f t="shared" ref="AA199:AF199" si="36">SUM(AA197:AA198)</f>
        <v>0</v>
      </c>
      <c r="AB199">
        <f t="shared" si="36"/>
        <v>0</v>
      </c>
      <c r="AC199">
        <f t="shared" si="36"/>
        <v>0</v>
      </c>
      <c r="AD199">
        <f t="shared" si="36"/>
        <v>2578</v>
      </c>
      <c r="AE199">
        <f t="shared" si="36"/>
        <v>0</v>
      </c>
      <c r="AF199">
        <f t="shared" si="36"/>
        <v>28388</v>
      </c>
    </row>
    <row r="200" spans="1:35" hidden="1" x14ac:dyDescent="0.35">
      <c r="A200" t="s">
        <v>403</v>
      </c>
      <c r="B200">
        <v>2021</v>
      </c>
      <c r="C200">
        <v>2021</v>
      </c>
      <c r="D200">
        <v>2021</v>
      </c>
      <c r="E200">
        <v>6</v>
      </c>
      <c r="F200">
        <v>1</v>
      </c>
      <c r="G200">
        <v>1</v>
      </c>
      <c r="H200" t="s">
        <v>141</v>
      </c>
      <c r="I200">
        <v>699</v>
      </c>
      <c r="J200" t="s">
        <v>78</v>
      </c>
      <c r="K200" t="s">
        <v>404</v>
      </c>
      <c r="L200">
        <v>826</v>
      </c>
      <c r="M200" t="s">
        <v>176</v>
      </c>
      <c r="N200" t="s">
        <v>463</v>
      </c>
      <c r="V200">
        <v>401190</v>
      </c>
      <c r="W200" t="s">
        <v>411</v>
      </c>
      <c r="X200">
        <v>5</v>
      </c>
      <c r="Y200" t="s">
        <v>233</v>
      </c>
      <c r="Z200">
        <v>1</v>
      </c>
      <c r="AF200">
        <v>69</v>
      </c>
      <c r="AI200">
        <v>4</v>
      </c>
    </row>
    <row r="201" spans="1:35" hidden="1" x14ac:dyDescent="0.35">
      <c r="A201" t="s">
        <v>403</v>
      </c>
      <c r="B201">
        <v>2021</v>
      </c>
      <c r="C201">
        <v>2021</v>
      </c>
      <c r="D201">
        <v>2021</v>
      </c>
      <c r="E201">
        <v>6</v>
      </c>
      <c r="F201">
        <v>1</v>
      </c>
      <c r="G201">
        <v>1</v>
      </c>
      <c r="H201" t="s">
        <v>141</v>
      </c>
      <c r="I201">
        <v>699</v>
      </c>
      <c r="J201" t="s">
        <v>78</v>
      </c>
      <c r="K201" t="s">
        <v>404</v>
      </c>
      <c r="L201">
        <v>826</v>
      </c>
      <c r="M201" t="s">
        <v>176</v>
      </c>
      <c r="N201" t="s">
        <v>463</v>
      </c>
      <c r="V201">
        <v>401170</v>
      </c>
      <c r="W201" t="s">
        <v>410</v>
      </c>
      <c r="X201">
        <v>5</v>
      </c>
      <c r="Y201" t="s">
        <v>233</v>
      </c>
      <c r="Z201">
        <v>76</v>
      </c>
      <c r="AD201">
        <v>22229</v>
      </c>
      <c r="AF201">
        <v>89496</v>
      </c>
      <c r="AI201">
        <v>4</v>
      </c>
    </row>
    <row r="202" spans="1:35" hidden="1" x14ac:dyDescent="0.35">
      <c r="A202" t="s">
        <v>403</v>
      </c>
      <c r="B202">
        <v>2021</v>
      </c>
      <c r="C202">
        <v>2021</v>
      </c>
      <c r="D202">
        <v>2021</v>
      </c>
      <c r="E202">
        <v>6</v>
      </c>
      <c r="F202">
        <v>1</v>
      </c>
      <c r="G202">
        <v>1</v>
      </c>
      <c r="H202" t="s">
        <v>141</v>
      </c>
      <c r="I202">
        <v>699</v>
      </c>
      <c r="J202" t="s">
        <v>78</v>
      </c>
      <c r="K202" t="s">
        <v>404</v>
      </c>
      <c r="L202">
        <v>826</v>
      </c>
      <c r="M202" t="s">
        <v>176</v>
      </c>
      <c r="N202" t="s">
        <v>463</v>
      </c>
      <c r="V202">
        <v>401180</v>
      </c>
      <c r="W202" t="s">
        <v>409</v>
      </c>
      <c r="X202">
        <v>5</v>
      </c>
      <c r="Y202" t="s">
        <v>233</v>
      </c>
      <c r="Z202">
        <v>885</v>
      </c>
      <c r="AD202">
        <v>46711</v>
      </c>
      <c r="AF202">
        <v>197107</v>
      </c>
      <c r="AI202">
        <v>4</v>
      </c>
    </row>
    <row r="203" spans="1:35" hidden="1" x14ac:dyDescent="0.35">
      <c r="A203" t="s">
        <v>403</v>
      </c>
      <c r="B203">
        <v>2021</v>
      </c>
      <c r="C203">
        <v>2021</v>
      </c>
      <c r="D203">
        <v>2021</v>
      </c>
      <c r="E203">
        <v>6</v>
      </c>
      <c r="F203">
        <v>1</v>
      </c>
      <c r="G203">
        <v>1</v>
      </c>
      <c r="H203" t="s">
        <v>141</v>
      </c>
      <c r="I203">
        <v>699</v>
      </c>
      <c r="J203" t="s">
        <v>78</v>
      </c>
      <c r="K203" t="s">
        <v>404</v>
      </c>
      <c r="L203">
        <v>826</v>
      </c>
      <c r="M203" t="s">
        <v>176</v>
      </c>
      <c r="N203" t="s">
        <v>463</v>
      </c>
      <c r="V203">
        <v>401140</v>
      </c>
      <c r="W203" t="s">
        <v>408</v>
      </c>
      <c r="X203">
        <v>5</v>
      </c>
      <c r="Y203" t="s">
        <v>233</v>
      </c>
      <c r="Z203">
        <v>43</v>
      </c>
      <c r="AD203">
        <v>890</v>
      </c>
      <c r="AF203">
        <v>6375</v>
      </c>
      <c r="AI203">
        <v>4</v>
      </c>
    </row>
    <row r="204" spans="1:35" hidden="1" x14ac:dyDescent="0.35">
      <c r="A204" t="s">
        <v>403</v>
      </c>
      <c r="B204">
        <v>2021</v>
      </c>
      <c r="C204">
        <v>2021</v>
      </c>
      <c r="D204">
        <v>2021</v>
      </c>
      <c r="E204">
        <v>6</v>
      </c>
      <c r="F204">
        <v>1</v>
      </c>
      <c r="G204">
        <v>1</v>
      </c>
      <c r="H204" t="s">
        <v>141</v>
      </c>
      <c r="I204">
        <v>699</v>
      </c>
      <c r="J204" t="s">
        <v>78</v>
      </c>
      <c r="K204" t="s">
        <v>404</v>
      </c>
      <c r="L204">
        <v>826</v>
      </c>
      <c r="M204" t="s">
        <v>176</v>
      </c>
      <c r="N204" t="s">
        <v>463</v>
      </c>
      <c r="V204">
        <v>401120</v>
      </c>
      <c r="W204" t="s">
        <v>407</v>
      </c>
      <c r="X204">
        <v>5</v>
      </c>
      <c r="Y204" t="s">
        <v>233</v>
      </c>
      <c r="Z204">
        <v>3</v>
      </c>
      <c r="AD204">
        <v>365</v>
      </c>
      <c r="AF204">
        <v>1456</v>
      </c>
      <c r="AI204">
        <v>4</v>
      </c>
    </row>
    <row r="205" spans="1:35" hidden="1" x14ac:dyDescent="0.35">
      <c r="A205" t="s">
        <v>403</v>
      </c>
      <c r="B205">
        <v>2021</v>
      </c>
      <c r="C205">
        <v>2021</v>
      </c>
      <c r="D205">
        <v>2021</v>
      </c>
      <c r="E205">
        <v>6</v>
      </c>
      <c r="F205">
        <v>1</v>
      </c>
      <c r="G205">
        <v>1</v>
      </c>
      <c r="H205" t="s">
        <v>141</v>
      </c>
      <c r="I205">
        <v>699</v>
      </c>
      <c r="J205" t="s">
        <v>78</v>
      </c>
      <c r="K205" t="s">
        <v>404</v>
      </c>
      <c r="L205">
        <v>826</v>
      </c>
      <c r="M205" t="s">
        <v>176</v>
      </c>
      <c r="N205" t="s">
        <v>463</v>
      </c>
      <c r="V205">
        <v>401110</v>
      </c>
      <c r="W205" t="s">
        <v>406</v>
      </c>
      <c r="X205">
        <v>5</v>
      </c>
      <c r="Y205" t="s">
        <v>233</v>
      </c>
      <c r="Z205">
        <v>4323</v>
      </c>
      <c r="AD205">
        <v>111351</v>
      </c>
      <c r="AF205">
        <v>601762</v>
      </c>
      <c r="AI205">
        <v>4</v>
      </c>
    </row>
    <row r="206" spans="1:35" x14ac:dyDescent="0.35">
      <c r="C206">
        <v>2021</v>
      </c>
      <c r="D206">
        <v>2021</v>
      </c>
      <c r="E206">
        <v>6</v>
      </c>
      <c r="F206">
        <v>1</v>
      </c>
      <c r="G206">
        <v>1</v>
      </c>
      <c r="H206" t="s">
        <v>141</v>
      </c>
      <c r="I206">
        <v>700</v>
      </c>
      <c r="J206" t="s">
        <v>78</v>
      </c>
      <c r="K206" t="s">
        <v>404</v>
      </c>
      <c r="L206">
        <v>827</v>
      </c>
      <c r="M206" t="s">
        <v>176</v>
      </c>
      <c r="N206" t="s">
        <v>463</v>
      </c>
      <c r="V206">
        <v>4011</v>
      </c>
      <c r="Z206">
        <f>SUM(Z200:Z205)</f>
        <v>5331</v>
      </c>
      <c r="AA206">
        <f t="shared" ref="AA206:AF206" si="37">SUM(AA200:AA205)</f>
        <v>0</v>
      </c>
      <c r="AB206">
        <f t="shared" si="37"/>
        <v>0</v>
      </c>
      <c r="AC206">
        <f t="shared" si="37"/>
        <v>0</v>
      </c>
      <c r="AD206">
        <f t="shared" si="37"/>
        <v>181546</v>
      </c>
      <c r="AE206">
        <f t="shared" si="37"/>
        <v>0</v>
      </c>
      <c r="AF206">
        <f t="shared" si="37"/>
        <v>896265</v>
      </c>
    </row>
    <row r="207" spans="1:35" hidden="1" x14ac:dyDescent="0.35">
      <c r="A207" t="s">
        <v>403</v>
      </c>
      <c r="B207">
        <v>2021</v>
      </c>
      <c r="C207">
        <v>2021</v>
      </c>
      <c r="D207">
        <v>2021</v>
      </c>
      <c r="E207">
        <v>6</v>
      </c>
      <c r="F207">
        <v>1</v>
      </c>
      <c r="G207">
        <v>1</v>
      </c>
      <c r="H207" t="s">
        <v>141</v>
      </c>
      <c r="I207">
        <v>699</v>
      </c>
      <c r="J207" t="s">
        <v>78</v>
      </c>
      <c r="K207" t="s">
        <v>404</v>
      </c>
      <c r="L207">
        <v>842</v>
      </c>
      <c r="M207" t="s">
        <v>172</v>
      </c>
      <c r="N207" t="s">
        <v>172</v>
      </c>
      <c r="V207">
        <v>401110</v>
      </c>
      <c r="W207" t="s">
        <v>406</v>
      </c>
      <c r="X207">
        <v>5</v>
      </c>
      <c r="Y207" t="s">
        <v>233</v>
      </c>
      <c r="Z207">
        <v>12299</v>
      </c>
      <c r="AD207">
        <v>312844</v>
      </c>
      <c r="AF207">
        <v>1690665</v>
      </c>
      <c r="AI207">
        <v>4</v>
      </c>
    </row>
    <row r="208" spans="1:35" hidden="1" x14ac:dyDescent="0.35">
      <c r="A208" t="s">
        <v>403</v>
      </c>
      <c r="B208">
        <v>2021</v>
      </c>
      <c r="C208">
        <v>2021</v>
      </c>
      <c r="D208">
        <v>2021</v>
      </c>
      <c r="E208">
        <v>6</v>
      </c>
      <c r="F208">
        <v>1</v>
      </c>
      <c r="G208">
        <v>1</v>
      </c>
      <c r="H208" t="s">
        <v>141</v>
      </c>
      <c r="I208">
        <v>699</v>
      </c>
      <c r="J208" t="s">
        <v>78</v>
      </c>
      <c r="K208" t="s">
        <v>404</v>
      </c>
      <c r="L208">
        <v>842</v>
      </c>
      <c r="M208" t="s">
        <v>172</v>
      </c>
      <c r="N208" t="s">
        <v>172</v>
      </c>
      <c r="V208">
        <v>401120</v>
      </c>
      <c r="W208" t="s">
        <v>407</v>
      </c>
      <c r="X208">
        <v>5</v>
      </c>
      <c r="Y208" t="s">
        <v>233</v>
      </c>
      <c r="Z208">
        <v>2283</v>
      </c>
      <c r="AD208">
        <v>101830</v>
      </c>
      <c r="AF208">
        <v>405185</v>
      </c>
      <c r="AI208">
        <v>4</v>
      </c>
    </row>
    <row r="209" spans="1:35" hidden="1" x14ac:dyDescent="0.35">
      <c r="A209" t="s">
        <v>403</v>
      </c>
      <c r="B209">
        <v>2021</v>
      </c>
      <c r="C209">
        <v>2021</v>
      </c>
      <c r="D209">
        <v>2021</v>
      </c>
      <c r="E209">
        <v>6</v>
      </c>
      <c r="F209">
        <v>1</v>
      </c>
      <c r="G209">
        <v>1</v>
      </c>
      <c r="H209" t="s">
        <v>141</v>
      </c>
      <c r="I209">
        <v>699</v>
      </c>
      <c r="J209" t="s">
        <v>78</v>
      </c>
      <c r="K209" t="s">
        <v>404</v>
      </c>
      <c r="L209">
        <v>842</v>
      </c>
      <c r="M209" t="s">
        <v>172</v>
      </c>
      <c r="N209" t="s">
        <v>172</v>
      </c>
      <c r="V209">
        <v>401140</v>
      </c>
      <c r="W209" t="s">
        <v>408</v>
      </c>
      <c r="X209">
        <v>5</v>
      </c>
      <c r="Y209" t="s">
        <v>233</v>
      </c>
      <c r="Z209">
        <v>2001</v>
      </c>
      <c r="AD209">
        <v>9704</v>
      </c>
      <c r="AF209">
        <v>69459</v>
      </c>
      <c r="AI209">
        <v>4</v>
      </c>
    </row>
    <row r="210" spans="1:35" hidden="1" x14ac:dyDescent="0.35">
      <c r="A210" t="s">
        <v>403</v>
      </c>
      <c r="B210">
        <v>2021</v>
      </c>
      <c r="C210">
        <v>2021</v>
      </c>
      <c r="D210">
        <v>2021</v>
      </c>
      <c r="E210">
        <v>6</v>
      </c>
      <c r="F210">
        <v>1</v>
      </c>
      <c r="G210">
        <v>1</v>
      </c>
      <c r="H210" t="s">
        <v>141</v>
      </c>
      <c r="I210">
        <v>699</v>
      </c>
      <c r="J210" t="s">
        <v>78</v>
      </c>
      <c r="K210" t="s">
        <v>404</v>
      </c>
      <c r="L210">
        <v>842</v>
      </c>
      <c r="M210" t="s">
        <v>172</v>
      </c>
      <c r="N210" t="s">
        <v>172</v>
      </c>
      <c r="V210">
        <v>401180</v>
      </c>
      <c r="W210" t="s">
        <v>409</v>
      </c>
      <c r="X210">
        <v>5</v>
      </c>
      <c r="Y210" t="s">
        <v>233</v>
      </c>
      <c r="Z210">
        <v>252</v>
      </c>
      <c r="AD210">
        <v>527862</v>
      </c>
      <c r="AF210">
        <v>2227435</v>
      </c>
      <c r="AI210">
        <v>4</v>
      </c>
    </row>
    <row r="211" spans="1:35" hidden="1" x14ac:dyDescent="0.35">
      <c r="A211" t="s">
        <v>403</v>
      </c>
      <c r="B211">
        <v>2021</v>
      </c>
      <c r="C211">
        <v>2021</v>
      </c>
      <c r="D211">
        <v>2021</v>
      </c>
      <c r="E211">
        <v>6</v>
      </c>
      <c r="F211">
        <v>1</v>
      </c>
      <c r="G211">
        <v>1</v>
      </c>
      <c r="H211" t="s">
        <v>141</v>
      </c>
      <c r="I211">
        <v>699</v>
      </c>
      <c r="J211" t="s">
        <v>78</v>
      </c>
      <c r="K211" t="s">
        <v>404</v>
      </c>
      <c r="L211">
        <v>842</v>
      </c>
      <c r="M211" t="s">
        <v>172</v>
      </c>
      <c r="N211" t="s">
        <v>172</v>
      </c>
      <c r="V211">
        <v>401170</v>
      </c>
      <c r="W211" t="s">
        <v>410</v>
      </c>
      <c r="X211">
        <v>5</v>
      </c>
      <c r="Y211" t="s">
        <v>233</v>
      </c>
      <c r="Z211">
        <v>380</v>
      </c>
      <c r="AD211">
        <v>41051</v>
      </c>
      <c r="AF211">
        <v>165276</v>
      </c>
      <c r="AI211">
        <v>4</v>
      </c>
    </row>
    <row r="212" spans="1:35" hidden="1" x14ac:dyDescent="0.35">
      <c r="A212" t="s">
        <v>403</v>
      </c>
      <c r="B212">
        <v>2021</v>
      </c>
      <c r="C212">
        <v>2021</v>
      </c>
      <c r="D212">
        <v>2021</v>
      </c>
      <c r="E212">
        <v>6</v>
      </c>
      <c r="F212">
        <v>1</v>
      </c>
      <c r="G212">
        <v>1</v>
      </c>
      <c r="H212" t="s">
        <v>141</v>
      </c>
      <c r="I212">
        <v>699</v>
      </c>
      <c r="J212" t="s">
        <v>78</v>
      </c>
      <c r="K212" t="s">
        <v>404</v>
      </c>
      <c r="L212">
        <v>842</v>
      </c>
      <c r="M212" t="s">
        <v>172</v>
      </c>
      <c r="N212" t="s">
        <v>172</v>
      </c>
      <c r="V212">
        <v>401190</v>
      </c>
      <c r="W212" t="s">
        <v>411</v>
      </c>
      <c r="X212">
        <v>5</v>
      </c>
      <c r="Y212" t="s">
        <v>233</v>
      </c>
      <c r="Z212">
        <v>1502</v>
      </c>
      <c r="AF212">
        <v>120041</v>
      </c>
      <c r="AI212">
        <v>4</v>
      </c>
    </row>
    <row r="213" spans="1:35" x14ac:dyDescent="0.35">
      <c r="C213">
        <v>2021</v>
      </c>
      <c r="D213">
        <v>2021</v>
      </c>
      <c r="E213">
        <v>6</v>
      </c>
      <c r="F213">
        <v>1</v>
      </c>
      <c r="G213">
        <v>1</v>
      </c>
      <c r="H213" t="s">
        <v>141</v>
      </c>
      <c r="I213">
        <v>700</v>
      </c>
      <c r="J213" t="s">
        <v>78</v>
      </c>
      <c r="K213" t="s">
        <v>404</v>
      </c>
      <c r="L213">
        <v>843</v>
      </c>
      <c r="M213" t="s">
        <v>172</v>
      </c>
      <c r="N213" t="s">
        <v>172</v>
      </c>
      <c r="V213">
        <v>4011</v>
      </c>
      <c r="Z213">
        <f>SUM(Z207:Z212)</f>
        <v>18717</v>
      </c>
      <c r="AA213">
        <f t="shared" ref="AA213:AI213" si="38">SUM(AA207:AA212)</f>
        <v>0</v>
      </c>
      <c r="AB213">
        <f t="shared" si="38"/>
        <v>0</v>
      </c>
      <c r="AC213">
        <f t="shared" si="38"/>
        <v>0</v>
      </c>
      <c r="AD213">
        <f t="shared" si="38"/>
        <v>993291</v>
      </c>
      <c r="AE213">
        <f t="shared" si="38"/>
        <v>0</v>
      </c>
      <c r="AF213">
        <f t="shared" si="38"/>
        <v>4678061</v>
      </c>
      <c r="AG213">
        <f t="shared" si="38"/>
        <v>0</v>
      </c>
      <c r="AH213">
        <f t="shared" si="38"/>
        <v>0</v>
      </c>
      <c r="AI213">
        <f t="shared" si="38"/>
        <v>24</v>
      </c>
    </row>
    <row r="214" spans="1:35" hidden="1" x14ac:dyDescent="0.35">
      <c r="A214" t="s">
        <v>403</v>
      </c>
      <c r="B214">
        <v>2021</v>
      </c>
      <c r="C214">
        <v>2021</v>
      </c>
      <c r="D214">
        <v>2021</v>
      </c>
      <c r="E214">
        <v>6</v>
      </c>
      <c r="F214">
        <v>1</v>
      </c>
      <c r="G214">
        <v>1</v>
      </c>
      <c r="H214" t="s">
        <v>141</v>
      </c>
      <c r="I214">
        <v>699</v>
      </c>
      <c r="J214" t="s">
        <v>78</v>
      </c>
      <c r="K214" t="s">
        <v>404</v>
      </c>
      <c r="L214">
        <v>899</v>
      </c>
      <c r="M214" t="s">
        <v>349</v>
      </c>
      <c r="V214">
        <v>401190</v>
      </c>
      <c r="W214" t="s">
        <v>411</v>
      </c>
      <c r="X214">
        <v>5</v>
      </c>
      <c r="Y214" t="s">
        <v>233</v>
      </c>
      <c r="Z214">
        <v>2190</v>
      </c>
      <c r="AF214">
        <v>17382</v>
      </c>
      <c r="AI214">
        <v>4</v>
      </c>
    </row>
    <row r="215" spans="1:35" hidden="1" x14ac:dyDescent="0.35">
      <c r="A215" t="s">
        <v>403</v>
      </c>
      <c r="B215">
        <v>2021</v>
      </c>
      <c r="C215">
        <v>2021</v>
      </c>
      <c r="D215">
        <v>2021</v>
      </c>
      <c r="E215">
        <v>6</v>
      </c>
      <c r="F215">
        <v>1</v>
      </c>
      <c r="G215">
        <v>1</v>
      </c>
      <c r="H215" t="s">
        <v>141</v>
      </c>
      <c r="I215">
        <v>699</v>
      </c>
      <c r="J215" t="s">
        <v>78</v>
      </c>
      <c r="K215" t="s">
        <v>404</v>
      </c>
      <c r="L215">
        <v>899</v>
      </c>
      <c r="M215" t="s">
        <v>349</v>
      </c>
      <c r="V215">
        <v>401120</v>
      </c>
      <c r="W215" t="s">
        <v>407</v>
      </c>
      <c r="X215">
        <v>5</v>
      </c>
      <c r="Y215" t="s">
        <v>233</v>
      </c>
      <c r="Z215">
        <v>542</v>
      </c>
      <c r="AD215">
        <v>30509</v>
      </c>
      <c r="AF215">
        <v>121397</v>
      </c>
      <c r="AI215">
        <v>4</v>
      </c>
    </row>
    <row r="216" spans="1:35" x14ac:dyDescent="0.35">
      <c r="C216">
        <v>2021</v>
      </c>
      <c r="D216">
        <v>2021</v>
      </c>
      <c r="E216">
        <v>6</v>
      </c>
      <c r="F216">
        <v>1</v>
      </c>
      <c r="G216">
        <v>1</v>
      </c>
      <c r="H216" t="s">
        <v>141</v>
      </c>
      <c r="I216">
        <v>700</v>
      </c>
      <c r="J216" t="s">
        <v>78</v>
      </c>
      <c r="K216" t="s">
        <v>404</v>
      </c>
      <c r="L216">
        <v>900</v>
      </c>
      <c r="M216" t="s">
        <v>349</v>
      </c>
      <c r="V216">
        <v>4011</v>
      </c>
      <c r="Z216">
        <f>SUM(Z214:Z215)</f>
        <v>2732</v>
      </c>
      <c r="AA216">
        <f t="shared" ref="AA216:AF216" si="39">SUM(AA214:AA215)</f>
        <v>0</v>
      </c>
      <c r="AB216">
        <f t="shared" si="39"/>
        <v>0</v>
      </c>
      <c r="AC216">
        <f t="shared" si="39"/>
        <v>0</v>
      </c>
      <c r="AD216">
        <f t="shared" si="39"/>
        <v>30509</v>
      </c>
      <c r="AE216">
        <f t="shared" si="39"/>
        <v>0</v>
      </c>
      <c r="AF216">
        <f t="shared" si="39"/>
        <v>138779</v>
      </c>
    </row>
  </sheetData>
  <autoFilter ref="A1:AF216" xr:uid="{FF44418C-5548-4384-AC72-56FD071F6776}">
    <filterColumn colId="21">
      <filters>
        <filter val="4011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5A11-54F0-49BB-B895-D2BB1074FAD2}">
  <dimension ref="A19:J81"/>
  <sheetViews>
    <sheetView workbookViewId="0">
      <selection activeCell="U16" sqref="U16"/>
    </sheetView>
  </sheetViews>
  <sheetFormatPr defaultRowHeight="14.5" x14ac:dyDescent="0.35"/>
  <cols>
    <col min="4" max="4" width="18.1796875" bestFit="1" customWidth="1"/>
    <col min="5" max="6" width="10.7265625" bestFit="1" customWidth="1"/>
    <col min="8" max="9" width="9.7265625" bestFit="1" customWidth="1"/>
  </cols>
  <sheetData>
    <row r="19" spans="1:10" x14ac:dyDescent="0.35">
      <c r="A19">
        <v>27101980</v>
      </c>
    </row>
    <row r="21" spans="1:10" x14ac:dyDescent="0.35">
      <c r="A21" t="s">
        <v>149</v>
      </c>
    </row>
    <row r="22" spans="1:10" x14ac:dyDescent="0.35">
      <c r="B22" t="s">
        <v>244</v>
      </c>
      <c r="D22" t="s">
        <v>245</v>
      </c>
      <c r="E22" s="227" t="s">
        <v>246</v>
      </c>
      <c r="F22" s="227"/>
      <c r="G22" s="227"/>
      <c r="H22" s="227" t="s">
        <v>464</v>
      </c>
      <c r="I22" s="227"/>
      <c r="J22" s="227"/>
    </row>
    <row r="23" spans="1:10" x14ac:dyDescent="0.35">
      <c r="E23" t="s">
        <v>248</v>
      </c>
      <c r="F23" t="s">
        <v>249</v>
      </c>
      <c r="G23" t="s">
        <v>250</v>
      </c>
      <c r="H23" t="s">
        <v>248</v>
      </c>
      <c r="I23" t="s">
        <v>249</v>
      </c>
      <c r="J23" t="s">
        <v>250</v>
      </c>
    </row>
    <row r="25" spans="1:10" x14ac:dyDescent="0.35">
      <c r="B25">
        <v>1</v>
      </c>
      <c r="D25" t="s">
        <v>206</v>
      </c>
      <c r="E25">
        <v>0.13</v>
      </c>
      <c r="H25">
        <v>0.04</v>
      </c>
    </row>
    <row r="26" spans="1:10" x14ac:dyDescent="0.35">
      <c r="B26">
        <v>2</v>
      </c>
      <c r="D26" t="s">
        <v>262</v>
      </c>
      <c r="E26">
        <v>0.12</v>
      </c>
      <c r="H26">
        <v>0.03</v>
      </c>
    </row>
    <row r="27" spans="1:10" x14ac:dyDescent="0.35">
      <c r="B27">
        <v>3</v>
      </c>
      <c r="D27" t="s">
        <v>302</v>
      </c>
      <c r="E27">
        <v>0.03</v>
      </c>
      <c r="H27">
        <v>0</v>
      </c>
    </row>
    <row r="28" spans="1:10" x14ac:dyDescent="0.35">
      <c r="B28">
        <v>4</v>
      </c>
      <c r="D28" t="s">
        <v>204</v>
      </c>
      <c r="E28">
        <v>4.2699999999999996</v>
      </c>
      <c r="H28">
        <v>1.64</v>
      </c>
    </row>
    <row r="29" spans="1:10" x14ac:dyDescent="0.35">
      <c r="B29">
        <v>5</v>
      </c>
      <c r="D29" t="s">
        <v>263</v>
      </c>
      <c r="E29">
        <v>0.05</v>
      </c>
      <c r="H29">
        <v>0.01</v>
      </c>
    </row>
    <row r="30" spans="1:10" x14ac:dyDescent="0.35">
      <c r="B30">
        <v>6</v>
      </c>
      <c r="D30" t="s">
        <v>255</v>
      </c>
      <c r="E30">
        <v>0.33</v>
      </c>
      <c r="H30">
        <v>0.06</v>
      </c>
    </row>
    <row r="31" spans="1:10" x14ac:dyDescent="0.35">
      <c r="B31">
        <v>7</v>
      </c>
      <c r="D31" t="s">
        <v>212</v>
      </c>
      <c r="E31">
        <v>0.33</v>
      </c>
      <c r="H31">
        <v>0.09</v>
      </c>
    </row>
    <row r="32" spans="1:10" x14ac:dyDescent="0.35">
      <c r="B32">
        <v>8</v>
      </c>
      <c r="D32" t="s">
        <v>251</v>
      </c>
      <c r="E32">
        <v>1.1299999999999999</v>
      </c>
      <c r="H32">
        <v>0.27</v>
      </c>
    </row>
    <row r="33" spans="2:8" x14ac:dyDescent="0.35">
      <c r="B33">
        <v>9</v>
      </c>
      <c r="D33" t="s">
        <v>376</v>
      </c>
    </row>
    <row r="34" spans="2:8" x14ac:dyDescent="0.35">
      <c r="B34">
        <v>10</v>
      </c>
      <c r="D34" t="s">
        <v>301</v>
      </c>
      <c r="E34">
        <v>0.11</v>
      </c>
      <c r="H34">
        <v>0.02</v>
      </c>
    </row>
    <row r="35" spans="2:8" x14ac:dyDescent="0.35">
      <c r="B35">
        <v>11</v>
      </c>
      <c r="D35" t="s">
        <v>207</v>
      </c>
      <c r="E35">
        <v>0</v>
      </c>
    </row>
    <row r="36" spans="2:8" x14ac:dyDescent="0.35">
      <c r="B36">
        <v>12</v>
      </c>
      <c r="D36" t="s">
        <v>271</v>
      </c>
      <c r="E36">
        <v>1.19</v>
      </c>
      <c r="H36">
        <v>0.25</v>
      </c>
    </row>
    <row r="37" spans="2:8" x14ac:dyDescent="0.35">
      <c r="B37">
        <v>13</v>
      </c>
      <c r="D37" t="s">
        <v>288</v>
      </c>
      <c r="E37">
        <v>0.48</v>
      </c>
      <c r="H37">
        <v>0.14000000000000001</v>
      </c>
    </row>
    <row r="38" spans="2:8" x14ac:dyDescent="0.35">
      <c r="B38">
        <v>14</v>
      </c>
      <c r="D38" t="s">
        <v>286</v>
      </c>
      <c r="E38">
        <v>0.01</v>
      </c>
    </row>
    <row r="39" spans="2:8" x14ac:dyDescent="0.35">
      <c r="B39">
        <v>15</v>
      </c>
      <c r="D39" t="s">
        <v>256</v>
      </c>
      <c r="E39">
        <v>1.56</v>
      </c>
      <c r="H39">
        <v>0.69</v>
      </c>
    </row>
    <row r="40" spans="2:8" x14ac:dyDescent="0.35">
      <c r="B40">
        <v>16</v>
      </c>
      <c r="D40" t="s">
        <v>211</v>
      </c>
      <c r="E40">
        <v>7.01</v>
      </c>
      <c r="H40">
        <v>1.94</v>
      </c>
    </row>
    <row r="41" spans="2:8" x14ac:dyDescent="0.35">
      <c r="B41">
        <v>17</v>
      </c>
      <c r="D41" t="s">
        <v>309</v>
      </c>
      <c r="E41">
        <v>0.01</v>
      </c>
      <c r="H41">
        <v>0</v>
      </c>
    </row>
    <row r="42" spans="2:8" x14ac:dyDescent="0.35">
      <c r="B42">
        <v>18</v>
      </c>
      <c r="D42" t="s">
        <v>210</v>
      </c>
      <c r="E42">
        <v>0.28999999999999998</v>
      </c>
      <c r="H42">
        <v>0.12</v>
      </c>
    </row>
    <row r="43" spans="2:8" x14ac:dyDescent="0.35">
      <c r="B43">
        <v>19</v>
      </c>
      <c r="D43" t="s">
        <v>208</v>
      </c>
      <c r="E43">
        <v>1.36</v>
      </c>
      <c r="H43">
        <v>0.32</v>
      </c>
    </row>
    <row r="44" spans="2:8" x14ac:dyDescent="0.35">
      <c r="B44">
        <v>20</v>
      </c>
      <c r="D44" t="s">
        <v>213</v>
      </c>
      <c r="E44">
        <v>0.53</v>
      </c>
      <c r="H44">
        <v>0.19</v>
      </c>
    </row>
    <row r="45" spans="2:8" x14ac:dyDescent="0.35">
      <c r="B45">
        <v>21</v>
      </c>
      <c r="D45" t="s">
        <v>252</v>
      </c>
      <c r="E45">
        <v>11.34</v>
      </c>
      <c r="H45">
        <v>2.91</v>
      </c>
    </row>
    <row r="46" spans="2:8" x14ac:dyDescent="0.35">
      <c r="B46">
        <v>22</v>
      </c>
      <c r="D46" t="s">
        <v>319</v>
      </c>
      <c r="E46">
        <v>0.01</v>
      </c>
      <c r="H46">
        <v>0</v>
      </c>
    </row>
    <row r="47" spans="2:8" x14ac:dyDescent="0.35">
      <c r="B47">
        <v>23</v>
      </c>
      <c r="D47" t="s">
        <v>197</v>
      </c>
      <c r="E47">
        <v>9.8800000000000008</v>
      </c>
      <c r="H47">
        <v>5.95</v>
      </c>
    </row>
    <row r="48" spans="2:8" x14ac:dyDescent="0.35">
      <c r="B48">
        <v>24</v>
      </c>
      <c r="D48" t="s">
        <v>303</v>
      </c>
      <c r="E48">
        <v>0.1</v>
      </c>
      <c r="H48">
        <v>0.15</v>
      </c>
    </row>
    <row r="49" spans="2:8" x14ac:dyDescent="0.35">
      <c r="B49">
        <v>25</v>
      </c>
      <c r="D49" t="s">
        <v>373</v>
      </c>
      <c r="E49">
        <v>0.02</v>
      </c>
      <c r="H49">
        <v>0.01</v>
      </c>
    </row>
    <row r="50" spans="2:8" x14ac:dyDescent="0.35">
      <c r="B50">
        <v>26</v>
      </c>
      <c r="D50" t="s">
        <v>278</v>
      </c>
      <c r="E50">
        <v>0.67</v>
      </c>
      <c r="H50">
        <v>0.2</v>
      </c>
    </row>
    <row r="51" spans="2:8" x14ac:dyDescent="0.35">
      <c r="B51">
        <v>27</v>
      </c>
      <c r="D51" t="s">
        <v>308</v>
      </c>
      <c r="E51">
        <v>7.0000000000000007E-2</v>
      </c>
      <c r="H51">
        <v>0.01</v>
      </c>
    </row>
    <row r="52" spans="2:8" x14ac:dyDescent="0.35">
      <c r="B52">
        <v>28</v>
      </c>
      <c r="D52" t="s">
        <v>325</v>
      </c>
      <c r="E52">
        <v>0.03</v>
      </c>
      <c r="H52">
        <v>0.01</v>
      </c>
    </row>
    <row r="53" spans="2:8" x14ac:dyDescent="0.35">
      <c r="B53">
        <v>29</v>
      </c>
      <c r="D53" t="s">
        <v>265</v>
      </c>
      <c r="E53">
        <v>0.06</v>
      </c>
      <c r="H53">
        <v>0.02</v>
      </c>
    </row>
    <row r="54" spans="2:8" x14ac:dyDescent="0.35">
      <c r="B54">
        <v>30</v>
      </c>
      <c r="D54" t="s">
        <v>375</v>
      </c>
      <c r="E54">
        <v>0</v>
      </c>
      <c r="H54">
        <v>0</v>
      </c>
    </row>
    <row r="55" spans="2:8" x14ac:dyDescent="0.35">
      <c r="B55">
        <v>31</v>
      </c>
      <c r="D55" t="s">
        <v>258</v>
      </c>
      <c r="E55">
        <v>1.1399999999999999</v>
      </c>
      <c r="H55">
        <v>0.35</v>
      </c>
    </row>
    <row r="56" spans="2:8" x14ac:dyDescent="0.35">
      <c r="B56">
        <v>32</v>
      </c>
      <c r="D56" t="s">
        <v>323</v>
      </c>
      <c r="E56">
        <v>0.01</v>
      </c>
      <c r="H56">
        <v>0</v>
      </c>
    </row>
    <row r="57" spans="2:8" x14ac:dyDescent="0.35">
      <c r="B57">
        <v>33</v>
      </c>
      <c r="D57" t="s">
        <v>289</v>
      </c>
      <c r="E57">
        <v>0.72</v>
      </c>
      <c r="H57">
        <v>0.15</v>
      </c>
    </row>
    <row r="58" spans="2:8" x14ac:dyDescent="0.35">
      <c r="B58">
        <v>34</v>
      </c>
      <c r="D58" t="s">
        <v>276</v>
      </c>
      <c r="E58">
        <v>0.28999999999999998</v>
      </c>
      <c r="H58">
        <v>0.25</v>
      </c>
    </row>
    <row r="59" spans="2:8" x14ac:dyDescent="0.35">
      <c r="B59">
        <v>35</v>
      </c>
      <c r="D59" t="s">
        <v>260</v>
      </c>
      <c r="E59">
        <v>0.71</v>
      </c>
      <c r="H59">
        <v>0.16</v>
      </c>
    </row>
    <row r="60" spans="2:8" x14ac:dyDescent="0.35">
      <c r="B60">
        <v>36</v>
      </c>
      <c r="D60" t="s">
        <v>300</v>
      </c>
      <c r="E60">
        <v>0.08</v>
      </c>
      <c r="H60">
        <v>0.01</v>
      </c>
    </row>
    <row r="61" spans="2:8" x14ac:dyDescent="0.35">
      <c r="B61">
        <v>37</v>
      </c>
      <c r="D61" t="s">
        <v>297</v>
      </c>
      <c r="E61">
        <v>0.18</v>
      </c>
      <c r="H61">
        <v>0.05</v>
      </c>
    </row>
    <row r="62" spans="2:8" x14ac:dyDescent="0.35">
      <c r="B62">
        <v>38</v>
      </c>
      <c r="D62" t="s">
        <v>283</v>
      </c>
      <c r="E62">
        <v>0.42</v>
      </c>
      <c r="H62">
        <v>0.21</v>
      </c>
    </row>
    <row r="63" spans="2:8" x14ac:dyDescent="0.35">
      <c r="B63">
        <v>39</v>
      </c>
      <c r="D63" t="s">
        <v>296</v>
      </c>
      <c r="E63">
        <v>0.11</v>
      </c>
      <c r="H63">
        <v>0.02</v>
      </c>
    </row>
    <row r="64" spans="2:8" x14ac:dyDescent="0.35">
      <c r="B64">
        <v>40</v>
      </c>
      <c r="D64" t="s">
        <v>277</v>
      </c>
      <c r="E64">
        <v>0</v>
      </c>
    </row>
    <row r="65" spans="2:8" x14ac:dyDescent="0.35">
      <c r="B65">
        <v>41</v>
      </c>
      <c r="D65" t="s">
        <v>199</v>
      </c>
      <c r="E65">
        <v>7.32</v>
      </c>
      <c r="H65">
        <v>6.83</v>
      </c>
    </row>
    <row r="66" spans="2:8" x14ac:dyDescent="0.35">
      <c r="B66">
        <v>42</v>
      </c>
      <c r="D66" t="s">
        <v>266</v>
      </c>
      <c r="E66">
        <v>0.2</v>
      </c>
      <c r="H66">
        <v>0.03</v>
      </c>
    </row>
    <row r="67" spans="2:8" x14ac:dyDescent="0.35">
      <c r="B67">
        <v>43</v>
      </c>
      <c r="D67" t="s">
        <v>257</v>
      </c>
      <c r="E67">
        <v>1.31</v>
      </c>
      <c r="H67">
        <v>0.36</v>
      </c>
    </row>
    <row r="68" spans="2:8" x14ac:dyDescent="0.35">
      <c r="B68">
        <v>44</v>
      </c>
      <c r="D68" t="s">
        <v>298</v>
      </c>
      <c r="E68">
        <v>0.17</v>
      </c>
      <c r="H68">
        <v>7.0000000000000007E-2</v>
      </c>
    </row>
    <row r="69" spans="2:8" x14ac:dyDescent="0.35">
      <c r="B69">
        <v>45</v>
      </c>
      <c r="D69" t="s">
        <v>215</v>
      </c>
      <c r="E69">
        <v>0.16</v>
      </c>
      <c r="H69">
        <v>0.05</v>
      </c>
    </row>
    <row r="70" spans="2:8" x14ac:dyDescent="0.35">
      <c r="B70">
        <v>46</v>
      </c>
      <c r="D70" t="s">
        <v>275</v>
      </c>
      <c r="E70">
        <v>0.03</v>
      </c>
      <c r="H70">
        <v>0.02</v>
      </c>
    </row>
    <row r="71" spans="2:8" x14ac:dyDescent="0.35">
      <c r="B71">
        <v>47</v>
      </c>
      <c r="D71" t="s">
        <v>216</v>
      </c>
      <c r="E71">
        <v>1.46</v>
      </c>
      <c r="H71">
        <v>1</v>
      </c>
    </row>
    <row r="72" spans="2:8" x14ac:dyDescent="0.35">
      <c r="B72">
        <v>48</v>
      </c>
      <c r="D72" t="s">
        <v>259</v>
      </c>
      <c r="E72">
        <v>0.77</v>
      </c>
      <c r="H72">
        <v>0.61</v>
      </c>
    </row>
    <row r="73" spans="2:8" x14ac:dyDescent="0.35">
      <c r="B73">
        <v>49</v>
      </c>
      <c r="D73" t="s">
        <v>261</v>
      </c>
      <c r="E73">
        <v>8.74</v>
      </c>
      <c r="H73">
        <v>11.1</v>
      </c>
    </row>
    <row r="74" spans="2:8" x14ac:dyDescent="0.35">
      <c r="B74">
        <v>50</v>
      </c>
      <c r="D74" t="s">
        <v>202</v>
      </c>
      <c r="E74">
        <v>1.24</v>
      </c>
      <c r="H74">
        <v>0.39</v>
      </c>
    </row>
    <row r="75" spans="2:8" x14ac:dyDescent="0.35">
      <c r="B75">
        <v>51</v>
      </c>
      <c r="D75" t="s">
        <v>253</v>
      </c>
      <c r="E75">
        <v>4.22</v>
      </c>
      <c r="H75">
        <v>1.22</v>
      </c>
    </row>
    <row r="76" spans="2:8" x14ac:dyDescent="0.35">
      <c r="B76">
        <v>52</v>
      </c>
      <c r="D76" t="s">
        <v>269</v>
      </c>
      <c r="E76">
        <v>0.56000000000000005</v>
      </c>
      <c r="H76">
        <v>0.2</v>
      </c>
    </row>
    <row r="77" spans="2:8" x14ac:dyDescent="0.35">
      <c r="B77">
        <v>53</v>
      </c>
      <c r="D77" t="s">
        <v>374</v>
      </c>
      <c r="E77">
        <v>0.01</v>
      </c>
      <c r="H77">
        <v>0</v>
      </c>
    </row>
    <row r="78" spans="2:8" x14ac:dyDescent="0.35">
      <c r="B78">
        <v>54</v>
      </c>
      <c r="D78" t="s">
        <v>270</v>
      </c>
      <c r="E78">
        <v>0.28999999999999998</v>
      </c>
      <c r="H78">
        <v>0.12</v>
      </c>
    </row>
    <row r="79" spans="2:8" x14ac:dyDescent="0.35">
      <c r="D79" t="s">
        <v>35</v>
      </c>
      <c r="E79">
        <v>71.239999999999995</v>
      </c>
    </row>
    <row r="80" spans="2:8" x14ac:dyDescent="0.35">
      <c r="B80" t="s">
        <v>279</v>
      </c>
      <c r="E80" s="17">
        <v>474709.28</v>
      </c>
      <c r="F80" s="17">
        <v>394435.88</v>
      </c>
      <c r="G80">
        <v>-16.91</v>
      </c>
    </row>
    <row r="81" spans="2:5" x14ac:dyDescent="0.35">
      <c r="B81" t="s">
        <v>280</v>
      </c>
      <c r="E81">
        <v>1.4999999999999999E-2</v>
      </c>
    </row>
  </sheetData>
  <mergeCells count="2">
    <mergeCell ref="E22:G22"/>
    <mergeCell ref="H22:J2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F385-0EB1-4E85-9CD4-6E76CA2F2ED4}">
  <dimension ref="B2:V112"/>
  <sheetViews>
    <sheetView topLeftCell="A42" workbookViewId="0">
      <selection activeCell="U16" sqref="U16"/>
    </sheetView>
  </sheetViews>
  <sheetFormatPr defaultRowHeight="14.5" x14ac:dyDescent="0.35"/>
  <cols>
    <col min="3" max="3" width="18.453125" bestFit="1" customWidth="1"/>
    <col min="4" max="5" width="12" bestFit="1" customWidth="1"/>
    <col min="6" max="6" width="10.453125" bestFit="1" customWidth="1"/>
    <col min="7" max="7" width="9.54296875" bestFit="1" customWidth="1"/>
    <col min="8" max="8" width="9.453125" bestFit="1" customWidth="1"/>
    <col min="9" max="9" width="10.453125" bestFit="1" customWidth="1"/>
    <col min="13" max="13" width="18.453125" bestFit="1" customWidth="1"/>
    <col min="14" max="15" width="12" bestFit="1" customWidth="1"/>
    <col min="16" max="16" width="9" bestFit="1" customWidth="1"/>
    <col min="17" max="18" width="12" bestFit="1" customWidth="1"/>
    <col min="19" max="19" width="10.453125" bestFit="1" customWidth="1"/>
  </cols>
  <sheetData>
    <row r="2" spans="2:10" x14ac:dyDescent="0.35">
      <c r="B2" s="228" t="s">
        <v>465</v>
      </c>
      <c r="J2" s="228" t="s">
        <v>466</v>
      </c>
    </row>
    <row r="22" spans="2:22" x14ac:dyDescent="0.35">
      <c r="B22" t="s">
        <v>467</v>
      </c>
      <c r="L22" t="s">
        <v>468</v>
      </c>
    </row>
    <row r="23" spans="2:22" ht="15" thickBot="1" x14ac:dyDescent="0.4"/>
    <row r="24" spans="2:22" ht="15" thickBot="1" x14ac:dyDescent="0.4">
      <c r="B24" s="185" t="s">
        <v>244</v>
      </c>
      <c r="C24" s="229" t="s">
        <v>245</v>
      </c>
      <c r="D24" s="160" t="s">
        <v>246</v>
      </c>
      <c r="E24" s="160"/>
      <c r="F24" s="160"/>
      <c r="G24" s="160" t="s">
        <v>247</v>
      </c>
      <c r="H24" s="160"/>
      <c r="I24" s="160"/>
      <c r="L24" s="158" t="s">
        <v>244</v>
      </c>
      <c r="M24" s="159" t="s">
        <v>245</v>
      </c>
      <c r="N24" s="160" t="s">
        <v>246</v>
      </c>
      <c r="O24" s="160"/>
      <c r="P24" s="160"/>
      <c r="Q24" s="160" t="s">
        <v>247</v>
      </c>
      <c r="R24" s="160"/>
      <c r="S24" s="160"/>
    </row>
    <row r="25" spans="2:22" x14ac:dyDescent="0.35">
      <c r="B25" s="190"/>
      <c r="C25" s="191"/>
      <c r="D25" s="230" t="s">
        <v>248</v>
      </c>
      <c r="E25" s="230" t="s">
        <v>249</v>
      </c>
      <c r="F25" s="230" t="s">
        <v>250</v>
      </c>
      <c r="G25" s="163" t="s">
        <v>248</v>
      </c>
      <c r="H25" s="230" t="s">
        <v>249</v>
      </c>
      <c r="I25" s="231" t="s">
        <v>250</v>
      </c>
      <c r="L25" s="190"/>
      <c r="M25" s="191"/>
      <c r="N25" s="230" t="s">
        <v>248</v>
      </c>
      <c r="O25" s="230" t="s">
        <v>249</v>
      </c>
      <c r="P25" s="230" t="s">
        <v>250</v>
      </c>
      <c r="Q25" s="230" t="s">
        <v>248</v>
      </c>
      <c r="R25" s="230" t="s">
        <v>249</v>
      </c>
      <c r="S25" s="231" t="s">
        <v>250</v>
      </c>
    </row>
    <row r="26" spans="2:22" x14ac:dyDescent="0.35">
      <c r="B26" s="193">
        <v>1</v>
      </c>
      <c r="C26" s="166" t="s">
        <v>251</v>
      </c>
      <c r="D26" s="194">
        <v>2.82</v>
      </c>
      <c r="E26" s="194">
        <v>6.37</v>
      </c>
      <c r="F26" s="194">
        <v>125.81</v>
      </c>
      <c r="G26" s="194">
        <v>864.12</v>
      </c>
      <c r="H26" s="195">
        <v>2725.29</v>
      </c>
      <c r="I26" s="196">
        <v>215.38</v>
      </c>
      <c r="L26" s="193">
        <v>1</v>
      </c>
      <c r="M26" s="166" t="s">
        <v>251</v>
      </c>
      <c r="N26" s="194">
        <v>15.78</v>
      </c>
      <c r="O26" s="194">
        <v>9.7200000000000006</v>
      </c>
      <c r="P26" s="194">
        <v>-38.409999999999997</v>
      </c>
      <c r="Q26" s="195">
        <v>174600.39</v>
      </c>
      <c r="R26" s="195">
        <v>160229.92000000001</v>
      </c>
      <c r="S26" s="196">
        <v>-8.23</v>
      </c>
      <c r="V26" s="107" t="s">
        <v>251</v>
      </c>
    </row>
    <row r="27" spans="2:22" x14ac:dyDescent="0.35">
      <c r="B27" s="193">
        <v>2</v>
      </c>
      <c r="C27" s="166" t="s">
        <v>216</v>
      </c>
      <c r="D27" s="194">
        <v>4.76</v>
      </c>
      <c r="E27" s="194">
        <v>6.18</v>
      </c>
      <c r="F27" s="194">
        <v>29.87</v>
      </c>
      <c r="G27" s="194">
        <v>747.86</v>
      </c>
      <c r="H27" s="194">
        <v>901.35</v>
      </c>
      <c r="I27" s="196">
        <v>20.52</v>
      </c>
      <c r="L27" s="193">
        <v>2</v>
      </c>
      <c r="M27" s="166" t="s">
        <v>210</v>
      </c>
      <c r="N27" s="194">
        <v>2.2999999999999998</v>
      </c>
      <c r="O27" s="194">
        <v>1.06</v>
      </c>
      <c r="P27" s="194">
        <v>-54.05</v>
      </c>
      <c r="Q27" s="195">
        <v>21700.880000000001</v>
      </c>
      <c r="R27" s="195">
        <v>11128.35</v>
      </c>
      <c r="S27" s="196">
        <v>-48.72</v>
      </c>
      <c r="V27" s="107" t="s">
        <v>210</v>
      </c>
    </row>
    <row r="28" spans="2:22" x14ac:dyDescent="0.35">
      <c r="B28" s="193">
        <v>3</v>
      </c>
      <c r="C28" s="166" t="s">
        <v>253</v>
      </c>
      <c r="D28" s="194">
        <v>1.97</v>
      </c>
      <c r="E28" s="194">
        <v>4.09</v>
      </c>
      <c r="F28" s="194">
        <v>107.67</v>
      </c>
      <c r="G28" s="194">
        <v>32.76</v>
      </c>
      <c r="H28" s="194">
        <v>58.26</v>
      </c>
      <c r="I28" s="196">
        <v>77.8</v>
      </c>
      <c r="L28" s="193">
        <v>3</v>
      </c>
      <c r="M28" s="166" t="s">
        <v>197</v>
      </c>
      <c r="N28" s="194">
        <v>0.64</v>
      </c>
      <c r="O28" s="194">
        <v>0.88</v>
      </c>
      <c r="P28" s="194">
        <v>37.729999999999997</v>
      </c>
      <c r="Q28" s="195">
        <v>4605.6400000000003</v>
      </c>
      <c r="R28" s="195">
        <v>3738.72</v>
      </c>
      <c r="S28" s="196">
        <v>-18.82</v>
      </c>
      <c r="V28" s="107" t="s">
        <v>197</v>
      </c>
    </row>
    <row r="29" spans="2:22" x14ac:dyDescent="0.35">
      <c r="B29" s="193">
        <v>4</v>
      </c>
      <c r="C29" s="166" t="s">
        <v>197</v>
      </c>
      <c r="D29" s="194">
        <v>4.58</v>
      </c>
      <c r="E29" s="194">
        <v>2.79</v>
      </c>
      <c r="F29" s="194">
        <v>-39.01</v>
      </c>
      <c r="G29" s="194">
        <v>130.30000000000001</v>
      </c>
      <c r="H29" s="194">
        <v>58.11</v>
      </c>
      <c r="I29" s="196">
        <v>-55.41</v>
      </c>
      <c r="L29" s="193">
        <v>4</v>
      </c>
      <c r="M29" s="166" t="s">
        <v>252</v>
      </c>
      <c r="N29" s="194">
        <v>1.34</v>
      </c>
      <c r="O29" s="194">
        <v>0.66</v>
      </c>
      <c r="P29" s="194">
        <v>-50.61</v>
      </c>
      <c r="Q29" s="195">
        <v>6173.95</v>
      </c>
      <c r="R29" s="195">
        <v>1397.4</v>
      </c>
      <c r="S29" s="196">
        <v>-77.37</v>
      </c>
      <c r="V29" s="107" t="s">
        <v>252</v>
      </c>
    </row>
    <row r="30" spans="2:22" x14ac:dyDescent="0.35">
      <c r="B30" s="193">
        <v>5</v>
      </c>
      <c r="C30" s="166" t="s">
        <v>269</v>
      </c>
      <c r="D30" s="194">
        <v>2.94</v>
      </c>
      <c r="E30" s="194">
        <v>2.71</v>
      </c>
      <c r="F30" s="194">
        <v>-8.06</v>
      </c>
      <c r="G30" s="194">
        <v>446.26</v>
      </c>
      <c r="H30" s="194">
        <v>405.32</v>
      </c>
      <c r="I30" s="196">
        <v>-9.17</v>
      </c>
      <c r="L30" s="193">
        <v>5</v>
      </c>
      <c r="M30" s="166" t="s">
        <v>212</v>
      </c>
      <c r="N30" s="194">
        <v>0.23</v>
      </c>
      <c r="O30" s="194">
        <v>0.6</v>
      </c>
      <c r="P30" s="194">
        <v>162.52000000000001</v>
      </c>
      <c r="Q30" s="194">
        <v>24.2</v>
      </c>
      <c r="R30" s="194">
        <v>72.709999999999994</v>
      </c>
      <c r="S30" s="196">
        <v>200.5</v>
      </c>
      <c r="V30" s="107" t="s">
        <v>212</v>
      </c>
    </row>
    <row r="31" spans="2:22" x14ac:dyDescent="0.35">
      <c r="B31" s="193">
        <v>6</v>
      </c>
      <c r="C31" s="166" t="s">
        <v>211</v>
      </c>
      <c r="D31" s="194">
        <v>3.26</v>
      </c>
      <c r="E31" s="194">
        <v>2.41</v>
      </c>
      <c r="F31" s="194">
        <v>-26.03</v>
      </c>
      <c r="G31" s="194">
        <v>34.380000000000003</v>
      </c>
      <c r="H31" s="194">
        <v>29.25</v>
      </c>
      <c r="I31" s="196">
        <v>-14.92</v>
      </c>
      <c r="L31" s="193">
        <v>6</v>
      </c>
      <c r="M31" s="166" t="s">
        <v>269</v>
      </c>
      <c r="N31" s="194">
        <v>0.06</v>
      </c>
      <c r="O31" s="194">
        <v>0.51</v>
      </c>
      <c r="P31" s="194">
        <v>702.06</v>
      </c>
      <c r="Q31" s="194">
        <v>33.409999999999997</v>
      </c>
      <c r="R31" s="195">
        <v>10714.13</v>
      </c>
      <c r="S31" s="197">
        <v>31969.599999999999</v>
      </c>
      <c r="V31" s="107" t="s">
        <v>269</v>
      </c>
    </row>
    <row r="32" spans="2:22" x14ac:dyDescent="0.35">
      <c r="B32" s="193">
        <v>7</v>
      </c>
      <c r="C32" s="166" t="s">
        <v>316</v>
      </c>
      <c r="D32" s="194">
        <v>1.58</v>
      </c>
      <c r="E32" s="194">
        <v>1.82</v>
      </c>
      <c r="F32" s="194">
        <v>15.05</v>
      </c>
      <c r="G32" s="194">
        <v>40.33</v>
      </c>
      <c r="H32" s="194">
        <v>55.52</v>
      </c>
      <c r="I32" s="196">
        <v>37.65</v>
      </c>
      <c r="L32" s="193">
        <v>7</v>
      </c>
      <c r="M32" s="166" t="s">
        <v>253</v>
      </c>
      <c r="N32" s="194">
        <v>1.23</v>
      </c>
      <c r="O32" s="194">
        <v>0.5</v>
      </c>
      <c r="P32" s="194">
        <v>-59.34</v>
      </c>
      <c r="Q32" s="194">
        <v>45.05</v>
      </c>
      <c r="R32" s="194">
        <v>33.549999999999997</v>
      </c>
      <c r="S32" s="196">
        <v>-25.53</v>
      </c>
      <c r="V32" s="107" t="s">
        <v>253</v>
      </c>
    </row>
    <row r="33" spans="2:22" x14ac:dyDescent="0.35">
      <c r="B33" s="193">
        <v>8</v>
      </c>
      <c r="C33" s="166" t="s">
        <v>199</v>
      </c>
      <c r="D33" s="194">
        <v>2.29</v>
      </c>
      <c r="E33" s="194">
        <v>1.75</v>
      </c>
      <c r="F33" s="194">
        <v>-23.39</v>
      </c>
      <c r="G33" s="194">
        <v>62.94</v>
      </c>
      <c r="H33" s="194">
        <v>30.67</v>
      </c>
      <c r="I33" s="196">
        <v>-51.26</v>
      </c>
      <c r="L33" s="193">
        <v>8</v>
      </c>
      <c r="M33" s="166" t="s">
        <v>206</v>
      </c>
      <c r="N33" s="194">
        <v>0.63</v>
      </c>
      <c r="O33" s="194">
        <v>0.49</v>
      </c>
      <c r="P33" s="194">
        <v>-23.22</v>
      </c>
      <c r="Q33" s="194">
        <v>54.55</v>
      </c>
      <c r="R33" s="194">
        <v>55.94</v>
      </c>
      <c r="S33" s="196">
        <v>2.5499999999999998</v>
      </c>
      <c r="V33" s="107" t="s">
        <v>206</v>
      </c>
    </row>
    <row r="34" spans="2:22" x14ac:dyDescent="0.35">
      <c r="B34" s="193">
        <v>9</v>
      </c>
      <c r="C34" s="166" t="s">
        <v>252</v>
      </c>
      <c r="D34" s="194">
        <v>1.1599999999999999</v>
      </c>
      <c r="E34" s="194">
        <v>1.39</v>
      </c>
      <c r="F34" s="194">
        <v>20.399999999999999</v>
      </c>
      <c r="G34" s="194">
        <v>44.27</v>
      </c>
      <c r="H34" s="194">
        <v>41.27</v>
      </c>
      <c r="I34" s="196">
        <v>-6.78</v>
      </c>
      <c r="L34" s="193">
        <v>9</v>
      </c>
      <c r="M34" s="166" t="s">
        <v>199</v>
      </c>
      <c r="N34" s="194">
        <v>0.84</v>
      </c>
      <c r="O34" s="194">
        <v>0.32</v>
      </c>
      <c r="P34" s="194">
        <v>-62.06</v>
      </c>
      <c r="Q34" s="195">
        <v>1073.4100000000001</v>
      </c>
      <c r="R34" s="195">
        <v>1418.91</v>
      </c>
      <c r="S34" s="196">
        <v>32.19</v>
      </c>
      <c r="V34" s="107" t="s">
        <v>199</v>
      </c>
    </row>
    <row r="35" spans="2:22" x14ac:dyDescent="0.35">
      <c r="B35" s="193">
        <v>10</v>
      </c>
      <c r="C35" s="166" t="s">
        <v>202</v>
      </c>
      <c r="D35" s="194">
        <v>1.0900000000000001</v>
      </c>
      <c r="E35" s="194">
        <v>0.94</v>
      </c>
      <c r="F35" s="194">
        <v>-13.64</v>
      </c>
      <c r="G35" s="194">
        <v>12.57</v>
      </c>
      <c r="H35" s="194">
        <v>9.34</v>
      </c>
      <c r="I35" s="196">
        <v>-25.76</v>
      </c>
      <c r="L35" s="193">
        <v>10</v>
      </c>
      <c r="M35" s="166" t="s">
        <v>202</v>
      </c>
      <c r="N35" s="194">
        <v>0.22</v>
      </c>
      <c r="O35" s="194">
        <v>0.24</v>
      </c>
      <c r="P35" s="194">
        <v>13.39</v>
      </c>
      <c r="Q35" s="194">
        <v>15.27</v>
      </c>
      <c r="R35" s="194">
        <v>2.75</v>
      </c>
      <c r="S35" s="196">
        <v>-81.98</v>
      </c>
      <c r="V35" s="107" t="s">
        <v>202</v>
      </c>
    </row>
    <row r="36" spans="2:22" x14ac:dyDescent="0.35">
      <c r="B36" s="193">
        <v>11</v>
      </c>
      <c r="C36" s="166" t="s">
        <v>208</v>
      </c>
      <c r="D36" s="194">
        <v>0.82</v>
      </c>
      <c r="E36" s="194">
        <v>0.77</v>
      </c>
      <c r="F36" s="194">
        <v>-5.55</v>
      </c>
      <c r="G36" s="194">
        <v>54.29</v>
      </c>
      <c r="H36" s="194">
        <v>42.02</v>
      </c>
      <c r="I36" s="196">
        <v>-22.6</v>
      </c>
      <c r="L36" s="193">
        <v>11</v>
      </c>
      <c r="M36" s="166" t="s">
        <v>211</v>
      </c>
      <c r="N36" s="194">
        <v>0.46</v>
      </c>
      <c r="O36" s="194">
        <v>0.17</v>
      </c>
      <c r="P36" s="194">
        <v>-62.18</v>
      </c>
      <c r="Q36" s="194">
        <v>101.03</v>
      </c>
      <c r="R36" s="194">
        <v>63.44</v>
      </c>
      <c r="S36" s="196">
        <v>-37.21</v>
      </c>
      <c r="V36" s="107" t="s">
        <v>211</v>
      </c>
    </row>
    <row r="37" spans="2:22" x14ac:dyDescent="0.35">
      <c r="B37" s="193">
        <v>12</v>
      </c>
      <c r="C37" s="166" t="s">
        <v>215</v>
      </c>
      <c r="D37" s="194">
        <v>0.34</v>
      </c>
      <c r="E37" s="194">
        <v>0.46</v>
      </c>
      <c r="F37" s="194">
        <v>35.51</v>
      </c>
      <c r="G37" s="194">
        <v>2.68</v>
      </c>
      <c r="H37" s="194">
        <v>3.15</v>
      </c>
      <c r="I37" s="196">
        <v>17.260000000000002</v>
      </c>
      <c r="L37" s="193">
        <v>12</v>
      </c>
      <c r="M37" s="166" t="s">
        <v>256</v>
      </c>
      <c r="N37" s="194">
        <v>1.03</v>
      </c>
      <c r="O37" s="194">
        <v>0.11</v>
      </c>
      <c r="P37" s="194">
        <v>-89.28</v>
      </c>
      <c r="Q37" s="194">
        <v>102.94</v>
      </c>
      <c r="R37" s="194">
        <v>25.8</v>
      </c>
      <c r="S37" s="196">
        <v>-74.94</v>
      </c>
      <c r="V37" s="107" t="s">
        <v>256</v>
      </c>
    </row>
    <row r="38" spans="2:22" x14ac:dyDescent="0.35">
      <c r="B38" s="193">
        <v>13</v>
      </c>
      <c r="C38" s="166" t="s">
        <v>210</v>
      </c>
      <c r="D38" s="194"/>
      <c r="E38" s="194">
        <v>0.33</v>
      </c>
      <c r="F38" s="194"/>
      <c r="G38" s="194"/>
      <c r="H38" s="194">
        <v>127.23</v>
      </c>
      <c r="I38" s="196"/>
      <c r="L38" s="193">
        <v>13</v>
      </c>
      <c r="M38" s="166" t="s">
        <v>275</v>
      </c>
      <c r="N38" s="194">
        <v>0.02</v>
      </c>
      <c r="O38" s="194">
        <v>0.11</v>
      </c>
      <c r="P38" s="194">
        <v>422.71</v>
      </c>
      <c r="Q38" s="194">
        <v>8.56</v>
      </c>
      <c r="R38" s="194">
        <v>213.58</v>
      </c>
      <c r="S38" s="197">
        <v>2394.8000000000002</v>
      </c>
      <c r="V38" s="107" t="s">
        <v>275</v>
      </c>
    </row>
    <row r="39" spans="2:22" x14ac:dyDescent="0.35">
      <c r="B39" s="193">
        <v>14</v>
      </c>
      <c r="C39" s="166" t="s">
        <v>213</v>
      </c>
      <c r="D39" s="194">
        <v>0.22</v>
      </c>
      <c r="E39" s="194">
        <v>0.32</v>
      </c>
      <c r="F39" s="194">
        <v>43.17</v>
      </c>
      <c r="G39" s="194">
        <v>5.14</v>
      </c>
      <c r="H39" s="194">
        <v>4.6399999999999997</v>
      </c>
      <c r="I39" s="196">
        <v>-9.76</v>
      </c>
      <c r="L39" s="193">
        <v>14</v>
      </c>
      <c r="M39" s="166" t="s">
        <v>278</v>
      </c>
      <c r="N39" s="194">
        <v>1.37</v>
      </c>
      <c r="O39" s="194">
        <v>0.1</v>
      </c>
      <c r="P39" s="194">
        <v>-92.45</v>
      </c>
      <c r="Q39" s="194">
        <v>957.98</v>
      </c>
      <c r="R39" s="194">
        <v>307.22000000000003</v>
      </c>
      <c r="S39" s="196">
        <v>-67.930000000000007</v>
      </c>
      <c r="V39" s="107" t="s">
        <v>278</v>
      </c>
    </row>
    <row r="40" spans="2:22" x14ac:dyDescent="0.35">
      <c r="B40" s="193">
        <v>15</v>
      </c>
      <c r="C40" s="166" t="s">
        <v>260</v>
      </c>
      <c r="D40" s="194">
        <v>0.31</v>
      </c>
      <c r="E40" s="194">
        <v>0.18</v>
      </c>
      <c r="F40" s="194">
        <v>-41.2</v>
      </c>
      <c r="G40" s="194">
        <v>2.89</v>
      </c>
      <c r="H40" s="194">
        <v>1.07</v>
      </c>
      <c r="I40" s="196">
        <v>-62.96</v>
      </c>
      <c r="L40" s="193">
        <v>15</v>
      </c>
      <c r="M40" s="166" t="s">
        <v>258</v>
      </c>
      <c r="N40" s="194">
        <v>0.08</v>
      </c>
      <c r="O40" s="194">
        <v>0.03</v>
      </c>
      <c r="P40" s="194">
        <v>-56.19</v>
      </c>
      <c r="Q40" s="194">
        <v>1.98</v>
      </c>
      <c r="R40" s="194">
        <v>0.37</v>
      </c>
      <c r="S40" s="196">
        <v>-81.31</v>
      </c>
      <c r="V40" s="107" t="s">
        <v>258</v>
      </c>
    </row>
    <row r="41" spans="2:22" x14ac:dyDescent="0.35">
      <c r="B41" s="193">
        <v>16</v>
      </c>
      <c r="C41" s="166" t="s">
        <v>204</v>
      </c>
      <c r="D41" s="194">
        <v>0.18</v>
      </c>
      <c r="E41" s="194">
        <v>0.16</v>
      </c>
      <c r="F41" s="194">
        <v>-10.93</v>
      </c>
      <c r="G41" s="194">
        <v>1.52</v>
      </c>
      <c r="H41" s="194">
        <v>1.07</v>
      </c>
      <c r="I41" s="196">
        <v>-29.43</v>
      </c>
      <c r="L41" s="193">
        <v>16</v>
      </c>
      <c r="M41" s="166" t="s">
        <v>271</v>
      </c>
      <c r="N41" s="194">
        <v>7.0000000000000007E-2</v>
      </c>
      <c r="O41" s="194">
        <v>0.02</v>
      </c>
      <c r="P41" s="194">
        <v>-65.38</v>
      </c>
      <c r="Q41" s="194">
        <v>14.54</v>
      </c>
      <c r="R41" s="194">
        <v>0.8</v>
      </c>
      <c r="S41" s="196">
        <v>-94.52</v>
      </c>
      <c r="V41" s="107" t="s">
        <v>271</v>
      </c>
    </row>
    <row r="42" spans="2:22" x14ac:dyDescent="0.35">
      <c r="B42" s="193">
        <v>17</v>
      </c>
      <c r="C42" s="166" t="s">
        <v>309</v>
      </c>
      <c r="D42" s="194"/>
      <c r="E42" s="194">
        <v>0.12</v>
      </c>
      <c r="F42" s="194"/>
      <c r="G42" s="194"/>
      <c r="H42" s="194">
        <v>1.59</v>
      </c>
      <c r="I42" s="196"/>
      <c r="L42" s="193">
        <v>17</v>
      </c>
      <c r="M42" s="166" t="s">
        <v>261</v>
      </c>
      <c r="N42" s="194">
        <v>0.04</v>
      </c>
      <c r="O42" s="194">
        <v>0.02</v>
      </c>
      <c r="P42" s="194">
        <v>-50.7</v>
      </c>
      <c r="Q42" s="194">
        <v>12.54</v>
      </c>
      <c r="R42" s="194">
        <v>16.21</v>
      </c>
      <c r="S42" s="196">
        <v>29.24</v>
      </c>
      <c r="V42" s="107" t="s">
        <v>261</v>
      </c>
    </row>
    <row r="43" spans="2:22" x14ac:dyDescent="0.35">
      <c r="B43" s="193">
        <v>18</v>
      </c>
      <c r="C43" s="166" t="s">
        <v>263</v>
      </c>
      <c r="D43" s="194">
        <v>0.01</v>
      </c>
      <c r="E43" s="194">
        <v>0.09</v>
      </c>
      <c r="F43" s="195">
        <v>1538.46</v>
      </c>
      <c r="G43" s="194">
        <v>0.05</v>
      </c>
      <c r="H43" s="194">
        <v>1.33</v>
      </c>
      <c r="I43" s="197">
        <v>2564</v>
      </c>
      <c r="L43" s="193">
        <v>18</v>
      </c>
      <c r="M43" s="166" t="s">
        <v>213</v>
      </c>
      <c r="N43" s="194">
        <v>0.19</v>
      </c>
      <c r="O43" s="194">
        <v>0.02</v>
      </c>
      <c r="P43" s="194">
        <v>-90.61</v>
      </c>
      <c r="Q43" s="194">
        <v>2.23</v>
      </c>
      <c r="R43" s="194">
        <v>0.16</v>
      </c>
      <c r="S43" s="196">
        <v>-92.68</v>
      </c>
      <c r="V43" s="107" t="s">
        <v>213</v>
      </c>
    </row>
    <row r="44" spans="2:22" x14ac:dyDescent="0.35">
      <c r="B44" s="193">
        <v>19</v>
      </c>
      <c r="C44" s="166" t="s">
        <v>257</v>
      </c>
      <c r="D44" s="194">
        <v>0.02</v>
      </c>
      <c r="E44" s="194">
        <v>0.04</v>
      </c>
      <c r="F44" s="194">
        <v>176.58</v>
      </c>
      <c r="G44" s="194">
        <v>0.05</v>
      </c>
      <c r="H44" s="194">
        <v>0.96</v>
      </c>
      <c r="I44" s="197">
        <v>1946.81</v>
      </c>
      <c r="L44" s="193">
        <v>19</v>
      </c>
      <c r="M44" s="166" t="s">
        <v>204</v>
      </c>
      <c r="N44" s="194">
        <v>0.24</v>
      </c>
      <c r="O44" s="194">
        <v>0.01</v>
      </c>
      <c r="P44" s="194">
        <v>-94.49</v>
      </c>
      <c r="Q44" s="194">
        <v>189.78</v>
      </c>
      <c r="R44" s="194">
        <v>4.51</v>
      </c>
      <c r="S44" s="196">
        <v>-97.62</v>
      </c>
      <c r="V44" s="107" t="s">
        <v>204</v>
      </c>
    </row>
    <row r="45" spans="2:22" x14ac:dyDescent="0.35">
      <c r="B45" s="193">
        <v>20</v>
      </c>
      <c r="C45" s="166" t="s">
        <v>256</v>
      </c>
      <c r="D45" s="194">
        <v>0.03</v>
      </c>
      <c r="E45" s="194">
        <v>0.03</v>
      </c>
      <c r="F45" s="194">
        <v>16.25</v>
      </c>
      <c r="G45" s="194">
        <v>0.11</v>
      </c>
      <c r="H45" s="194">
        <v>0.79</v>
      </c>
      <c r="I45" s="196">
        <v>629.63</v>
      </c>
      <c r="L45" s="193">
        <v>20</v>
      </c>
      <c r="M45" s="166" t="s">
        <v>216</v>
      </c>
      <c r="N45" s="194">
        <v>0.1</v>
      </c>
      <c r="O45" s="194">
        <v>0.01</v>
      </c>
      <c r="P45" s="194">
        <v>-89.05</v>
      </c>
      <c r="Q45" s="194">
        <v>3.24</v>
      </c>
      <c r="R45" s="194">
        <v>0.09</v>
      </c>
      <c r="S45" s="196">
        <v>-97.07</v>
      </c>
      <c r="V45" s="107" t="s">
        <v>216</v>
      </c>
    </row>
    <row r="46" spans="2:22" x14ac:dyDescent="0.35">
      <c r="B46" s="193">
        <v>21</v>
      </c>
      <c r="C46" s="166" t="s">
        <v>270</v>
      </c>
      <c r="D46" s="194"/>
      <c r="E46" s="194">
        <v>0.03</v>
      </c>
      <c r="F46" s="194"/>
      <c r="G46" s="194"/>
      <c r="H46" s="194">
        <v>1.01</v>
      </c>
      <c r="I46" s="196"/>
      <c r="L46" s="193">
        <v>21</v>
      </c>
      <c r="M46" s="166" t="s">
        <v>262</v>
      </c>
      <c r="N46" s="194">
        <v>0.01</v>
      </c>
      <c r="O46" s="194">
        <v>0.01</v>
      </c>
      <c r="P46" s="194">
        <v>-41.38</v>
      </c>
      <c r="Q46" s="194">
        <v>0.05</v>
      </c>
      <c r="R46" s="194">
        <v>0.02</v>
      </c>
      <c r="S46" s="196">
        <v>-56.6</v>
      </c>
      <c r="V46" s="107" t="s">
        <v>262</v>
      </c>
    </row>
    <row r="47" spans="2:22" x14ac:dyDescent="0.35">
      <c r="B47" s="193">
        <v>22</v>
      </c>
      <c r="C47" s="166" t="s">
        <v>207</v>
      </c>
      <c r="D47" s="194">
        <v>0</v>
      </c>
      <c r="E47" s="194">
        <v>0.02</v>
      </c>
      <c r="F47" s="195">
        <v>22400</v>
      </c>
      <c r="G47" s="194">
        <v>0</v>
      </c>
      <c r="H47" s="194">
        <v>0.27</v>
      </c>
      <c r="I47" s="197">
        <v>13350</v>
      </c>
      <c r="L47" s="193">
        <v>22</v>
      </c>
      <c r="M47" s="166" t="s">
        <v>208</v>
      </c>
      <c r="N47" s="194">
        <v>0</v>
      </c>
      <c r="O47" s="194">
        <v>0</v>
      </c>
      <c r="P47" s="194">
        <v>290.91000000000003</v>
      </c>
      <c r="Q47" s="194">
        <v>0.05</v>
      </c>
      <c r="R47" s="194">
        <v>36</v>
      </c>
      <c r="S47" s="197">
        <v>69130.77</v>
      </c>
      <c r="V47" s="107" t="s">
        <v>208</v>
      </c>
    </row>
    <row r="48" spans="2:22" x14ac:dyDescent="0.35">
      <c r="B48" s="193">
        <v>23</v>
      </c>
      <c r="C48" s="166" t="s">
        <v>278</v>
      </c>
      <c r="D48" s="194">
        <v>0.05</v>
      </c>
      <c r="E48" s="194">
        <v>0.02</v>
      </c>
      <c r="F48" s="194">
        <v>-58.98</v>
      </c>
      <c r="G48" s="194">
        <v>1.7</v>
      </c>
      <c r="H48" s="194">
        <v>0.01</v>
      </c>
      <c r="I48" s="196">
        <v>-99.17</v>
      </c>
      <c r="L48" s="193">
        <v>23</v>
      </c>
      <c r="M48" s="166" t="s">
        <v>260</v>
      </c>
      <c r="N48" s="194">
        <v>0</v>
      </c>
      <c r="O48" s="194">
        <v>0</v>
      </c>
      <c r="P48" s="194">
        <v>966.67</v>
      </c>
      <c r="Q48" s="194">
        <v>0.13</v>
      </c>
      <c r="R48" s="194">
        <v>1.62</v>
      </c>
      <c r="S48" s="197">
        <v>1197.5999999999999</v>
      </c>
      <c r="V48" s="107" t="s">
        <v>260</v>
      </c>
    </row>
    <row r="49" spans="2:22" x14ac:dyDescent="0.35">
      <c r="B49" s="193">
        <v>24</v>
      </c>
      <c r="C49" s="166" t="s">
        <v>206</v>
      </c>
      <c r="D49" s="194">
        <v>0.01</v>
      </c>
      <c r="E49" s="194">
        <v>0.02</v>
      </c>
      <c r="F49" s="194">
        <v>276.36</v>
      </c>
      <c r="G49" s="194">
        <v>0</v>
      </c>
      <c r="H49" s="194">
        <v>0.01</v>
      </c>
      <c r="I49" s="196">
        <v>200</v>
      </c>
      <c r="L49" s="193">
        <v>24</v>
      </c>
      <c r="M49" s="166" t="s">
        <v>286</v>
      </c>
      <c r="N49" s="194">
        <v>0</v>
      </c>
      <c r="O49" s="194">
        <v>0</v>
      </c>
      <c r="P49" s="194">
        <v>-23.08</v>
      </c>
      <c r="Q49" s="194">
        <v>0.02</v>
      </c>
      <c r="R49" s="194">
        <v>0.01</v>
      </c>
      <c r="S49" s="196">
        <v>-55.56</v>
      </c>
      <c r="V49" s="107" t="s">
        <v>286</v>
      </c>
    </row>
    <row r="50" spans="2:22" x14ac:dyDescent="0.35">
      <c r="B50" s="193">
        <v>25</v>
      </c>
      <c r="C50" s="166" t="s">
        <v>469</v>
      </c>
      <c r="D50" s="194">
        <v>0.18</v>
      </c>
      <c r="E50" s="194">
        <v>0.01</v>
      </c>
      <c r="F50" s="194">
        <v>-95.15</v>
      </c>
      <c r="G50" s="194">
        <v>1.79</v>
      </c>
      <c r="H50" s="194">
        <v>0.1</v>
      </c>
      <c r="I50" s="196">
        <v>-94.3</v>
      </c>
      <c r="L50" s="193">
        <v>25</v>
      </c>
      <c r="M50" s="166" t="s">
        <v>263</v>
      </c>
      <c r="N50" s="194"/>
      <c r="O50" s="194">
        <v>0</v>
      </c>
      <c r="P50" s="194"/>
      <c r="Q50" s="194"/>
      <c r="R50" s="194">
        <v>0</v>
      </c>
      <c r="S50" s="196"/>
      <c r="V50" s="107" t="s">
        <v>263</v>
      </c>
    </row>
    <row r="51" spans="2:22" x14ac:dyDescent="0.35">
      <c r="B51" s="193">
        <v>26</v>
      </c>
      <c r="C51" s="166" t="s">
        <v>258</v>
      </c>
      <c r="D51" s="194">
        <v>0.01</v>
      </c>
      <c r="E51" s="194">
        <v>0.01</v>
      </c>
      <c r="F51" s="194">
        <v>-5.38</v>
      </c>
      <c r="G51" s="194">
        <v>0.05</v>
      </c>
      <c r="H51" s="194">
        <v>0.06</v>
      </c>
      <c r="I51" s="196">
        <v>27.08</v>
      </c>
      <c r="L51" s="193">
        <v>26</v>
      </c>
      <c r="M51" s="166" t="s">
        <v>207</v>
      </c>
      <c r="N51" s="194">
        <v>0.01</v>
      </c>
      <c r="O51" s="194">
        <v>0</v>
      </c>
      <c r="P51" s="194">
        <v>-83.51</v>
      </c>
      <c r="Q51" s="194">
        <v>0.4</v>
      </c>
      <c r="R51" s="194">
        <v>0.21</v>
      </c>
      <c r="S51" s="196">
        <v>-46.73</v>
      </c>
      <c r="V51" s="107" t="s">
        <v>207</v>
      </c>
    </row>
    <row r="52" spans="2:22" x14ac:dyDescent="0.35">
      <c r="B52" s="193">
        <v>27</v>
      </c>
      <c r="C52" s="166" t="s">
        <v>289</v>
      </c>
      <c r="D52" s="194"/>
      <c r="E52" s="194">
        <v>0.01</v>
      </c>
      <c r="F52" s="194"/>
      <c r="G52" s="194"/>
      <c r="H52" s="194">
        <v>0.02</v>
      </c>
      <c r="I52" s="196"/>
      <c r="L52" s="193">
        <v>27</v>
      </c>
      <c r="M52" s="166" t="s">
        <v>255</v>
      </c>
      <c r="N52" s="194">
        <v>0.01</v>
      </c>
      <c r="O52" s="194">
        <v>0</v>
      </c>
      <c r="P52" s="194">
        <v>-84.34</v>
      </c>
      <c r="Q52" s="194">
        <v>0.1</v>
      </c>
      <c r="R52" s="194">
        <v>0.01</v>
      </c>
      <c r="S52" s="196">
        <v>-87.38</v>
      </c>
      <c r="V52" s="107" t="s">
        <v>255</v>
      </c>
    </row>
    <row r="53" spans="2:22" x14ac:dyDescent="0.35">
      <c r="B53" s="193">
        <v>28</v>
      </c>
      <c r="C53" s="166" t="s">
        <v>259</v>
      </c>
      <c r="D53" s="194">
        <v>0.05</v>
      </c>
      <c r="E53" s="194">
        <v>0.01</v>
      </c>
      <c r="F53" s="194">
        <v>-88.89</v>
      </c>
      <c r="G53" s="194">
        <v>1.1299999999999999</v>
      </c>
      <c r="H53" s="194">
        <v>0.04</v>
      </c>
      <c r="I53" s="196">
        <v>-96.73</v>
      </c>
      <c r="L53" s="193">
        <v>28</v>
      </c>
      <c r="M53" s="166" t="s">
        <v>295</v>
      </c>
      <c r="N53" s="194">
        <v>0</v>
      </c>
      <c r="O53" s="194">
        <v>0</v>
      </c>
      <c r="P53" s="194">
        <v>-60</v>
      </c>
      <c r="Q53" s="194">
        <v>0</v>
      </c>
      <c r="R53" s="194">
        <v>0</v>
      </c>
      <c r="S53" s="196">
        <v>0</v>
      </c>
      <c r="V53" s="107" t="s">
        <v>295</v>
      </c>
    </row>
    <row r="54" spans="2:22" x14ac:dyDescent="0.35">
      <c r="B54" s="193">
        <v>29</v>
      </c>
      <c r="C54" s="166" t="s">
        <v>261</v>
      </c>
      <c r="D54" s="194">
        <v>0</v>
      </c>
      <c r="E54" s="194">
        <v>0</v>
      </c>
      <c r="F54" s="194">
        <v>-33.33</v>
      </c>
      <c r="G54" s="194">
        <v>0</v>
      </c>
      <c r="H54" s="194">
        <v>0.01</v>
      </c>
      <c r="I54" s="196">
        <v>50</v>
      </c>
      <c r="L54" s="193">
        <v>29</v>
      </c>
      <c r="M54" s="166" t="s">
        <v>265</v>
      </c>
      <c r="N54" s="194"/>
      <c r="O54" s="194">
        <v>0</v>
      </c>
      <c r="P54" s="194"/>
      <c r="Q54" s="194"/>
      <c r="R54" s="194">
        <v>0.01</v>
      </c>
      <c r="S54" s="196"/>
      <c r="V54" s="107" t="s">
        <v>265</v>
      </c>
    </row>
    <row r="55" spans="2:22" x14ac:dyDescent="0.35">
      <c r="B55" s="193">
        <v>30</v>
      </c>
      <c r="C55" s="166" t="s">
        <v>275</v>
      </c>
      <c r="D55" s="194"/>
      <c r="E55" s="194">
        <v>0</v>
      </c>
      <c r="F55" s="194"/>
      <c r="G55" s="194"/>
      <c r="H55" s="194">
        <v>0.01</v>
      </c>
      <c r="I55" s="196"/>
      <c r="L55" s="193">
        <v>30</v>
      </c>
      <c r="M55" s="166" t="s">
        <v>284</v>
      </c>
      <c r="N55" s="194">
        <v>0.38</v>
      </c>
      <c r="O55" s="194">
        <v>0</v>
      </c>
      <c r="P55" s="194">
        <v>-99.82</v>
      </c>
      <c r="Q55" s="194">
        <v>0.87</v>
      </c>
      <c r="R55" s="194">
        <v>0.13</v>
      </c>
      <c r="S55" s="196">
        <v>-85.58</v>
      </c>
      <c r="V55" s="107" t="s">
        <v>284</v>
      </c>
    </row>
    <row r="56" spans="2:22" x14ac:dyDescent="0.35">
      <c r="B56" s="193">
        <v>31</v>
      </c>
      <c r="C56" s="166" t="s">
        <v>262</v>
      </c>
      <c r="D56" s="194"/>
      <c r="E56" s="194">
        <v>0</v>
      </c>
      <c r="F56" s="194"/>
      <c r="G56" s="194"/>
      <c r="H56" s="194">
        <v>0</v>
      </c>
      <c r="I56" s="196"/>
      <c r="L56" s="193">
        <v>31</v>
      </c>
      <c r="M56" s="166" t="s">
        <v>289</v>
      </c>
      <c r="N56" s="194">
        <v>0</v>
      </c>
      <c r="O56" s="194">
        <v>0</v>
      </c>
      <c r="P56" s="194">
        <v>-84</v>
      </c>
      <c r="Q56" s="194">
        <v>0</v>
      </c>
      <c r="R56" s="194">
        <v>0.01</v>
      </c>
      <c r="S56" s="196">
        <v>100</v>
      </c>
      <c r="V56" s="107" t="s">
        <v>289</v>
      </c>
    </row>
    <row r="57" spans="2:22" x14ac:dyDescent="0.35">
      <c r="B57" s="193">
        <v>32</v>
      </c>
      <c r="C57" s="166" t="s">
        <v>212</v>
      </c>
      <c r="D57" s="194"/>
      <c r="E57" s="194">
        <v>0</v>
      </c>
      <c r="F57" s="194"/>
      <c r="G57" s="194"/>
      <c r="H57" s="194">
        <v>0</v>
      </c>
      <c r="I57" s="196"/>
      <c r="L57" s="193">
        <v>32</v>
      </c>
      <c r="M57" s="166" t="s">
        <v>257</v>
      </c>
      <c r="N57" s="194">
        <v>0</v>
      </c>
      <c r="O57" s="194">
        <v>0</v>
      </c>
      <c r="P57" s="194">
        <v>-95.35</v>
      </c>
      <c r="Q57" s="194">
        <v>0.22</v>
      </c>
      <c r="R57" s="194">
        <v>0</v>
      </c>
      <c r="S57" s="196">
        <v>-99.07</v>
      </c>
      <c r="V57" s="107" t="s">
        <v>257</v>
      </c>
    </row>
    <row r="58" spans="2:22" x14ac:dyDescent="0.35">
      <c r="B58" s="193">
        <v>33</v>
      </c>
      <c r="C58" s="166" t="s">
        <v>271</v>
      </c>
      <c r="D58" s="194">
        <v>0</v>
      </c>
      <c r="E58" s="194"/>
      <c r="F58" s="194"/>
      <c r="G58" s="194">
        <v>0.01</v>
      </c>
      <c r="H58" s="194"/>
      <c r="I58" s="196"/>
      <c r="L58" s="193">
        <v>33</v>
      </c>
      <c r="M58" s="166" t="s">
        <v>215</v>
      </c>
      <c r="N58" s="194">
        <v>0.01</v>
      </c>
      <c r="O58" s="194">
        <v>0</v>
      </c>
      <c r="P58" s="194">
        <v>-98.82</v>
      </c>
      <c r="Q58" s="194">
        <v>0.11</v>
      </c>
      <c r="R58" s="194">
        <v>0</v>
      </c>
      <c r="S58" s="196">
        <v>-98.11</v>
      </c>
      <c r="V58" s="107" t="s">
        <v>215</v>
      </c>
    </row>
    <row r="59" spans="2:22" x14ac:dyDescent="0.35">
      <c r="B59" s="193">
        <v>34</v>
      </c>
      <c r="C59" s="166" t="s">
        <v>255</v>
      </c>
      <c r="D59" s="194">
        <v>0</v>
      </c>
      <c r="E59" s="194"/>
      <c r="F59" s="194"/>
      <c r="G59" s="194">
        <v>0</v>
      </c>
      <c r="H59" s="194"/>
      <c r="I59" s="196"/>
      <c r="L59" s="193">
        <v>34</v>
      </c>
      <c r="M59" s="166" t="s">
        <v>297</v>
      </c>
      <c r="N59" s="194">
        <v>0</v>
      </c>
      <c r="O59" s="194"/>
      <c r="P59" s="194"/>
      <c r="Q59" s="194">
        <v>0</v>
      </c>
      <c r="R59" s="194"/>
      <c r="S59" s="196"/>
      <c r="V59" s="107" t="s">
        <v>297</v>
      </c>
    </row>
    <row r="60" spans="2:22" x14ac:dyDescent="0.35">
      <c r="B60" s="193">
        <v>35</v>
      </c>
      <c r="C60" s="166" t="s">
        <v>298</v>
      </c>
      <c r="D60" s="194">
        <v>0</v>
      </c>
      <c r="E60" s="194"/>
      <c r="F60" s="194"/>
      <c r="G60" s="194">
        <v>0.01</v>
      </c>
      <c r="H60" s="194"/>
      <c r="I60" s="196"/>
      <c r="L60" s="193">
        <v>35</v>
      </c>
      <c r="M60" s="166" t="s">
        <v>264</v>
      </c>
      <c r="N60" s="194">
        <v>0</v>
      </c>
      <c r="O60" s="194"/>
      <c r="P60" s="194"/>
      <c r="Q60" s="194">
        <v>0.01</v>
      </c>
      <c r="R60" s="194"/>
      <c r="S60" s="196"/>
      <c r="V60" s="107" t="s">
        <v>264</v>
      </c>
    </row>
    <row r="61" spans="2:22" x14ac:dyDescent="0.35">
      <c r="B61" s="193">
        <v>36</v>
      </c>
      <c r="C61" s="166" t="s">
        <v>276</v>
      </c>
      <c r="D61" s="194">
        <v>0.03</v>
      </c>
      <c r="E61" s="194"/>
      <c r="F61" s="194"/>
      <c r="G61" s="194">
        <v>0.38</v>
      </c>
      <c r="H61" s="194"/>
      <c r="I61" s="196"/>
      <c r="L61" s="193">
        <v>36</v>
      </c>
      <c r="M61" s="166" t="s">
        <v>283</v>
      </c>
      <c r="N61" s="194">
        <v>0.03</v>
      </c>
      <c r="O61" s="194"/>
      <c r="P61" s="194"/>
      <c r="Q61" s="194">
        <v>0.05</v>
      </c>
      <c r="R61" s="194"/>
      <c r="S61" s="196"/>
      <c r="V61" s="107" t="s">
        <v>283</v>
      </c>
    </row>
    <row r="62" spans="2:22" x14ac:dyDescent="0.35">
      <c r="B62" s="193">
        <v>37</v>
      </c>
      <c r="C62" s="166" t="s">
        <v>283</v>
      </c>
      <c r="D62" s="194">
        <v>7.67</v>
      </c>
      <c r="E62" s="194"/>
      <c r="F62" s="194"/>
      <c r="G62" s="194">
        <v>0</v>
      </c>
      <c r="H62" s="194"/>
      <c r="I62" s="196"/>
      <c r="L62" s="193">
        <v>37</v>
      </c>
      <c r="M62" s="166" t="s">
        <v>276</v>
      </c>
      <c r="N62" s="194">
        <v>0.01</v>
      </c>
      <c r="O62" s="194"/>
      <c r="P62" s="194"/>
      <c r="Q62" s="194">
        <v>0</v>
      </c>
      <c r="R62" s="194"/>
      <c r="S62" s="196"/>
      <c r="V62" s="107" t="s">
        <v>276</v>
      </c>
    </row>
    <row r="63" spans="2:22" x14ac:dyDescent="0.35">
      <c r="B63" s="193">
        <v>38</v>
      </c>
      <c r="C63" s="166" t="s">
        <v>296</v>
      </c>
      <c r="D63" s="194">
        <v>0</v>
      </c>
      <c r="E63" s="194"/>
      <c r="F63" s="194"/>
      <c r="G63" s="194">
        <v>0</v>
      </c>
      <c r="H63" s="194"/>
      <c r="I63" s="196"/>
      <c r="L63" s="193">
        <v>38</v>
      </c>
      <c r="M63" s="166" t="s">
        <v>292</v>
      </c>
      <c r="N63" s="194">
        <v>0</v>
      </c>
      <c r="O63" s="194"/>
      <c r="P63" s="194"/>
      <c r="Q63" s="194">
        <v>0</v>
      </c>
      <c r="R63" s="194"/>
      <c r="S63" s="196"/>
      <c r="V63" s="107" t="s">
        <v>292</v>
      </c>
    </row>
    <row r="64" spans="2:22" x14ac:dyDescent="0.35">
      <c r="B64" s="193">
        <v>39</v>
      </c>
      <c r="C64" s="166" t="s">
        <v>303</v>
      </c>
      <c r="D64" s="194">
        <v>0.08</v>
      </c>
      <c r="E64" s="194"/>
      <c r="F64" s="194"/>
      <c r="G64" s="194">
        <v>1.82</v>
      </c>
      <c r="H64" s="194"/>
      <c r="I64" s="196"/>
      <c r="L64" s="193">
        <v>39</v>
      </c>
      <c r="M64" s="166" t="s">
        <v>301</v>
      </c>
      <c r="N64" s="194"/>
      <c r="O64" s="194"/>
      <c r="P64" s="194"/>
      <c r="Q64" s="194">
        <v>0.06</v>
      </c>
      <c r="R64" s="194"/>
      <c r="S64" s="196"/>
      <c r="V64" s="107" t="s">
        <v>301</v>
      </c>
    </row>
    <row r="65" spans="2:22" x14ac:dyDescent="0.35">
      <c r="B65" s="198"/>
      <c r="C65" s="232" t="s">
        <v>35</v>
      </c>
      <c r="D65" s="199">
        <v>36.44</v>
      </c>
      <c r="E65" s="199">
        <v>33.07</v>
      </c>
      <c r="F65" s="199">
        <v>-9.23</v>
      </c>
      <c r="G65" s="200"/>
      <c r="H65" s="200"/>
      <c r="I65" s="201"/>
      <c r="L65" s="193">
        <v>40</v>
      </c>
      <c r="M65" s="166" t="s">
        <v>470</v>
      </c>
      <c r="N65" s="194"/>
      <c r="O65" s="194"/>
      <c r="P65" s="194"/>
      <c r="Q65" s="194"/>
      <c r="R65" s="194">
        <v>0</v>
      </c>
      <c r="S65" s="196"/>
      <c r="V65" s="107" t="s">
        <v>470</v>
      </c>
    </row>
    <row r="66" spans="2:22" x14ac:dyDescent="0.35">
      <c r="B66" s="202" t="s">
        <v>279</v>
      </c>
      <c r="C66" s="203"/>
      <c r="D66" s="204">
        <v>474709.28</v>
      </c>
      <c r="E66" s="204">
        <v>394435.88</v>
      </c>
      <c r="F66" s="205">
        <v>-16.91</v>
      </c>
      <c r="G66" s="194"/>
      <c r="H66" s="194"/>
      <c r="I66" s="196"/>
      <c r="L66" s="198"/>
      <c r="M66" s="172" t="s">
        <v>35</v>
      </c>
      <c r="N66" s="199">
        <v>27.34</v>
      </c>
      <c r="O66" s="199">
        <v>15.62</v>
      </c>
      <c r="P66" s="199">
        <v>-42.89</v>
      </c>
      <c r="Q66" s="200"/>
      <c r="R66" s="200"/>
      <c r="S66" s="201"/>
    </row>
    <row r="67" spans="2:22" ht="15" thickBot="1" x14ac:dyDescent="0.4">
      <c r="B67" s="206" t="s">
        <v>280</v>
      </c>
      <c r="C67" s="207"/>
      <c r="D67" s="208">
        <v>7.7000000000000002E-3</v>
      </c>
      <c r="E67" s="208">
        <v>8.3999999999999995E-3</v>
      </c>
      <c r="F67" s="208"/>
      <c r="G67" s="209"/>
      <c r="H67" s="209"/>
      <c r="I67" s="210"/>
      <c r="L67" s="202" t="s">
        <v>279</v>
      </c>
      <c r="M67" s="203"/>
      <c r="N67" s="204">
        <v>474709.28</v>
      </c>
      <c r="O67" s="204">
        <v>394435.88</v>
      </c>
      <c r="P67" s="205">
        <v>-16.91</v>
      </c>
      <c r="Q67" s="194"/>
      <c r="R67" s="194"/>
      <c r="S67" s="196"/>
    </row>
    <row r="68" spans="2:22" ht="15" thickBot="1" x14ac:dyDescent="0.4">
      <c r="L68" s="206" t="s">
        <v>280</v>
      </c>
      <c r="M68" s="207"/>
      <c r="N68" s="208">
        <v>5.7999999999999996E-3</v>
      </c>
      <c r="O68" s="208">
        <v>4.0000000000000001E-3</v>
      </c>
      <c r="P68" s="208"/>
      <c r="Q68" s="209"/>
      <c r="R68" s="209"/>
      <c r="S68" s="210"/>
    </row>
    <row r="70" spans="2:22" ht="15" thickBot="1" x14ac:dyDescent="0.4">
      <c r="I70" t="s">
        <v>471</v>
      </c>
    </row>
    <row r="71" spans="2:22" x14ac:dyDescent="0.35">
      <c r="C71" t="s">
        <v>251</v>
      </c>
      <c r="D71">
        <v>6.37</v>
      </c>
      <c r="F71" t="s">
        <v>251</v>
      </c>
      <c r="G71">
        <v>9.7200000000000006</v>
      </c>
      <c r="H71">
        <f>VLOOKUP($F71,$C$71:$D$110,2,FALSE)</f>
        <v>6.37</v>
      </c>
      <c r="I71">
        <f t="shared" ref="I71:I98" si="0">SUM(G71:H71)</f>
        <v>16.09</v>
      </c>
      <c r="M71" s="95" t="s">
        <v>251</v>
      </c>
      <c r="N71" s="96">
        <v>16.09</v>
      </c>
    </row>
    <row r="72" spans="2:22" x14ac:dyDescent="0.35">
      <c r="C72" t="s">
        <v>216</v>
      </c>
      <c r="D72">
        <v>6.18</v>
      </c>
      <c r="F72" t="s">
        <v>210</v>
      </c>
      <c r="G72">
        <v>1.06</v>
      </c>
      <c r="H72">
        <f t="shared" ref="H72:H93" si="1">VLOOKUP($F72,$C$71:$D$110,2,FALSE)</f>
        <v>0.33</v>
      </c>
      <c r="I72">
        <f t="shared" si="0"/>
        <v>1.3900000000000001</v>
      </c>
      <c r="M72" s="223" t="s">
        <v>216</v>
      </c>
      <c r="N72" s="224">
        <v>6.1899999999999995</v>
      </c>
    </row>
    <row r="73" spans="2:22" x14ac:dyDescent="0.35">
      <c r="C73" t="s">
        <v>253</v>
      </c>
      <c r="D73">
        <v>4.09</v>
      </c>
      <c r="F73" t="s">
        <v>197</v>
      </c>
      <c r="G73">
        <v>0.88</v>
      </c>
      <c r="H73">
        <f t="shared" si="1"/>
        <v>2.79</v>
      </c>
      <c r="I73">
        <f t="shared" si="0"/>
        <v>3.67</v>
      </c>
      <c r="M73" s="223" t="s">
        <v>253</v>
      </c>
      <c r="N73" s="224">
        <v>4.59</v>
      </c>
    </row>
    <row r="74" spans="2:22" x14ac:dyDescent="0.35">
      <c r="C74" t="s">
        <v>197</v>
      </c>
      <c r="D74">
        <v>2.79</v>
      </c>
      <c r="F74" t="s">
        <v>252</v>
      </c>
      <c r="G74">
        <v>0.66</v>
      </c>
      <c r="H74">
        <f t="shared" si="1"/>
        <v>1.39</v>
      </c>
      <c r="I74">
        <f t="shared" si="0"/>
        <v>2.0499999999999998</v>
      </c>
      <c r="M74" s="223" t="s">
        <v>197</v>
      </c>
      <c r="N74" s="224">
        <v>3.67</v>
      </c>
    </row>
    <row r="75" spans="2:22" x14ac:dyDescent="0.35">
      <c r="C75" t="s">
        <v>269</v>
      </c>
      <c r="D75">
        <v>2.71</v>
      </c>
      <c r="F75" t="s">
        <v>212</v>
      </c>
      <c r="G75">
        <v>0.6</v>
      </c>
      <c r="H75">
        <f t="shared" si="1"/>
        <v>0</v>
      </c>
      <c r="I75">
        <f t="shared" si="0"/>
        <v>0.6</v>
      </c>
      <c r="M75" s="223" t="s">
        <v>269</v>
      </c>
      <c r="N75" s="224">
        <v>3.2199999999999998</v>
      </c>
    </row>
    <row r="76" spans="2:22" x14ac:dyDescent="0.35">
      <c r="C76" t="s">
        <v>211</v>
      </c>
      <c r="D76">
        <v>2.41</v>
      </c>
      <c r="F76" t="s">
        <v>269</v>
      </c>
      <c r="G76">
        <v>0.51</v>
      </c>
      <c r="H76">
        <f t="shared" si="1"/>
        <v>2.71</v>
      </c>
      <c r="I76">
        <f t="shared" si="0"/>
        <v>3.2199999999999998</v>
      </c>
      <c r="M76" s="223" t="s">
        <v>211</v>
      </c>
      <c r="N76" s="224">
        <v>2.58</v>
      </c>
    </row>
    <row r="77" spans="2:22" x14ac:dyDescent="0.35">
      <c r="C77" t="s">
        <v>316</v>
      </c>
      <c r="D77">
        <v>1.82</v>
      </c>
      <c r="F77" t="s">
        <v>253</v>
      </c>
      <c r="G77">
        <v>0.5</v>
      </c>
      <c r="H77">
        <f t="shared" si="1"/>
        <v>4.09</v>
      </c>
      <c r="I77">
        <f t="shared" si="0"/>
        <v>4.59</v>
      </c>
      <c r="M77" s="223" t="s">
        <v>199</v>
      </c>
      <c r="N77" s="224">
        <v>2.0699999999999998</v>
      </c>
    </row>
    <row r="78" spans="2:22" x14ac:dyDescent="0.35">
      <c r="C78" t="s">
        <v>199</v>
      </c>
      <c r="D78">
        <v>1.75</v>
      </c>
      <c r="F78" t="s">
        <v>206</v>
      </c>
      <c r="G78">
        <v>0.49</v>
      </c>
      <c r="H78">
        <f t="shared" si="1"/>
        <v>0.02</v>
      </c>
      <c r="I78">
        <f t="shared" si="0"/>
        <v>0.51</v>
      </c>
      <c r="M78" s="223" t="s">
        <v>252</v>
      </c>
      <c r="N78" s="224">
        <v>2.0499999999999998</v>
      </c>
    </row>
    <row r="79" spans="2:22" x14ac:dyDescent="0.35">
      <c r="C79" t="s">
        <v>252</v>
      </c>
      <c r="D79">
        <v>1.39</v>
      </c>
      <c r="F79" t="s">
        <v>199</v>
      </c>
      <c r="G79">
        <v>0.32</v>
      </c>
      <c r="H79">
        <f t="shared" si="1"/>
        <v>1.75</v>
      </c>
      <c r="I79">
        <f t="shared" si="0"/>
        <v>2.0699999999999998</v>
      </c>
      <c r="M79" s="223" t="s">
        <v>210</v>
      </c>
      <c r="N79" s="224">
        <v>1.3900000000000001</v>
      </c>
    </row>
    <row r="80" spans="2:22" x14ac:dyDescent="0.35">
      <c r="C80" t="s">
        <v>202</v>
      </c>
      <c r="D80">
        <v>0.94</v>
      </c>
      <c r="F80" t="s">
        <v>202</v>
      </c>
      <c r="G80">
        <v>0.24</v>
      </c>
      <c r="H80">
        <f t="shared" si="1"/>
        <v>0.94</v>
      </c>
      <c r="I80">
        <f t="shared" si="0"/>
        <v>1.18</v>
      </c>
      <c r="M80" s="223" t="s">
        <v>202</v>
      </c>
      <c r="N80" s="224">
        <v>1.18</v>
      </c>
    </row>
    <row r="81" spans="3:14" x14ac:dyDescent="0.35">
      <c r="C81" t="s">
        <v>208</v>
      </c>
      <c r="D81">
        <v>0.77</v>
      </c>
      <c r="F81" t="s">
        <v>211</v>
      </c>
      <c r="G81">
        <v>0.17</v>
      </c>
      <c r="H81">
        <f t="shared" si="1"/>
        <v>2.41</v>
      </c>
      <c r="I81">
        <f t="shared" si="0"/>
        <v>2.58</v>
      </c>
      <c r="M81" s="223" t="s">
        <v>208</v>
      </c>
      <c r="N81" s="224">
        <v>0.77</v>
      </c>
    </row>
    <row r="82" spans="3:14" x14ac:dyDescent="0.35">
      <c r="C82" t="s">
        <v>215</v>
      </c>
      <c r="D82">
        <v>0.46</v>
      </c>
      <c r="F82" t="s">
        <v>256</v>
      </c>
      <c r="G82">
        <v>0.11</v>
      </c>
      <c r="H82">
        <f t="shared" si="1"/>
        <v>0.03</v>
      </c>
      <c r="I82">
        <f t="shared" si="0"/>
        <v>0.14000000000000001</v>
      </c>
      <c r="M82" s="223" t="s">
        <v>212</v>
      </c>
      <c r="N82" s="224">
        <v>0.6</v>
      </c>
    </row>
    <row r="83" spans="3:14" x14ac:dyDescent="0.35">
      <c r="C83" t="s">
        <v>210</v>
      </c>
      <c r="D83">
        <v>0.33</v>
      </c>
      <c r="F83" t="s">
        <v>275</v>
      </c>
      <c r="G83">
        <v>0.11</v>
      </c>
      <c r="H83">
        <f t="shared" si="1"/>
        <v>0</v>
      </c>
      <c r="I83">
        <f t="shared" si="0"/>
        <v>0.11</v>
      </c>
      <c r="M83" s="223" t="s">
        <v>206</v>
      </c>
      <c r="N83" s="224">
        <v>0.51</v>
      </c>
    </row>
    <row r="84" spans="3:14" x14ac:dyDescent="0.35">
      <c r="C84" t="s">
        <v>213</v>
      </c>
      <c r="D84">
        <v>0.32</v>
      </c>
      <c r="F84" t="s">
        <v>278</v>
      </c>
      <c r="G84">
        <v>0.1</v>
      </c>
      <c r="H84">
        <f t="shared" si="1"/>
        <v>0.02</v>
      </c>
      <c r="I84">
        <f t="shared" si="0"/>
        <v>0.12000000000000001</v>
      </c>
      <c r="M84" s="223" t="s">
        <v>215</v>
      </c>
      <c r="N84" s="224">
        <v>0.46</v>
      </c>
    </row>
    <row r="85" spans="3:14" x14ac:dyDescent="0.35">
      <c r="C85" t="s">
        <v>260</v>
      </c>
      <c r="D85">
        <v>0.18</v>
      </c>
      <c r="F85" t="s">
        <v>258</v>
      </c>
      <c r="G85">
        <v>0.03</v>
      </c>
      <c r="H85">
        <f t="shared" si="1"/>
        <v>0.01</v>
      </c>
      <c r="I85">
        <f t="shared" si="0"/>
        <v>0.04</v>
      </c>
      <c r="M85" s="223" t="s">
        <v>213</v>
      </c>
      <c r="N85" s="224">
        <v>0.34</v>
      </c>
    </row>
    <row r="86" spans="3:14" x14ac:dyDescent="0.35">
      <c r="C86" t="s">
        <v>204</v>
      </c>
      <c r="D86">
        <v>0.16</v>
      </c>
      <c r="F86" t="s">
        <v>271</v>
      </c>
      <c r="G86">
        <v>0.02</v>
      </c>
      <c r="H86">
        <f t="shared" si="1"/>
        <v>0</v>
      </c>
      <c r="I86">
        <f t="shared" si="0"/>
        <v>0.02</v>
      </c>
      <c r="M86" s="223" t="s">
        <v>260</v>
      </c>
      <c r="N86" s="224">
        <v>0.18</v>
      </c>
    </row>
    <row r="87" spans="3:14" x14ac:dyDescent="0.35">
      <c r="C87" t="s">
        <v>309</v>
      </c>
      <c r="D87">
        <v>0.12</v>
      </c>
      <c r="F87" t="s">
        <v>261</v>
      </c>
      <c r="G87">
        <v>0.02</v>
      </c>
      <c r="H87">
        <f t="shared" si="1"/>
        <v>0</v>
      </c>
      <c r="I87">
        <f t="shared" si="0"/>
        <v>0.02</v>
      </c>
      <c r="M87" s="223" t="s">
        <v>204</v>
      </c>
      <c r="N87" s="224">
        <v>0.17</v>
      </c>
    </row>
    <row r="88" spans="3:14" x14ac:dyDescent="0.35">
      <c r="C88" t="s">
        <v>263</v>
      </c>
      <c r="D88">
        <v>0.09</v>
      </c>
      <c r="F88" t="s">
        <v>213</v>
      </c>
      <c r="G88">
        <v>0.02</v>
      </c>
      <c r="H88">
        <f t="shared" si="1"/>
        <v>0.32</v>
      </c>
      <c r="I88">
        <f t="shared" si="0"/>
        <v>0.34</v>
      </c>
      <c r="M88" s="223" t="s">
        <v>256</v>
      </c>
      <c r="N88" s="224">
        <v>0.14000000000000001</v>
      </c>
    </row>
    <row r="89" spans="3:14" x14ac:dyDescent="0.35">
      <c r="C89" t="s">
        <v>257</v>
      </c>
      <c r="D89">
        <v>0.04</v>
      </c>
      <c r="F89" t="s">
        <v>204</v>
      </c>
      <c r="G89">
        <v>0.01</v>
      </c>
      <c r="H89">
        <f t="shared" si="1"/>
        <v>0.16</v>
      </c>
      <c r="I89">
        <f t="shared" si="0"/>
        <v>0.17</v>
      </c>
      <c r="M89" s="223" t="s">
        <v>278</v>
      </c>
      <c r="N89" s="224">
        <v>0.12000000000000001</v>
      </c>
    </row>
    <row r="90" spans="3:14" x14ac:dyDescent="0.35">
      <c r="C90" t="s">
        <v>256</v>
      </c>
      <c r="D90">
        <v>0.03</v>
      </c>
      <c r="F90" t="s">
        <v>216</v>
      </c>
      <c r="G90">
        <v>0.01</v>
      </c>
      <c r="H90">
        <f t="shared" si="1"/>
        <v>6.18</v>
      </c>
      <c r="I90">
        <f t="shared" si="0"/>
        <v>6.1899999999999995</v>
      </c>
      <c r="M90" s="223" t="s">
        <v>275</v>
      </c>
      <c r="N90" s="224">
        <v>0.11</v>
      </c>
    </row>
    <row r="91" spans="3:14" x14ac:dyDescent="0.35">
      <c r="C91" t="s">
        <v>270</v>
      </c>
      <c r="D91">
        <v>0.03</v>
      </c>
      <c r="F91" t="s">
        <v>262</v>
      </c>
      <c r="G91">
        <v>0.01</v>
      </c>
      <c r="H91">
        <f t="shared" si="1"/>
        <v>0</v>
      </c>
      <c r="I91">
        <f t="shared" si="0"/>
        <v>0.01</v>
      </c>
      <c r="M91" s="223" t="s">
        <v>263</v>
      </c>
      <c r="N91" s="224">
        <v>0.09</v>
      </c>
    </row>
    <row r="92" spans="3:14" x14ac:dyDescent="0.35">
      <c r="C92" t="s">
        <v>207</v>
      </c>
      <c r="D92">
        <v>0.02</v>
      </c>
      <c r="F92" t="s">
        <v>208</v>
      </c>
      <c r="G92">
        <v>0</v>
      </c>
      <c r="H92">
        <f t="shared" si="1"/>
        <v>0.77</v>
      </c>
      <c r="I92">
        <f t="shared" si="0"/>
        <v>0.77</v>
      </c>
      <c r="M92" s="223" t="s">
        <v>258</v>
      </c>
      <c r="N92" s="224">
        <v>0.04</v>
      </c>
    </row>
    <row r="93" spans="3:14" x14ac:dyDescent="0.35">
      <c r="C93" t="s">
        <v>278</v>
      </c>
      <c r="D93">
        <v>0.02</v>
      </c>
      <c r="F93" t="s">
        <v>260</v>
      </c>
      <c r="G93">
        <v>0</v>
      </c>
      <c r="H93">
        <f t="shared" si="1"/>
        <v>0.18</v>
      </c>
      <c r="I93">
        <f t="shared" si="0"/>
        <v>0.18</v>
      </c>
      <c r="M93" s="223" t="s">
        <v>257</v>
      </c>
      <c r="N93" s="224">
        <v>0.04</v>
      </c>
    </row>
    <row r="94" spans="3:14" x14ac:dyDescent="0.35">
      <c r="C94" t="s">
        <v>206</v>
      </c>
      <c r="D94">
        <v>0.02</v>
      </c>
      <c r="F94" t="s">
        <v>263</v>
      </c>
      <c r="G94">
        <v>0</v>
      </c>
      <c r="H94">
        <f>VLOOKUP($F94,$C$71:$D$110,2,FALSE)</f>
        <v>0.09</v>
      </c>
      <c r="I94">
        <f t="shared" si="0"/>
        <v>0.09</v>
      </c>
      <c r="M94" s="223" t="s">
        <v>271</v>
      </c>
      <c r="N94" s="224">
        <v>0.02</v>
      </c>
    </row>
    <row r="95" spans="3:14" x14ac:dyDescent="0.35">
      <c r="C95" t="s">
        <v>469</v>
      </c>
      <c r="D95">
        <v>0.01</v>
      </c>
      <c r="F95" t="s">
        <v>207</v>
      </c>
      <c r="G95">
        <v>0</v>
      </c>
      <c r="H95">
        <f>VLOOKUP($F95,$C$71:$D$110,2,FALSE)</f>
        <v>0.02</v>
      </c>
      <c r="I95">
        <f t="shared" si="0"/>
        <v>0.02</v>
      </c>
      <c r="M95" s="223" t="s">
        <v>261</v>
      </c>
      <c r="N95" s="224">
        <v>0.02</v>
      </c>
    </row>
    <row r="96" spans="3:14" x14ac:dyDescent="0.35">
      <c r="C96" t="s">
        <v>258</v>
      </c>
      <c r="D96">
        <v>0.01</v>
      </c>
      <c r="F96" t="s">
        <v>289</v>
      </c>
      <c r="G96">
        <v>0</v>
      </c>
      <c r="H96">
        <f>VLOOKUP($F96,$C$71:$D$110,2,FALSE)</f>
        <v>0.01</v>
      </c>
      <c r="I96">
        <f t="shared" si="0"/>
        <v>0.01</v>
      </c>
      <c r="M96" s="223" t="s">
        <v>207</v>
      </c>
      <c r="N96" s="224">
        <v>0.02</v>
      </c>
    </row>
    <row r="97" spans="3:15" x14ac:dyDescent="0.35">
      <c r="C97" t="s">
        <v>289</v>
      </c>
      <c r="D97">
        <v>0.01</v>
      </c>
      <c r="F97" t="s">
        <v>257</v>
      </c>
      <c r="G97">
        <v>0</v>
      </c>
      <c r="H97">
        <f>VLOOKUP($F97,$C$71:$D$110,2,FALSE)</f>
        <v>0.04</v>
      </c>
      <c r="I97">
        <f t="shared" si="0"/>
        <v>0.04</v>
      </c>
      <c r="M97" s="223" t="s">
        <v>262</v>
      </c>
      <c r="N97" s="224">
        <v>0.01</v>
      </c>
    </row>
    <row r="98" spans="3:15" ht="15" thickBot="1" x14ac:dyDescent="0.4">
      <c r="C98" t="s">
        <v>259</v>
      </c>
      <c r="D98">
        <v>0.01</v>
      </c>
      <c r="F98" t="s">
        <v>215</v>
      </c>
      <c r="G98">
        <v>0</v>
      </c>
      <c r="H98">
        <f>VLOOKUP($F98,$C$71:$D$110,2,FALSE)</f>
        <v>0.46</v>
      </c>
      <c r="I98">
        <f t="shared" si="0"/>
        <v>0.46</v>
      </c>
      <c r="M98" s="100" t="s">
        <v>289</v>
      </c>
      <c r="N98" s="225">
        <v>0.01</v>
      </c>
    </row>
    <row r="99" spans="3:15" x14ac:dyDescent="0.35">
      <c r="C99" t="s">
        <v>261</v>
      </c>
      <c r="D99">
        <v>0</v>
      </c>
    </row>
    <row r="100" spans="3:15" x14ac:dyDescent="0.35">
      <c r="C100" t="s">
        <v>275</v>
      </c>
      <c r="D100">
        <v>0</v>
      </c>
      <c r="N100">
        <f>SUM(N71:N98)</f>
        <v>46.680000000000007</v>
      </c>
      <c r="O100" t="s">
        <v>472</v>
      </c>
    </row>
    <row r="101" spans="3:15" x14ac:dyDescent="0.35">
      <c r="C101" t="s">
        <v>262</v>
      </c>
      <c r="D101">
        <v>0</v>
      </c>
    </row>
    <row r="102" spans="3:15" x14ac:dyDescent="0.35">
      <c r="C102" t="s">
        <v>212</v>
      </c>
      <c r="D102">
        <v>0</v>
      </c>
    </row>
    <row r="103" spans="3:15" x14ac:dyDescent="0.35">
      <c r="C103" t="s">
        <v>271</v>
      </c>
    </row>
    <row r="104" spans="3:15" x14ac:dyDescent="0.35">
      <c r="C104" t="s">
        <v>255</v>
      </c>
    </row>
    <row r="105" spans="3:15" x14ac:dyDescent="0.35">
      <c r="C105" t="s">
        <v>298</v>
      </c>
    </row>
    <row r="106" spans="3:15" x14ac:dyDescent="0.35">
      <c r="C106" t="s">
        <v>276</v>
      </c>
    </row>
    <row r="107" spans="3:15" x14ac:dyDescent="0.35">
      <c r="C107" t="s">
        <v>283</v>
      </c>
    </row>
    <row r="108" spans="3:15" x14ac:dyDescent="0.35">
      <c r="C108" t="s">
        <v>296</v>
      </c>
    </row>
    <row r="109" spans="3:15" x14ac:dyDescent="0.35">
      <c r="C109" t="s">
        <v>303</v>
      </c>
    </row>
    <row r="112" spans="3:15" x14ac:dyDescent="0.35">
      <c r="C112" t="s">
        <v>35</v>
      </c>
      <c r="D112">
        <v>33.07</v>
      </c>
      <c r="F112" t="s">
        <v>35</v>
      </c>
      <c r="G112">
        <v>15.62</v>
      </c>
    </row>
  </sheetData>
  <mergeCells count="8">
    <mergeCell ref="L68:M68"/>
    <mergeCell ref="D24:F24"/>
    <mergeCell ref="G24:I24"/>
    <mergeCell ref="N24:P24"/>
    <mergeCell ref="Q24:S24"/>
    <mergeCell ref="B66:C66"/>
    <mergeCell ref="B67:C67"/>
    <mergeCell ref="L67:M67"/>
  </mergeCells>
  <hyperlinks>
    <hyperlink ref="B2" r:id="rId1" xr:uid="{6F69AD0C-7777-4E13-813E-222A32F49BC5}"/>
    <hyperlink ref="J2" r:id="rId2" xr:uid="{041944FA-A69A-45DE-96C9-0A7596CDCAE1}"/>
  </hyperlinks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A457-8CEB-4288-ACA8-00D2746F7EEE}">
  <dimension ref="B1:M51"/>
  <sheetViews>
    <sheetView workbookViewId="0">
      <selection activeCell="U16" sqref="U16"/>
    </sheetView>
  </sheetViews>
  <sheetFormatPr defaultRowHeight="14.5" x14ac:dyDescent="0.35"/>
  <cols>
    <col min="2" max="2" width="10.81640625" customWidth="1"/>
    <col min="3" max="3" width="18.453125" bestFit="1" customWidth="1"/>
    <col min="4" max="4" width="20.54296875" bestFit="1" customWidth="1"/>
    <col min="5" max="5" width="19.7265625" bestFit="1" customWidth="1"/>
    <col min="6" max="6" width="9.453125" bestFit="1" customWidth="1"/>
    <col min="7" max="8" width="9.54296875" bestFit="1" customWidth="1"/>
    <col min="9" max="9" width="10.453125" bestFit="1" customWidth="1"/>
  </cols>
  <sheetData>
    <row r="1" spans="2:2" x14ac:dyDescent="0.35">
      <c r="B1" t="s">
        <v>473</v>
      </c>
    </row>
    <row r="25" spans="2:13" ht="15" thickBot="1" x14ac:dyDescent="0.4">
      <c r="M25" t="s">
        <v>243</v>
      </c>
    </row>
    <row r="26" spans="2:13" ht="15" thickBot="1" x14ac:dyDescent="0.4">
      <c r="B26" s="158" t="s">
        <v>244</v>
      </c>
      <c r="C26" s="159" t="s">
        <v>245</v>
      </c>
      <c r="D26" s="160" t="s">
        <v>246</v>
      </c>
      <c r="E26" s="160"/>
      <c r="F26" s="160"/>
      <c r="G26" s="160" t="s">
        <v>247</v>
      </c>
      <c r="H26" s="160"/>
      <c r="I26" s="160"/>
    </row>
    <row r="27" spans="2:13" x14ac:dyDescent="0.35">
      <c r="B27" s="161"/>
      <c r="C27" s="162"/>
      <c r="D27" s="163" t="s">
        <v>248</v>
      </c>
      <c r="E27" s="163" t="s">
        <v>249</v>
      </c>
      <c r="F27" s="163" t="s">
        <v>250</v>
      </c>
      <c r="G27" s="163" t="s">
        <v>248</v>
      </c>
      <c r="H27" s="163" t="s">
        <v>249</v>
      </c>
      <c r="I27" s="164" t="s">
        <v>250</v>
      </c>
      <c r="L27" t="s">
        <v>251</v>
      </c>
      <c r="M27" s="24">
        <v>6.95</v>
      </c>
    </row>
    <row r="28" spans="2:13" x14ac:dyDescent="0.35">
      <c r="B28" s="165">
        <v>1</v>
      </c>
      <c r="C28" s="166" t="s">
        <v>251</v>
      </c>
      <c r="D28" s="194">
        <v>4.08</v>
      </c>
      <c r="E28" s="194">
        <v>6.95</v>
      </c>
      <c r="F28" s="194">
        <v>70.31</v>
      </c>
      <c r="G28" s="195">
        <v>1858.68</v>
      </c>
      <c r="H28" s="195">
        <v>2545.2399999999998</v>
      </c>
      <c r="I28" s="196">
        <v>36.94</v>
      </c>
      <c r="L28" t="s">
        <v>199</v>
      </c>
      <c r="M28" s="24">
        <v>0.5</v>
      </c>
    </row>
    <row r="29" spans="2:13" x14ac:dyDescent="0.35">
      <c r="B29" s="165">
        <v>2</v>
      </c>
      <c r="C29" s="166" t="s">
        <v>199</v>
      </c>
      <c r="D29" s="194">
        <v>0.51</v>
      </c>
      <c r="E29" s="194">
        <v>0.5</v>
      </c>
      <c r="F29" s="194">
        <v>-0.22</v>
      </c>
      <c r="G29" s="194">
        <v>30.49</v>
      </c>
      <c r="H29" s="194">
        <v>33.06</v>
      </c>
      <c r="I29" s="196">
        <v>8.41</v>
      </c>
      <c r="L29" t="s">
        <v>269</v>
      </c>
      <c r="M29" s="24">
        <v>0.5</v>
      </c>
    </row>
    <row r="30" spans="2:13" x14ac:dyDescent="0.35">
      <c r="B30" s="165">
        <v>3</v>
      </c>
      <c r="C30" s="166" t="s">
        <v>269</v>
      </c>
      <c r="D30" s="194">
        <v>0.17</v>
      </c>
      <c r="E30" s="194">
        <v>0.5</v>
      </c>
      <c r="F30" s="194">
        <v>192.88</v>
      </c>
      <c r="G30" s="194">
        <v>32.200000000000003</v>
      </c>
      <c r="H30" s="194">
        <v>76.98</v>
      </c>
      <c r="I30" s="196">
        <v>139.04</v>
      </c>
      <c r="L30" t="s">
        <v>212</v>
      </c>
      <c r="M30" s="24">
        <v>0.5</v>
      </c>
    </row>
    <row r="31" spans="2:13" x14ac:dyDescent="0.35">
      <c r="B31" s="165">
        <v>4</v>
      </c>
      <c r="C31" s="166" t="s">
        <v>212</v>
      </c>
      <c r="D31" s="194">
        <v>0.1</v>
      </c>
      <c r="E31" s="194">
        <v>0.5</v>
      </c>
      <c r="F31" s="194">
        <v>408.62</v>
      </c>
      <c r="G31" s="194">
        <v>15.44</v>
      </c>
      <c r="H31" s="194">
        <v>52.53</v>
      </c>
      <c r="I31" s="196">
        <v>240.25</v>
      </c>
      <c r="L31" t="s">
        <v>214</v>
      </c>
      <c r="M31" s="24">
        <v>0.1</v>
      </c>
    </row>
    <row r="32" spans="2:13" x14ac:dyDescent="0.35">
      <c r="B32" s="165">
        <v>5</v>
      </c>
      <c r="C32" s="166" t="s">
        <v>214</v>
      </c>
      <c r="D32" s="194">
        <v>0.06</v>
      </c>
      <c r="E32" s="194">
        <v>0.1</v>
      </c>
      <c r="F32" s="194">
        <v>77.150000000000006</v>
      </c>
      <c r="G32" s="194">
        <v>17.36</v>
      </c>
      <c r="H32" s="194">
        <v>30.92</v>
      </c>
      <c r="I32" s="196">
        <v>78.150000000000006</v>
      </c>
      <c r="L32" t="s">
        <v>211</v>
      </c>
      <c r="M32" s="24">
        <v>0.06</v>
      </c>
    </row>
    <row r="33" spans="2:13" x14ac:dyDescent="0.35">
      <c r="B33" s="165">
        <v>6</v>
      </c>
      <c r="C33" s="166" t="s">
        <v>211</v>
      </c>
      <c r="D33" s="194">
        <v>0</v>
      </c>
      <c r="E33" s="194">
        <v>0.06</v>
      </c>
      <c r="F33" s="195">
        <v>5041.67</v>
      </c>
      <c r="G33" s="194">
        <v>0.08</v>
      </c>
      <c r="H33" s="194">
        <v>11.19</v>
      </c>
      <c r="I33" s="197">
        <v>13550</v>
      </c>
      <c r="L33" t="s">
        <v>208</v>
      </c>
      <c r="M33" s="24">
        <v>0.04</v>
      </c>
    </row>
    <row r="34" spans="2:13" x14ac:dyDescent="0.35">
      <c r="B34" s="165">
        <v>7</v>
      </c>
      <c r="C34" s="166" t="s">
        <v>208</v>
      </c>
      <c r="D34" s="194"/>
      <c r="E34" s="194">
        <v>0.04</v>
      </c>
      <c r="F34" s="194"/>
      <c r="G34" s="194"/>
      <c r="H34" s="194">
        <v>1.9</v>
      </c>
      <c r="I34" s="196"/>
      <c r="L34" t="s">
        <v>213</v>
      </c>
      <c r="M34" s="24">
        <v>0.02</v>
      </c>
    </row>
    <row r="35" spans="2:13" x14ac:dyDescent="0.35">
      <c r="B35" s="165">
        <v>8</v>
      </c>
      <c r="C35" s="166" t="s">
        <v>213</v>
      </c>
      <c r="D35" s="194">
        <v>0.02</v>
      </c>
      <c r="E35" s="194">
        <v>0.02</v>
      </c>
      <c r="F35" s="194">
        <v>30.43</v>
      </c>
      <c r="G35" s="194">
        <v>2.4900000000000002</v>
      </c>
      <c r="H35" s="194">
        <v>1.92</v>
      </c>
      <c r="I35" s="196">
        <v>-22.69</v>
      </c>
      <c r="L35" t="s">
        <v>261</v>
      </c>
      <c r="M35" s="24">
        <v>0.01</v>
      </c>
    </row>
    <row r="36" spans="2:13" x14ac:dyDescent="0.35">
      <c r="B36" s="165">
        <v>9</v>
      </c>
      <c r="C36" s="166" t="s">
        <v>261</v>
      </c>
      <c r="D36" s="194"/>
      <c r="E36" s="194">
        <v>0.01</v>
      </c>
      <c r="F36" s="194"/>
      <c r="G36" s="194"/>
      <c r="H36" s="194">
        <v>2.74</v>
      </c>
      <c r="I36" s="196"/>
      <c r="L36" t="s">
        <v>256</v>
      </c>
      <c r="M36" s="24">
        <v>0.01</v>
      </c>
    </row>
    <row r="37" spans="2:13" x14ac:dyDescent="0.35">
      <c r="B37" s="165">
        <v>10</v>
      </c>
      <c r="C37" s="166" t="s">
        <v>256</v>
      </c>
      <c r="D37" s="194">
        <v>0.02</v>
      </c>
      <c r="E37" s="194">
        <v>0.01</v>
      </c>
      <c r="F37" s="194">
        <v>-57.64</v>
      </c>
      <c r="G37" s="194">
        <v>0.51</v>
      </c>
      <c r="H37" s="194">
        <v>0.14000000000000001</v>
      </c>
      <c r="I37" s="196">
        <v>-71.73</v>
      </c>
      <c r="L37" t="s">
        <v>300</v>
      </c>
      <c r="M37" s="24">
        <v>0.01</v>
      </c>
    </row>
    <row r="38" spans="2:13" x14ac:dyDescent="0.35">
      <c r="B38" s="165">
        <v>11</v>
      </c>
      <c r="C38" s="166" t="s">
        <v>300</v>
      </c>
      <c r="D38" s="194">
        <v>0.02</v>
      </c>
      <c r="E38" s="194">
        <v>0.01</v>
      </c>
      <c r="F38" s="194">
        <v>-59.01</v>
      </c>
      <c r="G38" s="194">
        <v>5.5</v>
      </c>
      <c r="H38" s="194">
        <v>1.0900000000000001</v>
      </c>
      <c r="I38" s="196">
        <v>-80.2</v>
      </c>
      <c r="L38" t="s">
        <v>202</v>
      </c>
      <c r="M38" s="24">
        <v>0.01</v>
      </c>
    </row>
    <row r="39" spans="2:13" x14ac:dyDescent="0.35">
      <c r="B39" s="165">
        <v>12</v>
      </c>
      <c r="C39" s="166" t="s">
        <v>202</v>
      </c>
      <c r="D39" s="194">
        <v>0.02</v>
      </c>
      <c r="E39" s="194">
        <v>0.01</v>
      </c>
      <c r="F39" s="194">
        <v>-64.84</v>
      </c>
      <c r="G39" s="194">
        <v>0.71</v>
      </c>
      <c r="H39" s="194">
        <v>0.65</v>
      </c>
      <c r="I39" s="196">
        <v>-9.09</v>
      </c>
    </row>
    <row r="40" spans="2:13" x14ac:dyDescent="0.35">
      <c r="B40" s="165">
        <v>13</v>
      </c>
      <c r="C40" s="166" t="s">
        <v>253</v>
      </c>
      <c r="D40" s="194">
        <v>0</v>
      </c>
      <c r="E40" s="194">
        <v>0</v>
      </c>
      <c r="F40" s="194">
        <v>157.88999999999999</v>
      </c>
      <c r="G40" s="194">
        <v>0.2</v>
      </c>
      <c r="H40" s="194">
        <v>0.64</v>
      </c>
      <c r="I40" s="196">
        <v>218.81</v>
      </c>
      <c r="M40" s="24">
        <f>SUM(M27:M38)</f>
        <v>8.7099999999999973</v>
      </c>
    </row>
    <row r="41" spans="2:13" x14ac:dyDescent="0.35">
      <c r="B41" s="165">
        <v>14</v>
      </c>
      <c r="C41" s="166" t="s">
        <v>474</v>
      </c>
      <c r="D41" s="194"/>
      <c r="E41" s="194">
        <v>0</v>
      </c>
      <c r="F41" s="194"/>
      <c r="G41" s="194"/>
      <c r="H41" s="194">
        <v>0.5</v>
      </c>
      <c r="I41" s="196"/>
      <c r="L41" t="s">
        <v>165</v>
      </c>
      <c r="M41" s="24">
        <f>M43-M40</f>
        <v>1.000000000000334E-2</v>
      </c>
    </row>
    <row r="42" spans="2:13" x14ac:dyDescent="0.35">
      <c r="B42" s="165">
        <v>15</v>
      </c>
      <c r="C42" s="166" t="s">
        <v>204</v>
      </c>
      <c r="D42" s="194">
        <v>0</v>
      </c>
      <c r="E42" s="194">
        <v>0</v>
      </c>
      <c r="F42" s="194">
        <v>-61.54</v>
      </c>
      <c r="G42" s="194">
        <v>0.47</v>
      </c>
      <c r="H42" s="194">
        <v>0.2</v>
      </c>
      <c r="I42" s="196">
        <v>-57.08</v>
      </c>
    </row>
    <row r="43" spans="2:13" x14ac:dyDescent="0.35">
      <c r="B43" s="165">
        <v>16</v>
      </c>
      <c r="C43" s="166" t="s">
        <v>206</v>
      </c>
      <c r="D43" s="194"/>
      <c r="E43" s="194">
        <v>0</v>
      </c>
      <c r="F43" s="194"/>
      <c r="G43" s="194"/>
      <c r="H43" s="194">
        <v>0.04</v>
      </c>
      <c r="I43" s="196"/>
      <c r="L43" t="s">
        <v>35</v>
      </c>
      <c r="M43">
        <v>8.7200000000000006</v>
      </c>
    </row>
    <row r="44" spans="2:13" x14ac:dyDescent="0.35">
      <c r="B44" s="165">
        <v>17</v>
      </c>
      <c r="C44" s="166" t="s">
        <v>258</v>
      </c>
      <c r="D44" s="194">
        <v>0</v>
      </c>
      <c r="E44" s="194">
        <v>0</v>
      </c>
      <c r="F44" s="194">
        <v>33.33</v>
      </c>
      <c r="G44" s="194">
        <v>0.1</v>
      </c>
      <c r="H44" s="194">
        <v>7.0000000000000007E-2</v>
      </c>
      <c r="I44" s="196">
        <v>-32</v>
      </c>
    </row>
    <row r="45" spans="2:13" x14ac:dyDescent="0.35">
      <c r="B45" s="165">
        <v>18</v>
      </c>
      <c r="C45" s="166" t="s">
        <v>278</v>
      </c>
      <c r="D45" s="194">
        <v>0.01</v>
      </c>
      <c r="E45" s="194"/>
      <c r="F45" s="194"/>
      <c r="G45" s="194">
        <v>1.33</v>
      </c>
      <c r="H45" s="194"/>
      <c r="I45" s="196"/>
    </row>
    <row r="46" spans="2:13" x14ac:dyDescent="0.35">
      <c r="B46" s="165">
        <v>19</v>
      </c>
      <c r="C46" s="166" t="s">
        <v>298</v>
      </c>
      <c r="D46" s="194">
        <v>0</v>
      </c>
      <c r="E46" s="194"/>
      <c r="F46" s="194"/>
      <c r="G46" s="194">
        <v>0.4</v>
      </c>
      <c r="H46" s="194"/>
      <c r="I46" s="196"/>
    </row>
    <row r="47" spans="2:13" x14ac:dyDescent="0.35">
      <c r="B47" s="165">
        <v>20</v>
      </c>
      <c r="C47" s="166" t="s">
        <v>207</v>
      </c>
      <c r="D47" s="194">
        <v>0.02</v>
      </c>
      <c r="E47" s="194"/>
      <c r="F47" s="194"/>
      <c r="G47" s="194">
        <v>1.5</v>
      </c>
      <c r="H47" s="194"/>
      <c r="I47" s="196"/>
    </row>
    <row r="48" spans="2:13" x14ac:dyDescent="0.35">
      <c r="B48" s="165">
        <v>21</v>
      </c>
      <c r="C48" s="166" t="s">
        <v>210</v>
      </c>
      <c r="D48" s="194">
        <v>0</v>
      </c>
      <c r="E48" s="194"/>
      <c r="F48" s="194"/>
      <c r="G48" s="194">
        <v>0</v>
      </c>
      <c r="H48" s="194">
        <v>0.01</v>
      </c>
      <c r="I48" s="197">
        <v>1300</v>
      </c>
    </row>
    <row r="49" spans="2:9" x14ac:dyDescent="0.35">
      <c r="B49" s="171"/>
      <c r="C49" s="172" t="s">
        <v>35</v>
      </c>
      <c r="D49" s="199">
        <v>5.0199999999999996</v>
      </c>
      <c r="E49" s="199">
        <v>8.7200000000000006</v>
      </c>
      <c r="F49" s="199">
        <v>73.61</v>
      </c>
      <c r="G49" s="200"/>
      <c r="H49" s="200"/>
      <c r="I49" s="201"/>
    </row>
    <row r="50" spans="2:9" ht="15" customHeight="1" x14ac:dyDescent="0.35">
      <c r="B50" s="176" t="s">
        <v>279</v>
      </c>
      <c r="C50" s="177"/>
      <c r="D50" s="204">
        <v>474709.28</v>
      </c>
      <c r="E50" s="204">
        <v>394435.88</v>
      </c>
      <c r="F50" s="205">
        <v>-16.91</v>
      </c>
      <c r="G50" s="194"/>
      <c r="H50" s="194"/>
      <c r="I50" s="196"/>
    </row>
    <row r="51" spans="2:9" ht="15" thickBot="1" x14ac:dyDescent="0.4">
      <c r="B51" s="180" t="s">
        <v>280</v>
      </c>
      <c r="C51" s="181"/>
      <c r="D51" s="208">
        <v>1.1000000000000001E-3</v>
      </c>
      <c r="E51" s="208">
        <v>2.2000000000000001E-3</v>
      </c>
      <c r="F51" s="208"/>
      <c r="G51" s="209"/>
      <c r="H51" s="209"/>
      <c r="I51" s="210"/>
    </row>
  </sheetData>
  <mergeCells count="2">
    <mergeCell ref="D26:F26"/>
    <mergeCell ref="G26:I2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B659-4AE8-43AC-94BF-CD333BB3F107}">
  <dimension ref="A1:M66"/>
  <sheetViews>
    <sheetView workbookViewId="0">
      <selection activeCell="U16" sqref="U16"/>
    </sheetView>
  </sheetViews>
  <sheetFormatPr defaultRowHeight="14.5" x14ac:dyDescent="0.35"/>
  <cols>
    <col min="2" max="2" width="10.7265625" customWidth="1"/>
    <col min="3" max="3" width="17" bestFit="1" customWidth="1"/>
    <col min="4" max="4" width="20.54296875" bestFit="1" customWidth="1"/>
    <col min="5" max="5" width="19.7265625" bestFit="1" customWidth="1"/>
    <col min="6" max="6" width="9" bestFit="1" customWidth="1"/>
    <col min="7" max="8" width="9.54296875" bestFit="1" customWidth="1"/>
    <col min="12" max="12" width="15.453125" bestFit="1" customWidth="1"/>
  </cols>
  <sheetData>
    <row r="1" spans="2:2" x14ac:dyDescent="0.35">
      <c r="B1" t="s">
        <v>475</v>
      </c>
    </row>
    <row r="25" spans="1:13" x14ac:dyDescent="0.35">
      <c r="A25">
        <v>85113020</v>
      </c>
    </row>
    <row r="26" spans="1:13" ht="15" thickBot="1" x14ac:dyDescent="0.4"/>
    <row r="27" spans="1:13" ht="15" thickBot="1" x14ac:dyDescent="0.4">
      <c r="B27" s="158" t="s">
        <v>244</v>
      </c>
      <c r="C27" s="159" t="s">
        <v>245</v>
      </c>
      <c r="D27" s="160" t="s">
        <v>246</v>
      </c>
      <c r="E27" s="160"/>
      <c r="F27" s="160"/>
      <c r="G27" s="160" t="s">
        <v>247</v>
      </c>
      <c r="H27" s="160"/>
      <c r="I27" s="160"/>
    </row>
    <row r="28" spans="1:13" x14ac:dyDescent="0.35">
      <c r="B28" s="161"/>
      <c r="C28" s="162"/>
      <c r="D28" s="163" t="s">
        <v>248</v>
      </c>
      <c r="E28" s="163" t="s">
        <v>249</v>
      </c>
      <c r="F28" s="163" t="s">
        <v>250</v>
      </c>
      <c r="G28" s="163" t="s">
        <v>248</v>
      </c>
      <c r="H28" s="163" t="s">
        <v>249</v>
      </c>
      <c r="I28" s="164" t="s">
        <v>250</v>
      </c>
      <c r="L28" t="s">
        <v>197</v>
      </c>
      <c r="M28" s="24">
        <v>9.2899999999999991</v>
      </c>
    </row>
    <row r="29" spans="1:13" x14ac:dyDescent="0.35">
      <c r="B29" s="165">
        <v>1</v>
      </c>
      <c r="C29" s="166" t="s">
        <v>197</v>
      </c>
      <c r="D29" s="167">
        <v>11.86</v>
      </c>
      <c r="E29" s="167">
        <v>9.2899999999999991</v>
      </c>
      <c r="F29" s="167">
        <v>-21.7</v>
      </c>
      <c r="G29" s="168">
        <v>1406.84</v>
      </c>
      <c r="H29" s="168">
        <v>1159.98</v>
      </c>
      <c r="I29" s="169">
        <v>-17.55</v>
      </c>
      <c r="L29" t="s">
        <v>251</v>
      </c>
      <c r="M29" s="24">
        <v>5.48</v>
      </c>
    </row>
    <row r="30" spans="1:13" x14ac:dyDescent="0.35">
      <c r="B30" s="165">
        <v>2</v>
      </c>
      <c r="C30" s="166" t="s">
        <v>251</v>
      </c>
      <c r="D30" s="167">
        <v>4</v>
      </c>
      <c r="E30" s="167">
        <v>5.48</v>
      </c>
      <c r="F30" s="167">
        <v>37.119999999999997</v>
      </c>
      <c r="G30" s="167">
        <v>895.33</v>
      </c>
      <c r="H30" s="168">
        <v>1355.14</v>
      </c>
      <c r="I30" s="169">
        <v>51.36</v>
      </c>
      <c r="L30" t="s">
        <v>252</v>
      </c>
      <c r="M30" s="24">
        <v>4.41</v>
      </c>
    </row>
    <row r="31" spans="1:13" x14ac:dyDescent="0.35">
      <c r="B31" s="165">
        <v>3</v>
      </c>
      <c r="C31" s="166" t="s">
        <v>252</v>
      </c>
      <c r="D31" s="167">
        <v>2.73</v>
      </c>
      <c r="E31" s="167">
        <v>4.41</v>
      </c>
      <c r="F31" s="167">
        <v>61.61</v>
      </c>
      <c r="G31" s="167">
        <v>462.86</v>
      </c>
      <c r="H31" s="167">
        <v>677.54</v>
      </c>
      <c r="I31" s="169">
        <v>46.38</v>
      </c>
      <c r="L31" t="s">
        <v>216</v>
      </c>
      <c r="M31" s="24">
        <v>2.42</v>
      </c>
    </row>
    <row r="32" spans="1:13" x14ac:dyDescent="0.35">
      <c r="B32" s="165">
        <v>4</v>
      </c>
      <c r="C32" s="166" t="s">
        <v>216</v>
      </c>
      <c r="D32" s="167">
        <v>4.6399999999999997</v>
      </c>
      <c r="E32" s="167">
        <v>2.42</v>
      </c>
      <c r="F32" s="167">
        <v>-47.83</v>
      </c>
      <c r="G32" s="167">
        <v>914.1</v>
      </c>
      <c r="H32" s="167">
        <v>503.3</v>
      </c>
      <c r="I32" s="169">
        <v>-44.94</v>
      </c>
      <c r="L32" t="s">
        <v>213</v>
      </c>
      <c r="M32" s="24">
        <v>2.4</v>
      </c>
    </row>
    <row r="33" spans="2:13" x14ac:dyDescent="0.35">
      <c r="B33" s="165">
        <v>5</v>
      </c>
      <c r="C33" s="166" t="s">
        <v>213</v>
      </c>
      <c r="D33" s="167">
        <v>0.31</v>
      </c>
      <c r="E33" s="167">
        <v>2.4</v>
      </c>
      <c r="F33" s="167">
        <v>677.53</v>
      </c>
      <c r="G33" s="167">
        <v>45.23</v>
      </c>
      <c r="H33" s="167">
        <v>333.01</v>
      </c>
      <c r="I33" s="169">
        <v>636.22</v>
      </c>
      <c r="L33" t="s">
        <v>253</v>
      </c>
      <c r="M33" s="24">
        <v>0.69</v>
      </c>
    </row>
    <row r="34" spans="2:13" x14ac:dyDescent="0.35">
      <c r="B34" s="165">
        <v>6</v>
      </c>
      <c r="C34" s="166" t="s">
        <v>253</v>
      </c>
      <c r="D34" s="167">
        <v>0.61</v>
      </c>
      <c r="E34" s="167">
        <v>0.69</v>
      </c>
      <c r="F34" s="167">
        <v>12.94</v>
      </c>
      <c r="G34" s="167">
        <v>5.5</v>
      </c>
      <c r="H34" s="167">
        <v>32.22</v>
      </c>
      <c r="I34" s="169">
        <v>485.64</v>
      </c>
      <c r="L34" t="s">
        <v>211</v>
      </c>
      <c r="M34" s="24">
        <v>0.56999999999999995</v>
      </c>
    </row>
    <row r="35" spans="2:13" x14ac:dyDescent="0.35">
      <c r="B35" s="165">
        <v>7</v>
      </c>
      <c r="C35" s="166" t="s">
        <v>211</v>
      </c>
      <c r="D35" s="167">
        <v>0.64</v>
      </c>
      <c r="E35" s="167">
        <v>0.56999999999999995</v>
      </c>
      <c r="F35" s="167">
        <v>-10.88</v>
      </c>
      <c r="G35" s="167">
        <v>72.319999999999993</v>
      </c>
      <c r="H35" s="167">
        <v>57.56</v>
      </c>
      <c r="I35" s="169">
        <v>-20.399999999999999</v>
      </c>
      <c r="L35" t="s">
        <v>199</v>
      </c>
      <c r="M35" s="24">
        <v>0.45</v>
      </c>
    </row>
    <row r="36" spans="2:13" x14ac:dyDescent="0.35">
      <c r="B36" s="165">
        <v>8</v>
      </c>
      <c r="C36" s="166" t="s">
        <v>199</v>
      </c>
      <c r="D36" s="167">
        <v>0.31</v>
      </c>
      <c r="E36" s="167">
        <v>0.45</v>
      </c>
      <c r="F36" s="167">
        <v>45.84</v>
      </c>
      <c r="G36" s="167">
        <v>17.989999999999998</v>
      </c>
      <c r="H36" s="167">
        <v>12.86</v>
      </c>
      <c r="I36" s="169">
        <v>-28.55</v>
      </c>
      <c r="L36" t="s">
        <v>217</v>
      </c>
      <c r="M36" s="24">
        <v>0.44</v>
      </c>
    </row>
    <row r="37" spans="2:13" x14ac:dyDescent="0.35">
      <c r="B37" s="165">
        <v>9</v>
      </c>
      <c r="C37" s="166" t="s">
        <v>217</v>
      </c>
      <c r="D37" s="167">
        <v>1.41</v>
      </c>
      <c r="E37" s="167">
        <v>0.44</v>
      </c>
      <c r="F37" s="167">
        <v>-68.98</v>
      </c>
      <c r="G37" s="167">
        <v>205.75</v>
      </c>
      <c r="H37" s="167">
        <v>64</v>
      </c>
      <c r="I37" s="169">
        <v>-68.89</v>
      </c>
      <c r="L37" t="s">
        <v>218</v>
      </c>
      <c r="M37" s="24">
        <v>0.32</v>
      </c>
    </row>
    <row r="38" spans="2:13" x14ac:dyDescent="0.35">
      <c r="B38" s="165">
        <v>10</v>
      </c>
      <c r="C38" s="166" t="s">
        <v>218</v>
      </c>
      <c r="D38" s="167">
        <v>0</v>
      </c>
      <c r="E38" s="167">
        <v>0.32</v>
      </c>
      <c r="F38" s="168">
        <v>9176.4699999999993</v>
      </c>
      <c r="G38" s="167">
        <v>0.3</v>
      </c>
      <c r="H38" s="167">
        <v>45.01</v>
      </c>
      <c r="I38" s="170">
        <v>14901.67</v>
      </c>
      <c r="L38" t="s">
        <v>259</v>
      </c>
      <c r="M38" s="24">
        <v>0.15</v>
      </c>
    </row>
    <row r="39" spans="2:13" x14ac:dyDescent="0.35">
      <c r="B39" s="165">
        <v>11</v>
      </c>
      <c r="C39" s="166" t="s">
        <v>259</v>
      </c>
      <c r="D39" s="167">
        <v>7.0000000000000007E-2</v>
      </c>
      <c r="E39" s="167">
        <v>0.15</v>
      </c>
      <c r="F39" s="167">
        <v>137.94</v>
      </c>
      <c r="G39" s="167">
        <v>11.52</v>
      </c>
      <c r="H39" s="167">
        <v>11.12</v>
      </c>
      <c r="I39" s="169">
        <v>-3.48</v>
      </c>
      <c r="L39" t="s">
        <v>202</v>
      </c>
      <c r="M39" s="24">
        <v>7.0000000000000007E-2</v>
      </c>
    </row>
    <row r="40" spans="2:13" x14ac:dyDescent="0.35">
      <c r="B40" s="165">
        <v>12</v>
      </c>
      <c r="C40" s="166" t="s">
        <v>202</v>
      </c>
      <c r="D40" s="167">
        <v>0.06</v>
      </c>
      <c r="E40" s="167">
        <v>7.0000000000000007E-2</v>
      </c>
      <c r="F40" s="167">
        <v>17.43</v>
      </c>
      <c r="G40" s="167">
        <v>4.29</v>
      </c>
      <c r="H40" s="167">
        <v>4.68</v>
      </c>
      <c r="I40" s="169">
        <v>8.94</v>
      </c>
      <c r="L40" t="s">
        <v>210</v>
      </c>
      <c r="M40" s="24">
        <v>0.03</v>
      </c>
    </row>
    <row r="41" spans="2:13" x14ac:dyDescent="0.35">
      <c r="B41" s="165">
        <v>13</v>
      </c>
      <c r="C41" s="166" t="s">
        <v>210</v>
      </c>
      <c r="D41" s="167">
        <v>0.04</v>
      </c>
      <c r="E41" s="167">
        <v>0.03</v>
      </c>
      <c r="F41" s="167">
        <v>-30.12</v>
      </c>
      <c r="G41" s="167">
        <v>14.71</v>
      </c>
      <c r="H41" s="167">
        <v>3.96</v>
      </c>
      <c r="I41" s="169">
        <v>-73.05</v>
      </c>
      <c r="L41" t="s">
        <v>207</v>
      </c>
      <c r="M41" s="24">
        <v>0.03</v>
      </c>
    </row>
    <row r="42" spans="2:13" x14ac:dyDescent="0.35">
      <c r="B42" s="165">
        <v>14</v>
      </c>
      <c r="C42" s="166" t="s">
        <v>207</v>
      </c>
      <c r="D42" s="167">
        <v>0</v>
      </c>
      <c r="E42" s="167">
        <v>0.03</v>
      </c>
      <c r="F42" s="167">
        <v>502.27</v>
      </c>
      <c r="G42" s="167">
        <v>0.5</v>
      </c>
      <c r="H42" s="167">
        <v>3.16</v>
      </c>
      <c r="I42" s="169">
        <v>531.20000000000005</v>
      </c>
      <c r="L42" t="s">
        <v>208</v>
      </c>
      <c r="M42" s="24">
        <v>0.02</v>
      </c>
    </row>
    <row r="43" spans="2:13" x14ac:dyDescent="0.35">
      <c r="B43" s="165">
        <v>15</v>
      </c>
      <c r="C43" s="166" t="s">
        <v>208</v>
      </c>
      <c r="D43" s="167">
        <v>0</v>
      </c>
      <c r="E43" s="167">
        <v>0.02</v>
      </c>
      <c r="F43" s="167">
        <v>446.67</v>
      </c>
      <c r="G43" s="167">
        <v>1.33</v>
      </c>
      <c r="H43" s="167">
        <v>3.72</v>
      </c>
      <c r="I43" s="169">
        <v>179.98</v>
      </c>
      <c r="L43" t="s">
        <v>300</v>
      </c>
      <c r="M43" s="24">
        <v>0.01</v>
      </c>
    </row>
    <row r="44" spans="2:13" x14ac:dyDescent="0.35">
      <c r="B44" s="165">
        <v>16</v>
      </c>
      <c r="C44" s="166" t="s">
        <v>300</v>
      </c>
      <c r="D44" s="167">
        <v>0.01</v>
      </c>
      <c r="E44" s="167">
        <v>0.01</v>
      </c>
      <c r="F44" s="167">
        <v>-25.93</v>
      </c>
      <c r="G44" s="167">
        <v>0.7</v>
      </c>
      <c r="H44" s="167">
        <v>1.46</v>
      </c>
      <c r="I44" s="169">
        <v>107.86</v>
      </c>
      <c r="L44" t="s">
        <v>261</v>
      </c>
      <c r="M44" s="24">
        <v>0.01</v>
      </c>
    </row>
    <row r="45" spans="2:13" x14ac:dyDescent="0.35">
      <c r="B45" s="165">
        <v>17</v>
      </c>
      <c r="C45" s="166" t="s">
        <v>261</v>
      </c>
      <c r="D45" s="167">
        <v>0.01</v>
      </c>
      <c r="E45" s="167">
        <v>0.01</v>
      </c>
      <c r="F45" s="167">
        <v>-37.299999999999997</v>
      </c>
      <c r="G45" s="167">
        <v>0.06</v>
      </c>
      <c r="H45" s="167">
        <v>0.09</v>
      </c>
      <c r="I45" s="169">
        <v>46.15</v>
      </c>
      <c r="L45" t="s">
        <v>256</v>
      </c>
      <c r="M45" s="24">
        <v>0.01</v>
      </c>
    </row>
    <row r="46" spans="2:13" x14ac:dyDescent="0.35">
      <c r="B46" s="165">
        <v>18</v>
      </c>
      <c r="C46" s="166" t="s">
        <v>256</v>
      </c>
      <c r="D46" s="167">
        <v>0.02</v>
      </c>
      <c r="E46" s="167">
        <v>0.01</v>
      </c>
      <c r="F46" s="167">
        <v>-63.46</v>
      </c>
      <c r="G46" s="167">
        <v>0.56999999999999995</v>
      </c>
      <c r="H46" s="167">
        <v>0.86</v>
      </c>
      <c r="I46" s="169">
        <v>52.11</v>
      </c>
      <c r="L46" t="s">
        <v>204</v>
      </c>
      <c r="M46" s="24">
        <v>0.01</v>
      </c>
    </row>
    <row r="47" spans="2:13" x14ac:dyDescent="0.35">
      <c r="B47" s="165">
        <v>19</v>
      </c>
      <c r="C47" s="166" t="s">
        <v>204</v>
      </c>
      <c r="D47" s="167">
        <v>0</v>
      </c>
      <c r="E47" s="167">
        <v>0.01</v>
      </c>
      <c r="F47" s="167">
        <v>134.62</v>
      </c>
      <c r="G47" s="167">
        <v>7.0000000000000007E-2</v>
      </c>
      <c r="H47" s="167">
        <v>0.62</v>
      </c>
      <c r="I47" s="169">
        <v>774.65</v>
      </c>
    </row>
    <row r="48" spans="2:13" x14ac:dyDescent="0.35">
      <c r="B48" s="165">
        <v>20</v>
      </c>
      <c r="C48" s="166" t="s">
        <v>215</v>
      </c>
      <c r="D48" s="167">
        <v>0</v>
      </c>
      <c r="E48" s="167">
        <v>0</v>
      </c>
      <c r="F48" s="167">
        <v>82.61</v>
      </c>
      <c r="G48" s="167">
        <v>0.14000000000000001</v>
      </c>
      <c r="H48" s="167">
        <v>0.24</v>
      </c>
      <c r="I48" s="169">
        <v>65.52</v>
      </c>
      <c r="M48">
        <f>SUM(M28:M46)</f>
        <v>26.810000000000009</v>
      </c>
    </row>
    <row r="49" spans="2:13" x14ac:dyDescent="0.35">
      <c r="B49" s="165">
        <v>21</v>
      </c>
      <c r="C49" s="166" t="s">
        <v>206</v>
      </c>
      <c r="D49" s="167">
        <v>0</v>
      </c>
      <c r="E49" s="167">
        <v>0</v>
      </c>
      <c r="F49" s="167">
        <v>105.26</v>
      </c>
      <c r="G49" s="167">
        <v>0.05</v>
      </c>
      <c r="H49" s="167">
        <v>0.09</v>
      </c>
      <c r="I49" s="169">
        <v>90</v>
      </c>
      <c r="L49" t="s">
        <v>165</v>
      </c>
      <c r="M49">
        <f>M51-M48</f>
        <v>9.9999999999909051E-3</v>
      </c>
    </row>
    <row r="50" spans="2:13" x14ac:dyDescent="0.35">
      <c r="B50" s="165">
        <v>22</v>
      </c>
      <c r="C50" s="166" t="s">
        <v>275</v>
      </c>
      <c r="D50" s="167">
        <v>0.01</v>
      </c>
      <c r="E50" s="167">
        <v>0</v>
      </c>
      <c r="F50" s="167">
        <v>-75</v>
      </c>
      <c r="G50" s="167">
        <v>0.38</v>
      </c>
      <c r="H50" s="167">
        <v>0</v>
      </c>
      <c r="I50" s="169">
        <v>-99.21</v>
      </c>
    </row>
    <row r="51" spans="2:13" x14ac:dyDescent="0.35">
      <c r="B51" s="165">
        <v>23</v>
      </c>
      <c r="C51" s="166" t="s">
        <v>258</v>
      </c>
      <c r="D51" s="167">
        <v>0.01</v>
      </c>
      <c r="E51" s="167">
        <v>0</v>
      </c>
      <c r="F51" s="167">
        <v>-74.55</v>
      </c>
      <c r="G51" s="167">
        <v>0.02</v>
      </c>
      <c r="H51" s="167">
        <v>0.06</v>
      </c>
      <c r="I51" s="169">
        <v>241.18</v>
      </c>
      <c r="L51" t="s">
        <v>35</v>
      </c>
      <c r="M51">
        <v>26.82</v>
      </c>
    </row>
    <row r="52" spans="2:13" x14ac:dyDescent="0.35">
      <c r="B52" s="165">
        <v>24</v>
      </c>
      <c r="C52" s="166" t="s">
        <v>212</v>
      </c>
      <c r="D52" s="167">
        <v>0</v>
      </c>
      <c r="E52" s="167">
        <v>0</v>
      </c>
      <c r="F52" s="167">
        <v>80</v>
      </c>
      <c r="G52" s="167">
        <v>0.05</v>
      </c>
      <c r="H52" s="167">
        <v>0.1</v>
      </c>
      <c r="I52" s="169">
        <v>122.22</v>
      </c>
    </row>
    <row r="53" spans="2:13" x14ac:dyDescent="0.35">
      <c r="B53" s="165">
        <v>25</v>
      </c>
      <c r="C53" s="166" t="s">
        <v>255</v>
      </c>
      <c r="D53" s="167">
        <v>0.01</v>
      </c>
      <c r="E53" s="167">
        <v>0</v>
      </c>
      <c r="F53" s="167">
        <v>-88.71</v>
      </c>
      <c r="G53" s="167">
        <v>0.01</v>
      </c>
      <c r="H53" s="167">
        <v>0.01</v>
      </c>
      <c r="I53" s="169">
        <v>11.11</v>
      </c>
    </row>
    <row r="54" spans="2:13" x14ac:dyDescent="0.35">
      <c r="B54" s="165">
        <v>26</v>
      </c>
      <c r="C54" s="166" t="s">
        <v>271</v>
      </c>
      <c r="D54" s="167">
        <v>0</v>
      </c>
      <c r="E54" s="167">
        <v>0</v>
      </c>
      <c r="F54" s="167">
        <v>-94.12</v>
      </c>
      <c r="G54" s="167">
        <v>0.32</v>
      </c>
      <c r="H54" s="167">
        <v>0.02</v>
      </c>
      <c r="I54" s="169">
        <v>-95.08</v>
      </c>
    </row>
    <row r="55" spans="2:13" x14ac:dyDescent="0.35">
      <c r="B55" s="165">
        <v>27</v>
      </c>
      <c r="C55" s="166" t="s">
        <v>285</v>
      </c>
      <c r="D55" s="167"/>
      <c r="E55" s="167">
        <v>0</v>
      </c>
      <c r="F55" s="167"/>
      <c r="G55" s="167"/>
      <c r="H55" s="167">
        <v>0</v>
      </c>
      <c r="I55" s="169"/>
    </row>
    <row r="56" spans="2:13" x14ac:dyDescent="0.35">
      <c r="B56" s="165">
        <v>28</v>
      </c>
      <c r="C56" s="166" t="s">
        <v>309</v>
      </c>
      <c r="D56" s="167">
        <v>0.68</v>
      </c>
      <c r="E56" s="167"/>
      <c r="F56" s="167"/>
      <c r="G56" s="167">
        <v>99</v>
      </c>
      <c r="H56" s="167"/>
      <c r="I56" s="169"/>
    </row>
    <row r="57" spans="2:13" x14ac:dyDescent="0.35">
      <c r="B57" s="165">
        <v>29</v>
      </c>
      <c r="C57" s="166" t="s">
        <v>262</v>
      </c>
      <c r="D57" s="167">
        <v>0</v>
      </c>
      <c r="E57" s="167"/>
      <c r="F57" s="167"/>
      <c r="G57" s="167">
        <v>0.04</v>
      </c>
      <c r="H57" s="167"/>
      <c r="I57" s="169"/>
    </row>
    <row r="58" spans="2:13" x14ac:dyDescent="0.35">
      <c r="B58" s="165">
        <v>30</v>
      </c>
      <c r="C58" s="166" t="s">
        <v>263</v>
      </c>
      <c r="D58" s="167"/>
      <c r="E58" s="167"/>
      <c r="F58" s="167"/>
      <c r="G58" s="167"/>
      <c r="H58" s="167">
        <v>0</v>
      </c>
      <c r="I58" s="169"/>
    </row>
    <row r="59" spans="2:13" x14ac:dyDescent="0.35">
      <c r="B59" s="165">
        <v>31</v>
      </c>
      <c r="C59" s="166" t="s">
        <v>322</v>
      </c>
      <c r="D59" s="167"/>
      <c r="E59" s="167"/>
      <c r="F59" s="167"/>
      <c r="G59" s="167">
        <v>0.11</v>
      </c>
      <c r="H59" s="167"/>
      <c r="I59" s="169"/>
    </row>
    <row r="60" spans="2:13" x14ac:dyDescent="0.35">
      <c r="B60" s="165">
        <v>32</v>
      </c>
      <c r="C60" s="166" t="s">
        <v>266</v>
      </c>
      <c r="D60" s="167"/>
      <c r="E60" s="167"/>
      <c r="F60" s="167"/>
      <c r="G60" s="167"/>
      <c r="H60" s="167">
        <v>0</v>
      </c>
      <c r="I60" s="169"/>
    </row>
    <row r="61" spans="2:13" x14ac:dyDescent="0.35">
      <c r="B61" s="165">
        <v>33</v>
      </c>
      <c r="C61" s="166" t="s">
        <v>476</v>
      </c>
      <c r="D61" s="167"/>
      <c r="E61" s="167"/>
      <c r="F61" s="167"/>
      <c r="G61" s="167">
        <v>0</v>
      </c>
      <c r="H61" s="167"/>
      <c r="I61" s="169"/>
    </row>
    <row r="62" spans="2:13" x14ac:dyDescent="0.35">
      <c r="B62" s="165">
        <v>34</v>
      </c>
      <c r="C62" s="166" t="s">
        <v>278</v>
      </c>
      <c r="D62" s="167">
        <v>0</v>
      </c>
      <c r="E62" s="167"/>
      <c r="F62" s="167"/>
      <c r="G62" s="167">
        <v>102</v>
      </c>
      <c r="H62" s="167"/>
      <c r="I62" s="169"/>
    </row>
    <row r="63" spans="2:13" x14ac:dyDescent="0.35">
      <c r="B63" s="165">
        <v>35</v>
      </c>
      <c r="C63" s="166" t="s">
        <v>265</v>
      </c>
      <c r="D63" s="167">
        <v>0</v>
      </c>
      <c r="E63" s="167"/>
      <c r="F63" s="167"/>
      <c r="G63" s="167">
        <v>0</v>
      </c>
      <c r="H63" s="167"/>
      <c r="I63" s="169"/>
    </row>
    <row r="64" spans="2:13" x14ac:dyDescent="0.35">
      <c r="B64" s="171"/>
      <c r="C64" s="172" t="s">
        <v>35</v>
      </c>
      <c r="D64" s="173">
        <v>27.46</v>
      </c>
      <c r="E64" s="173">
        <v>26.82</v>
      </c>
      <c r="F64" s="173">
        <v>-2.33</v>
      </c>
      <c r="G64" s="174"/>
      <c r="H64" s="174"/>
      <c r="I64" s="175"/>
    </row>
    <row r="65" spans="2:9" ht="15" customHeight="1" x14ac:dyDescent="0.35">
      <c r="B65" s="176" t="s">
        <v>279</v>
      </c>
      <c r="C65" s="177"/>
      <c r="D65" s="178">
        <v>474709.28</v>
      </c>
      <c r="E65" s="178">
        <v>394435.88</v>
      </c>
      <c r="F65" s="179">
        <v>-16.91</v>
      </c>
      <c r="G65" s="167"/>
      <c r="H65" s="167"/>
      <c r="I65" s="169"/>
    </row>
    <row r="66" spans="2:9" ht="15" thickBot="1" x14ac:dyDescent="0.4">
      <c r="B66" s="180" t="s">
        <v>280</v>
      </c>
      <c r="C66" s="181"/>
      <c r="D66" s="182">
        <v>5.7999999999999996E-3</v>
      </c>
      <c r="E66" s="182">
        <v>6.7999999999999996E-3</v>
      </c>
      <c r="F66" s="182"/>
      <c r="G66" s="183"/>
      <c r="H66" s="183"/>
      <c r="I66" s="184"/>
    </row>
  </sheetData>
  <mergeCells count="2">
    <mergeCell ref="D27:F27"/>
    <mergeCell ref="G27:I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35B3-3B2D-4088-AA29-0A7366473448}">
  <dimension ref="B1:W62"/>
  <sheetViews>
    <sheetView tabSelected="1" workbookViewId="0">
      <selection activeCell="J8" sqref="J8"/>
    </sheetView>
  </sheetViews>
  <sheetFormatPr defaultRowHeight="14.5" x14ac:dyDescent="0.35"/>
  <cols>
    <col min="4" max="4" width="8.7265625" style="107"/>
    <col min="7" max="7" width="10.7265625" bestFit="1" customWidth="1"/>
    <col min="10" max="10" width="9.7265625" bestFit="1" customWidth="1"/>
    <col min="11" max="11" width="11.453125" bestFit="1" customWidth="1"/>
    <col min="12" max="12" width="9.54296875" bestFit="1" customWidth="1"/>
    <col min="13" max="13" width="21.54296875" bestFit="1" customWidth="1"/>
    <col min="14" max="16" width="9.54296875" bestFit="1" customWidth="1"/>
    <col min="17" max="17" width="9.81640625" bestFit="1" customWidth="1"/>
    <col min="20" max="20" width="9.81640625" customWidth="1"/>
  </cols>
  <sheetData>
    <row r="1" spans="2:23" x14ac:dyDescent="0.35">
      <c r="U1" t="s">
        <v>127</v>
      </c>
    </row>
    <row r="2" spans="2:23" x14ac:dyDescent="0.35">
      <c r="U2" t="s">
        <v>128</v>
      </c>
      <c r="W2" t="s">
        <v>129</v>
      </c>
    </row>
    <row r="3" spans="2:23" x14ac:dyDescent="0.35">
      <c r="B3">
        <v>1</v>
      </c>
      <c r="C3" t="s">
        <v>130</v>
      </c>
      <c r="T3" s="107" t="s">
        <v>131</v>
      </c>
      <c r="U3">
        <v>11775</v>
      </c>
      <c r="V3" s="102">
        <f t="shared" ref="V3:V9" si="0">U3/$U$11</f>
        <v>0.20990801483171706</v>
      </c>
      <c r="W3" s="24">
        <f>U3*10^7/(70*10^9)</f>
        <v>1.6821428571428572</v>
      </c>
    </row>
    <row r="4" spans="2:23" x14ac:dyDescent="0.35">
      <c r="B4">
        <v>2</v>
      </c>
      <c r="C4" t="s">
        <v>132</v>
      </c>
      <c r="T4" s="107" t="s">
        <v>133</v>
      </c>
      <c r="U4">
        <v>11622</v>
      </c>
      <c r="V4" s="102">
        <f t="shared" si="0"/>
        <v>0.20718054763262977</v>
      </c>
      <c r="W4" s="24">
        <f t="shared" ref="W4:W9" si="1">U4*10^7/(70*10^9)</f>
        <v>1.6602857142857144</v>
      </c>
    </row>
    <row r="5" spans="2:23" x14ac:dyDescent="0.35">
      <c r="B5">
        <v>3</v>
      </c>
      <c r="C5" t="s">
        <v>134</v>
      </c>
      <c r="T5" s="107" t="s">
        <v>135</v>
      </c>
      <c r="U5">
        <v>10174</v>
      </c>
      <c r="V5" s="102">
        <f t="shared" si="0"/>
        <v>0.18136765544780376</v>
      </c>
      <c r="W5" s="24">
        <f t="shared" si="1"/>
        <v>1.4534285714285715</v>
      </c>
    </row>
    <row r="6" spans="2:23" x14ac:dyDescent="0.35">
      <c r="B6">
        <v>4</v>
      </c>
      <c r="C6" t="s">
        <v>136</v>
      </c>
      <c r="T6" s="107" t="s">
        <v>137</v>
      </c>
      <c r="U6">
        <v>8427</v>
      </c>
      <c r="V6" s="102">
        <f t="shared" si="0"/>
        <v>0.15022461494580719</v>
      </c>
      <c r="W6" s="24">
        <f t="shared" si="1"/>
        <v>1.203857142857143</v>
      </c>
    </row>
    <row r="7" spans="2:23" x14ac:dyDescent="0.35">
      <c r="T7" s="107" t="s">
        <v>138</v>
      </c>
      <c r="U7">
        <v>7736</v>
      </c>
      <c r="V7" s="102">
        <f t="shared" si="0"/>
        <v>0.13790644609241301</v>
      </c>
      <c r="W7" s="24">
        <f t="shared" si="1"/>
        <v>1.1051428571428572</v>
      </c>
    </row>
    <row r="8" spans="2:23" x14ac:dyDescent="0.35">
      <c r="T8" s="107" t="s">
        <v>139</v>
      </c>
      <c r="U8">
        <v>4576</v>
      </c>
      <c r="V8" s="102">
        <f t="shared" si="0"/>
        <v>8.1574443810610381E-2</v>
      </c>
      <c r="W8" s="24">
        <f t="shared" si="1"/>
        <v>0.65371428571428569</v>
      </c>
    </row>
    <row r="9" spans="2:23" x14ac:dyDescent="0.35">
      <c r="C9" s="108" t="s">
        <v>140</v>
      </c>
      <c r="G9" t="s">
        <v>35</v>
      </c>
      <c r="H9" t="s">
        <v>141</v>
      </c>
      <c r="T9" s="107" t="s">
        <v>142</v>
      </c>
      <c r="U9">
        <v>1786</v>
      </c>
      <c r="V9" s="102">
        <f t="shared" si="0"/>
        <v>3.1838277239018824E-2</v>
      </c>
      <c r="W9" s="24">
        <f t="shared" si="1"/>
        <v>0.25514285714285712</v>
      </c>
    </row>
    <row r="10" spans="2:23" x14ac:dyDescent="0.35">
      <c r="C10" s="109"/>
      <c r="D10" s="110"/>
      <c r="E10" s="111"/>
      <c r="F10" s="111"/>
      <c r="G10" t="s">
        <v>129</v>
      </c>
      <c r="H10" t="s">
        <v>129</v>
      </c>
    </row>
    <row r="11" spans="2:23" x14ac:dyDescent="0.35">
      <c r="C11" s="109"/>
      <c r="D11" s="107" t="s">
        <v>20</v>
      </c>
      <c r="E11" s="111" t="s">
        <v>143</v>
      </c>
      <c r="F11" s="111"/>
      <c r="G11" s="111">
        <v>13.41</v>
      </c>
      <c r="H11" s="112">
        <f>G32</f>
        <v>4.198671</v>
      </c>
      <c r="J11" t="s">
        <v>144</v>
      </c>
      <c r="K11" t="s">
        <v>145</v>
      </c>
      <c r="M11" t="s">
        <v>146</v>
      </c>
      <c r="N11" t="s">
        <v>147</v>
      </c>
      <c r="U11">
        <f>SUM(U3:U9)</f>
        <v>56096</v>
      </c>
      <c r="W11">
        <f>U11*10^7/(70*10^9)</f>
        <v>8.0137142857142862</v>
      </c>
    </row>
    <row r="12" spans="2:23" x14ac:dyDescent="0.35">
      <c r="C12" s="109"/>
      <c r="E12" s="111"/>
      <c r="F12" s="111"/>
      <c r="G12" s="111"/>
      <c r="H12" s="111"/>
      <c r="M12" s="113">
        <v>0.9</v>
      </c>
    </row>
    <row r="13" spans="2:23" x14ac:dyDescent="0.35">
      <c r="C13" s="109"/>
      <c r="D13" s="107" t="s">
        <v>148</v>
      </c>
      <c r="E13" s="114">
        <v>0.18965517241379309</v>
      </c>
      <c r="F13" s="111"/>
      <c r="G13" s="112">
        <f>$G$11*E13</f>
        <v>2.5432758620689655</v>
      </c>
      <c r="H13" s="115">
        <f>Tires!J124</f>
        <v>0.218432874</v>
      </c>
      <c r="J13" s="102">
        <f>H13/G13</f>
        <v>8.5886425950782996E-2</v>
      </c>
      <c r="K13" s="102">
        <f>H13/$H$11</f>
        <v>5.2024289114341177E-2</v>
      </c>
      <c r="M13" s="103">
        <f>K13*M12</f>
        <v>4.6821860202907059E-2</v>
      </c>
      <c r="N13" s="116">
        <f>$H$11*M13</f>
        <v>0.19658958659999998</v>
      </c>
      <c r="R13" s="117" t="s">
        <v>132</v>
      </c>
    </row>
    <row r="14" spans="2:23" x14ac:dyDescent="0.35">
      <c r="C14" s="109"/>
      <c r="D14" s="107" t="s">
        <v>149</v>
      </c>
      <c r="E14" s="114">
        <v>0.14106583072100315</v>
      </c>
      <c r="F14" s="111"/>
      <c r="G14" s="112">
        <f t="shared" ref="G14:G22" si="2">$G$11*E14</f>
        <v>1.8916927899686522</v>
      </c>
      <c r="H14" s="115">
        <f>Lubricants!E7</f>
        <v>7.1239999999999998E-2</v>
      </c>
      <c r="J14" s="102">
        <f t="shared" ref="J14:J22" si="3">H14/G14</f>
        <v>3.7659391830309051E-2</v>
      </c>
      <c r="K14" s="102">
        <f>H14/$H$11</f>
        <v>1.6967273692080183E-2</v>
      </c>
      <c r="M14" s="103">
        <v>1.8234E-2</v>
      </c>
      <c r="N14" s="116">
        <f t="shared" ref="N14:N30" si="4">$H$11*M14</f>
        <v>7.6558567014000004E-2</v>
      </c>
      <c r="W14" t="s">
        <v>147</v>
      </c>
    </row>
    <row r="15" spans="2:23" ht="15" thickBot="1" x14ac:dyDescent="0.4">
      <c r="C15" s="111"/>
      <c r="D15" s="107" t="s">
        <v>150</v>
      </c>
      <c r="E15" s="114">
        <v>8.9341692789968646E-2</v>
      </c>
      <c r="F15" s="111"/>
      <c r="G15" s="112">
        <f t="shared" si="2"/>
        <v>1.1980721003134795</v>
      </c>
      <c r="H15" s="115"/>
      <c r="J15" s="102"/>
      <c r="K15" s="102"/>
      <c r="N15" s="116"/>
    </row>
    <row r="16" spans="2:23" x14ac:dyDescent="0.35">
      <c r="C16" s="111"/>
      <c r="D16" s="107" t="s">
        <v>151</v>
      </c>
      <c r="E16" s="114">
        <v>3.4482758620689655E-2</v>
      </c>
      <c r="F16" s="111"/>
      <c r="G16" s="112">
        <f t="shared" si="2"/>
        <v>0.46241379310344827</v>
      </c>
      <c r="H16" s="115">
        <f>'Brake parts'!E4</f>
        <v>8.7200000000000003E-3</v>
      </c>
      <c r="J16" s="102">
        <f t="shared" si="3"/>
        <v>1.8857568978374348E-2</v>
      </c>
      <c r="K16" s="102">
        <f t="shared" ref="K16:K22" si="5">H16/$H$11</f>
        <v>2.0768476501254801E-3</v>
      </c>
      <c r="M16" s="103">
        <v>2.4352000000000002E-3</v>
      </c>
      <c r="N16" s="116">
        <f t="shared" si="4"/>
        <v>1.0224603619200001E-2</v>
      </c>
      <c r="R16" s="118"/>
      <c r="S16" s="119"/>
      <c r="T16" s="120" t="s">
        <v>148</v>
      </c>
      <c r="U16" s="121">
        <f>$M$13</f>
        <v>4.6821860202907059E-2</v>
      </c>
      <c r="W16" s="116">
        <f t="shared" ref="W16:W27" si="6">U16*$H$11</f>
        <v>0.19658958659999998</v>
      </c>
    </row>
    <row r="17" spans="3:23" x14ac:dyDescent="0.35">
      <c r="C17" s="111"/>
      <c r="D17" s="107" t="s">
        <v>152</v>
      </c>
      <c r="E17" s="114">
        <v>2.8213166144200625E-2</v>
      </c>
      <c r="F17" s="111"/>
      <c r="G17" s="112">
        <f t="shared" si="2"/>
        <v>0.3783385579937304</v>
      </c>
      <c r="H17" s="115">
        <f>Batteries!E3</f>
        <v>4.6680000000000006E-2</v>
      </c>
      <c r="J17" s="102">
        <f t="shared" si="3"/>
        <v>0.12338155605269702</v>
      </c>
      <c r="K17" s="102">
        <f t="shared" si="5"/>
        <v>1.1117803705029522E-2</v>
      </c>
      <c r="M17" s="103">
        <v>1.285467E-2</v>
      </c>
      <c r="N17" s="116">
        <f t="shared" si="4"/>
        <v>5.3972530143570001E-2</v>
      </c>
      <c r="R17" s="122"/>
      <c r="T17" s="107" t="s">
        <v>153</v>
      </c>
      <c r="U17" s="123">
        <f>$M$26</f>
        <v>3.2351400000000002E-2</v>
      </c>
      <c r="W17" s="116">
        <f t="shared" si="6"/>
        <v>0.13583288498940002</v>
      </c>
    </row>
    <row r="18" spans="3:23" x14ac:dyDescent="0.35">
      <c r="C18" s="111"/>
      <c r="D18" s="107" t="s">
        <v>154</v>
      </c>
      <c r="E18" s="114">
        <v>1.5673981191222573E-2</v>
      </c>
      <c r="F18" s="111"/>
      <c r="G18" s="112">
        <f t="shared" si="2"/>
        <v>0.21018808777429471</v>
      </c>
      <c r="H18" s="115">
        <f>Jatin!G13*65%</f>
        <v>7.80759746E-2</v>
      </c>
      <c r="J18" s="102">
        <f t="shared" si="3"/>
        <v>0.37145765693363153</v>
      </c>
      <c r="K18" s="102">
        <f t="shared" si="5"/>
        <v>1.8595401878356271E-2</v>
      </c>
      <c r="M18" s="103">
        <v>2.1654199999999998E-2</v>
      </c>
      <c r="N18" s="116">
        <f t="shared" si="4"/>
        <v>9.0918861568199991E-2</v>
      </c>
      <c r="R18" s="122"/>
      <c r="T18" s="107" t="s">
        <v>155</v>
      </c>
      <c r="U18" s="123">
        <f>$M$27</f>
        <v>2.3526399999999999E-2</v>
      </c>
      <c r="W18" s="116">
        <f t="shared" si="6"/>
        <v>9.8779613414400003E-2</v>
      </c>
    </row>
    <row r="19" spans="3:23" x14ac:dyDescent="0.35">
      <c r="C19" s="111"/>
      <c r="D19" s="107" t="s">
        <v>156</v>
      </c>
      <c r="E19" s="114">
        <v>1.3322884012539187E-2</v>
      </c>
      <c r="F19" s="111"/>
      <c r="G19" s="112">
        <f t="shared" si="2"/>
        <v>0.1786598746081505</v>
      </c>
      <c r="H19" s="115">
        <f>Jatin!G14*25%</f>
        <v>5.3993367E-2</v>
      </c>
      <c r="J19" s="102">
        <f t="shared" si="3"/>
        <v>0.30221316968022105</v>
      </c>
      <c r="K19" s="102">
        <f t="shared" si="5"/>
        <v>1.2859632726641359E-2</v>
      </c>
      <c r="M19" s="103">
        <v>1.53264E-2</v>
      </c>
      <c r="N19" s="116">
        <f t="shared" si="4"/>
        <v>6.4350511214399997E-2</v>
      </c>
      <c r="R19" s="122"/>
      <c r="T19" s="107" t="s">
        <v>154</v>
      </c>
      <c r="U19" s="123">
        <f>$M$18</f>
        <v>2.1654199999999998E-2</v>
      </c>
      <c r="W19" s="116">
        <f t="shared" si="6"/>
        <v>9.0918861568199991E-2</v>
      </c>
    </row>
    <row r="20" spans="3:23" x14ac:dyDescent="0.35">
      <c r="D20" s="107" t="s">
        <v>157</v>
      </c>
      <c r="E20" s="114">
        <v>1.0971786833855801E-2</v>
      </c>
      <c r="F20" s="111"/>
      <c r="G20" s="112">
        <f t="shared" si="2"/>
        <v>0.14713166144200629</v>
      </c>
      <c r="H20" s="115">
        <f>Jatin!G15*92%</f>
        <v>7.7053235640000009E-2</v>
      </c>
      <c r="J20" s="102">
        <f t="shared" si="3"/>
        <v>0.52370261359667625</v>
      </c>
      <c r="K20" s="102">
        <f t="shared" si="5"/>
        <v>1.8351815524483821E-2</v>
      </c>
      <c r="M20" s="103">
        <v>2.1023400000000001E-2</v>
      </c>
      <c r="N20" s="116">
        <f t="shared" si="4"/>
        <v>8.82703399014E-2</v>
      </c>
      <c r="R20" s="122"/>
      <c r="T20" s="107" t="s">
        <v>158</v>
      </c>
      <c r="U20" s="123">
        <f>$M$20</f>
        <v>2.1023400000000001E-2</v>
      </c>
      <c r="W20" s="116">
        <f t="shared" si="6"/>
        <v>8.82703399014E-2</v>
      </c>
    </row>
    <row r="21" spans="3:23" x14ac:dyDescent="0.35">
      <c r="D21" s="107" t="s">
        <v>159</v>
      </c>
      <c r="E21" s="114">
        <v>9.4043887147335428E-3</v>
      </c>
      <c r="F21" s="111"/>
      <c r="G21" s="112">
        <f t="shared" si="2"/>
        <v>0.12611285266457681</v>
      </c>
      <c r="H21" s="115">
        <f>Jatin!G16*67%</f>
        <v>5.3637464390000007E-2</v>
      </c>
      <c r="J21" s="102">
        <f t="shared" si="3"/>
        <v>0.42531322745239875</v>
      </c>
      <c r="K21" s="102">
        <f t="shared" si="5"/>
        <v>1.2774867187736311E-2</v>
      </c>
      <c r="M21" s="103">
        <v>1.4578000000000001E-2</v>
      </c>
      <c r="N21" s="116">
        <f t="shared" si="4"/>
        <v>6.1208225838000001E-2</v>
      </c>
      <c r="R21" s="122"/>
      <c r="T21" s="107" t="s">
        <v>149</v>
      </c>
      <c r="U21" s="123">
        <f>$M$14</f>
        <v>1.8234E-2</v>
      </c>
      <c r="W21" s="116">
        <f t="shared" si="6"/>
        <v>7.6558567014000004E-2</v>
      </c>
    </row>
    <row r="22" spans="3:23" x14ac:dyDescent="0.35">
      <c r="D22" s="107" t="s">
        <v>160</v>
      </c>
      <c r="E22" s="114">
        <v>6.2695924764890288E-3</v>
      </c>
      <c r="F22" s="111"/>
      <c r="G22" s="112">
        <f t="shared" si="2"/>
        <v>8.4075235109717872E-2</v>
      </c>
      <c r="H22" s="115">
        <f>Jatin!G17</f>
        <v>2.1093368000000001E-2</v>
      </c>
      <c r="J22" s="102">
        <f t="shared" si="3"/>
        <v>0.25088681551081282</v>
      </c>
      <c r="K22" s="102">
        <f t="shared" si="5"/>
        <v>5.0238201564256884E-3</v>
      </c>
      <c r="M22" s="103">
        <v>7.2139999999999999E-3</v>
      </c>
      <c r="N22" s="116">
        <f t="shared" si="4"/>
        <v>3.0289212594000001E-2</v>
      </c>
      <c r="R22" s="122"/>
      <c r="T22" s="107" t="s">
        <v>156</v>
      </c>
      <c r="U22" s="123">
        <f>$M$19</f>
        <v>1.53264E-2</v>
      </c>
      <c r="W22" s="116">
        <f t="shared" si="6"/>
        <v>6.4350511214399997E-2</v>
      </c>
    </row>
    <row r="23" spans="3:23" x14ac:dyDescent="0.35">
      <c r="D23" s="107" t="s">
        <v>161</v>
      </c>
      <c r="E23" s="114">
        <v>0.4615987460815047</v>
      </c>
      <c r="F23" s="111"/>
      <c r="G23" s="112">
        <f>$G$11*E23</f>
        <v>6.1900391849529779</v>
      </c>
      <c r="H23" s="115"/>
      <c r="K23" s="102"/>
      <c r="N23" s="116"/>
      <c r="R23" s="122"/>
      <c r="T23" s="107" t="s">
        <v>159</v>
      </c>
      <c r="U23" s="123">
        <f>$M$21</f>
        <v>1.4578000000000001E-2</v>
      </c>
      <c r="W23" s="116">
        <f t="shared" si="6"/>
        <v>6.1208225838000001E-2</v>
      </c>
    </row>
    <row r="24" spans="3:23" x14ac:dyDescent="0.35">
      <c r="E24" s="111"/>
      <c r="F24" s="111"/>
      <c r="G24" s="111"/>
      <c r="H24" s="115"/>
      <c r="N24" s="116"/>
      <c r="R24" s="122"/>
      <c r="T24" s="107" t="s">
        <v>152</v>
      </c>
      <c r="U24" s="123">
        <f>$M$17</f>
        <v>1.285467E-2</v>
      </c>
      <c r="W24" s="116">
        <f t="shared" si="6"/>
        <v>5.3972530143570001E-2</v>
      </c>
    </row>
    <row r="25" spans="3:23" x14ac:dyDescent="0.35">
      <c r="D25" s="107" t="s">
        <v>162</v>
      </c>
      <c r="E25" s="111"/>
      <c r="F25" s="111"/>
      <c r="G25" s="111"/>
      <c r="H25" s="115">
        <f>'ignition parts'!E4</f>
        <v>2.682E-2</v>
      </c>
      <c r="K25" s="102">
        <f t="shared" ref="K25:K30" si="7">H25/$H$11</f>
        <v>6.3877355477483235E-3</v>
      </c>
      <c r="M25" s="103">
        <v>6.8539999999999998E-3</v>
      </c>
      <c r="N25" s="116">
        <f t="shared" si="4"/>
        <v>2.8777691033999998E-2</v>
      </c>
      <c r="R25" s="122"/>
      <c r="T25" s="107" t="s">
        <v>160</v>
      </c>
      <c r="U25" s="123">
        <f>$M$22</f>
        <v>7.2139999999999999E-3</v>
      </c>
      <c r="W25" s="116">
        <f t="shared" si="6"/>
        <v>3.0289212594000001E-2</v>
      </c>
    </row>
    <row r="26" spans="3:23" x14ac:dyDescent="0.35">
      <c r="D26" s="107" t="s">
        <v>163</v>
      </c>
      <c r="E26" s="111"/>
      <c r="F26" s="111"/>
      <c r="G26" s="111"/>
      <c r="H26" s="115">
        <f>Others!N5</f>
        <v>0.1482</v>
      </c>
      <c r="K26" s="102">
        <f t="shared" si="7"/>
        <v>3.5296883228050017E-2</v>
      </c>
      <c r="M26" s="103">
        <v>3.2351400000000002E-2</v>
      </c>
      <c r="N26" s="116">
        <f t="shared" si="4"/>
        <v>0.13583288498940002</v>
      </c>
      <c r="R26" s="122"/>
      <c r="T26" s="107" t="s">
        <v>162</v>
      </c>
      <c r="U26" s="123">
        <f>$M$25</f>
        <v>6.8539999999999998E-3</v>
      </c>
      <c r="W26" s="116">
        <f t="shared" si="6"/>
        <v>2.8777691033999998E-2</v>
      </c>
    </row>
    <row r="27" spans="3:23" ht="15" thickBot="1" x14ac:dyDescent="0.4">
      <c r="D27" s="107" t="s">
        <v>164</v>
      </c>
      <c r="E27" s="111"/>
      <c r="F27" s="111"/>
      <c r="G27" s="111"/>
      <c r="H27" s="115">
        <f>Others!R58</f>
        <v>0.10290199999999999</v>
      </c>
      <c r="K27" s="102">
        <f t="shared" si="7"/>
        <v>2.4508231295093136E-2</v>
      </c>
      <c r="M27" s="103">
        <v>2.3526399999999999E-2</v>
      </c>
      <c r="N27" s="116">
        <f t="shared" si="4"/>
        <v>9.8779613414400003E-2</v>
      </c>
      <c r="R27" s="124"/>
      <c r="S27" s="125"/>
      <c r="T27" s="126" t="s">
        <v>151</v>
      </c>
      <c r="U27" s="127">
        <f>$M$16</f>
        <v>2.4352000000000002E-3</v>
      </c>
      <c r="W27" s="116">
        <f t="shared" si="6"/>
        <v>1.0224603619200001E-2</v>
      </c>
    </row>
    <row r="28" spans="3:23" x14ac:dyDescent="0.35">
      <c r="E28" s="111"/>
      <c r="F28" s="111"/>
      <c r="G28" s="111"/>
      <c r="H28" s="111"/>
      <c r="K28" s="102">
        <f t="shared" si="7"/>
        <v>0</v>
      </c>
      <c r="N28" s="116">
        <f t="shared" si="4"/>
        <v>0</v>
      </c>
    </row>
    <row r="29" spans="3:23" x14ac:dyDescent="0.35">
      <c r="E29" s="111"/>
      <c r="F29" s="111"/>
      <c r="G29" s="111"/>
      <c r="H29" s="111"/>
      <c r="K29" s="102">
        <f t="shared" si="7"/>
        <v>0</v>
      </c>
      <c r="N29" s="116">
        <f t="shared" si="4"/>
        <v>0</v>
      </c>
      <c r="U29" s="103">
        <f>SUM(U16:U28)</f>
        <v>0.22287353020290707</v>
      </c>
      <c r="W29" s="116">
        <f>SUM(W16:W28)</f>
        <v>0.93577262793056981</v>
      </c>
    </row>
    <row r="30" spans="3:23" x14ac:dyDescent="0.35">
      <c r="E30" s="111"/>
      <c r="F30" s="111"/>
      <c r="G30" s="111"/>
      <c r="H30" s="111"/>
      <c r="K30" s="102">
        <f t="shared" si="7"/>
        <v>0</v>
      </c>
      <c r="N30" s="116">
        <f t="shared" si="4"/>
        <v>0</v>
      </c>
      <c r="T30" s="107" t="s">
        <v>165</v>
      </c>
      <c r="U30" s="103">
        <f>1-U29</f>
        <v>0.77712646979709299</v>
      </c>
    </row>
    <row r="31" spans="3:23" x14ac:dyDescent="0.35">
      <c r="E31" s="111"/>
      <c r="F31" s="111"/>
      <c r="G31" s="111"/>
      <c r="H31" s="111"/>
    </row>
    <row r="32" spans="3:23" x14ac:dyDescent="0.35">
      <c r="D32" s="107" t="s">
        <v>141</v>
      </c>
      <c r="E32" s="128">
        <v>0.31309999999999999</v>
      </c>
      <c r="F32" s="111"/>
      <c r="G32" s="115">
        <f>G11*E32</f>
        <v>4.198671</v>
      </c>
      <c r="H32" s="111"/>
      <c r="K32" s="103">
        <f>SUM(K13:K30)</f>
        <v>0.21598460170611128</v>
      </c>
      <c r="N32" s="116">
        <f>SUM(N13:N30)</f>
        <v>0.93577262793057003</v>
      </c>
      <c r="R32" s="117" t="s">
        <v>166</v>
      </c>
      <c r="S32" s="102"/>
    </row>
    <row r="33" spans="3:23" ht="15" thickBot="1" x14ac:dyDescent="0.4">
      <c r="E33" s="111"/>
      <c r="F33" s="111"/>
      <c r="G33" s="111"/>
      <c r="H33" s="111"/>
      <c r="S33" s="102"/>
    </row>
    <row r="34" spans="3:23" x14ac:dyDescent="0.35">
      <c r="R34" s="102"/>
      <c r="S34" s="129"/>
      <c r="T34" s="120" t="s">
        <v>167</v>
      </c>
      <c r="U34" s="130">
        <f>Country!AB5</f>
        <v>0.15159714499999999</v>
      </c>
      <c r="W34" s="116">
        <f>$H$11*U34</f>
        <v>0.636506536394295</v>
      </c>
    </row>
    <row r="35" spans="3:23" x14ac:dyDescent="0.35">
      <c r="R35" s="102"/>
      <c r="S35" s="131"/>
      <c r="T35" s="107" t="s">
        <v>168</v>
      </c>
      <c r="U35" s="132">
        <f>Country!AB6</f>
        <v>9.9125745000000001E-2</v>
      </c>
      <c r="W35" s="116">
        <f t="shared" ref="W35:W43" si="8">$H$11*U35</f>
        <v>0.41619639088489502</v>
      </c>
    </row>
    <row r="36" spans="3:23" x14ac:dyDescent="0.35">
      <c r="R36" s="102"/>
      <c r="S36" s="131"/>
      <c r="T36" s="107" t="s">
        <v>169</v>
      </c>
      <c r="U36" s="132">
        <f>Country!AB7</f>
        <v>8.8225745000000008E-2</v>
      </c>
      <c r="W36" s="116">
        <f t="shared" si="8"/>
        <v>0.37043087698489502</v>
      </c>
    </row>
    <row r="37" spans="3:23" x14ac:dyDescent="0.35">
      <c r="S37" s="131"/>
      <c r="T37" s="107" t="s">
        <v>170</v>
      </c>
      <c r="U37" s="132">
        <f>Country!AB8</f>
        <v>7.1126745000000005E-2</v>
      </c>
      <c r="W37" s="116">
        <f t="shared" si="8"/>
        <v>0.29863780155589503</v>
      </c>
    </row>
    <row r="38" spans="3:23" x14ac:dyDescent="0.35">
      <c r="R38" s="102"/>
      <c r="S38" s="131"/>
      <c r="T38" s="107" t="s">
        <v>171</v>
      </c>
      <c r="U38" s="132">
        <f>Country!AB9</f>
        <v>5.6089744999999996E-2</v>
      </c>
      <c r="W38" s="116">
        <f t="shared" si="8"/>
        <v>0.23550238572889498</v>
      </c>
    </row>
    <row r="39" spans="3:23" x14ac:dyDescent="0.35">
      <c r="R39" s="102"/>
      <c r="S39" s="131"/>
      <c r="T39" s="107" t="s">
        <v>172</v>
      </c>
      <c r="U39" s="132">
        <f>Country!AB11</f>
        <v>4.9572649379245E-2</v>
      </c>
      <c r="W39" s="116">
        <f t="shared" si="8"/>
        <v>0.20813924534180397</v>
      </c>
    </row>
    <row r="40" spans="3:23" x14ac:dyDescent="0.35">
      <c r="I40" t="s">
        <v>173</v>
      </c>
      <c r="R40" s="102"/>
      <c r="S40" s="131"/>
      <c r="T40" s="107" t="s">
        <v>174</v>
      </c>
      <c r="U40" s="132">
        <f>Country!AB10</f>
        <v>4.4527150074499998E-2</v>
      </c>
      <c r="W40" s="116">
        <f t="shared" si="8"/>
        <v>0.18695485373045098</v>
      </c>
    </row>
    <row r="41" spans="3:23" x14ac:dyDescent="0.35">
      <c r="R41" s="102"/>
      <c r="S41" s="131"/>
      <c r="T41" s="107" t="s">
        <v>175</v>
      </c>
      <c r="U41" s="132">
        <f>Country!AB12</f>
        <v>1.4893217E-2</v>
      </c>
      <c r="W41" s="116">
        <f t="shared" si="8"/>
        <v>6.2531718314607007E-2</v>
      </c>
    </row>
    <row r="42" spans="3:23" x14ac:dyDescent="0.35">
      <c r="C42" t="s">
        <v>163</v>
      </c>
      <c r="I42">
        <v>87089400</v>
      </c>
      <c r="S42" s="131"/>
      <c r="T42" s="107" t="s">
        <v>176</v>
      </c>
      <c r="U42" s="132">
        <f>Country!AB13</f>
        <v>1.2489317E-2</v>
      </c>
      <c r="W42" s="116">
        <f t="shared" si="8"/>
        <v>5.2438533097706998E-2</v>
      </c>
    </row>
    <row r="43" spans="3:23" ht="15" thickBot="1" x14ac:dyDescent="0.4">
      <c r="C43" t="s">
        <v>177</v>
      </c>
      <c r="I43" t="s">
        <v>178</v>
      </c>
      <c r="R43" s="102"/>
      <c r="S43" s="133"/>
      <c r="T43" s="126" t="s">
        <v>179</v>
      </c>
      <c r="U43" s="134">
        <f>Country!AB14</f>
        <v>1.2060616999999999E-2</v>
      </c>
      <c r="W43" s="116">
        <f t="shared" si="8"/>
        <v>5.0638562840007E-2</v>
      </c>
    </row>
    <row r="44" spans="3:23" x14ac:dyDescent="0.35">
      <c r="C44" t="s">
        <v>180</v>
      </c>
    </row>
    <row r="45" spans="3:23" x14ac:dyDescent="0.35">
      <c r="C45" t="s">
        <v>181</v>
      </c>
      <c r="I45">
        <v>8415</v>
      </c>
      <c r="U45" s="103">
        <f>SUM(U34:U44)</f>
        <v>0.59970807545374505</v>
      </c>
      <c r="W45" s="116">
        <f>SUM(W34:W44)</f>
        <v>2.5179769048734499</v>
      </c>
    </row>
    <row r="46" spans="3:23" x14ac:dyDescent="0.35">
      <c r="C46" t="s">
        <v>182</v>
      </c>
      <c r="T46" s="107" t="s">
        <v>165</v>
      </c>
      <c r="U46" s="103">
        <f>1-U45</f>
        <v>0.40029192454625495</v>
      </c>
    </row>
    <row r="47" spans="3:23" x14ac:dyDescent="0.35">
      <c r="C47" t="s">
        <v>183</v>
      </c>
    </row>
    <row r="48" spans="3:23" x14ac:dyDescent="0.35">
      <c r="C48" t="s">
        <v>164</v>
      </c>
      <c r="I48" t="s">
        <v>184</v>
      </c>
    </row>
    <row r="49" spans="3:17" x14ac:dyDescent="0.35">
      <c r="C49" t="s">
        <v>185</v>
      </c>
      <c r="I49" t="s">
        <v>186</v>
      </c>
    </row>
    <row r="50" spans="3:17" x14ac:dyDescent="0.35">
      <c r="C50" t="s">
        <v>187</v>
      </c>
      <c r="I50" t="s">
        <v>188</v>
      </c>
    </row>
    <row r="51" spans="3:17" x14ac:dyDescent="0.35">
      <c r="C51" t="s">
        <v>189</v>
      </c>
      <c r="I51" t="s">
        <v>190</v>
      </c>
    </row>
    <row r="52" spans="3:17" x14ac:dyDescent="0.35">
      <c r="C52" t="s">
        <v>191</v>
      </c>
      <c r="I52" t="s">
        <v>192</v>
      </c>
    </row>
    <row r="53" spans="3:17" x14ac:dyDescent="0.35">
      <c r="C53" t="s">
        <v>193</v>
      </c>
    </row>
    <row r="54" spans="3:17" x14ac:dyDescent="0.35">
      <c r="C54" t="s">
        <v>194</v>
      </c>
    </row>
    <row r="58" spans="3:17" x14ac:dyDescent="0.35">
      <c r="D58" s="107">
        <v>2016</v>
      </c>
      <c r="E58" s="107">
        <v>2017</v>
      </c>
      <c r="F58" s="107">
        <v>2018</v>
      </c>
      <c r="G58" s="107">
        <v>2019</v>
      </c>
      <c r="H58" s="107">
        <v>2020</v>
      </c>
      <c r="I58" s="107">
        <v>2021</v>
      </c>
      <c r="J58" s="107">
        <v>2022</v>
      </c>
      <c r="K58" s="107">
        <v>2023</v>
      </c>
      <c r="L58" s="107">
        <v>2024</v>
      </c>
      <c r="M58" s="107">
        <v>2025</v>
      </c>
      <c r="N58" s="107">
        <v>2026</v>
      </c>
      <c r="O58" s="107">
        <v>2027</v>
      </c>
      <c r="P58" s="107">
        <v>2028</v>
      </c>
    </row>
    <row r="59" spans="3:17" x14ac:dyDescent="0.35">
      <c r="G59" s="107"/>
      <c r="J59" s="107"/>
    </row>
    <row r="60" spans="3:17" x14ac:dyDescent="0.35">
      <c r="C60" s="107" t="s">
        <v>140</v>
      </c>
      <c r="D60" s="107">
        <f>W11</f>
        <v>8.0137142857142862</v>
      </c>
      <c r="G60" s="107"/>
      <c r="J60" s="135">
        <f>G11</f>
        <v>13.41</v>
      </c>
      <c r="K60" s="24">
        <f>J60*(1+K61)</f>
        <v>14.243223645</v>
      </c>
      <c r="L60" s="24">
        <f t="shared" ref="L60:P60" si="9">K60*(1+L61)</f>
        <v>15.165160863001248</v>
      </c>
      <c r="M60" s="24">
        <f t="shared" si="9"/>
        <v>16.187747990384608</v>
      </c>
      <c r="N60" s="24">
        <f t="shared" si="9"/>
        <v>17.324851449704429</v>
      </c>
      <c r="O60" s="24">
        <f t="shared" si="9"/>
        <v>18.592629743007024</v>
      </c>
      <c r="P60" s="24">
        <f t="shared" si="9"/>
        <v>20.00997240281383</v>
      </c>
    </row>
    <row r="61" spans="3:17" x14ac:dyDescent="0.35">
      <c r="K61" s="103">
        <v>6.2134500000000009E-2</v>
      </c>
      <c r="L61" s="103">
        <v>6.4728129037339557E-2</v>
      </c>
      <c r="M61" s="103">
        <v>6.7430021786197378E-2</v>
      </c>
      <c r="N61" s="103">
        <v>7.0244697409130211E-2</v>
      </c>
      <c r="O61" s="103">
        <v>7.317686370835931E-2</v>
      </c>
      <c r="P61" s="103">
        <v>7.6231424999999853E-2</v>
      </c>
    </row>
    <row r="62" spans="3:17" x14ac:dyDescent="0.35">
      <c r="J62" s="136">
        <f>(J60/D60)^(1/6)-1</f>
        <v>8.9596803686952331E-2</v>
      </c>
      <c r="Q62" s="137">
        <f>(P60/J60)^(1/6)-1</f>
        <v>6.8980095382851436E-2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0B24-A404-4E99-A376-3032804DE8EF}">
  <dimension ref="A1:AD87"/>
  <sheetViews>
    <sheetView topLeftCell="F1" workbookViewId="0">
      <selection activeCell="U16" sqref="U16"/>
    </sheetView>
  </sheetViews>
  <sheetFormatPr defaultRowHeight="14.5" x14ac:dyDescent="0.35"/>
  <cols>
    <col min="10" max="10" width="10" bestFit="1" customWidth="1"/>
    <col min="11" max="11" width="9" bestFit="1" customWidth="1"/>
    <col min="12" max="12" width="10.81640625" bestFit="1" customWidth="1"/>
    <col min="13" max="13" width="12.7265625" bestFit="1" customWidth="1"/>
    <col min="15" max="15" width="13.1796875" customWidth="1"/>
    <col min="16" max="16" width="9.26953125" customWidth="1"/>
    <col min="17" max="17" width="8.453125" bestFit="1" customWidth="1"/>
    <col min="19" max="19" width="11.81640625" customWidth="1"/>
    <col min="20" max="20" width="12" bestFit="1" customWidth="1"/>
    <col min="22" max="22" width="10.7265625" bestFit="1" customWidth="1"/>
    <col min="24" max="24" width="17.54296875" bestFit="1" customWidth="1"/>
  </cols>
  <sheetData>
    <row r="1" spans="1:30" x14ac:dyDescent="0.35">
      <c r="Y1" t="s">
        <v>141</v>
      </c>
    </row>
    <row r="2" spans="1:30" x14ac:dyDescent="0.35">
      <c r="Y2" t="s">
        <v>129</v>
      </c>
      <c r="AB2" t="s">
        <v>195</v>
      </c>
    </row>
    <row r="3" spans="1:30" x14ac:dyDescent="0.35">
      <c r="I3" t="s">
        <v>148</v>
      </c>
      <c r="J3" s="108" t="s">
        <v>149</v>
      </c>
      <c r="K3" s="108" t="s">
        <v>152</v>
      </c>
      <c r="L3" s="108" t="s">
        <v>196</v>
      </c>
      <c r="M3" s="108" t="s">
        <v>185</v>
      </c>
      <c r="N3" s="108" t="s">
        <v>163</v>
      </c>
      <c r="O3" s="108" t="s">
        <v>164</v>
      </c>
      <c r="P3" s="108" t="s">
        <v>154</v>
      </c>
      <c r="Q3" s="108" t="s">
        <v>156</v>
      </c>
      <c r="R3" s="108" t="s">
        <v>157</v>
      </c>
      <c r="S3" s="108" t="s">
        <v>159</v>
      </c>
      <c r="T3" s="108" t="s">
        <v>160</v>
      </c>
      <c r="U3" s="107"/>
      <c r="V3" s="107" t="s">
        <v>147</v>
      </c>
      <c r="Y3" s="116">
        <v>4.198671</v>
      </c>
      <c r="AA3" s="103">
        <v>6.2352170000000004E-3</v>
      </c>
    </row>
    <row r="4" spans="1:30" ht="15" thickBot="1" x14ac:dyDescent="0.4">
      <c r="A4" t="s">
        <v>148</v>
      </c>
      <c r="AA4" s="103">
        <v>2.35245E-2</v>
      </c>
    </row>
    <row r="5" spans="1:30" x14ac:dyDescent="0.35">
      <c r="B5" t="s">
        <v>169</v>
      </c>
      <c r="C5">
        <v>5.8341922999999997E-2</v>
      </c>
      <c r="H5" s="107" t="s">
        <v>169</v>
      </c>
      <c r="I5">
        <f>VLOOKUP($H5,$B$5:$C$14,2,FALSE)</f>
        <v>5.8341922999999997E-2</v>
      </c>
      <c r="J5">
        <f>VLOOKUP($H5,$B$17:$C$26,2,FALSE)</f>
        <v>1.1339999999999999E-2</v>
      </c>
      <c r="K5">
        <f>VLOOKUP($H5,$B$29:$C$38,2,FALSE)</f>
        <v>2.0499999999999997E-3</v>
      </c>
      <c r="M5">
        <f>VLOOKUP($H5,$B$53:$C$62,2,FALSE)</f>
        <v>4.4099999999999999E-3</v>
      </c>
      <c r="N5">
        <f>VLOOKUP($H5,$B$65:$C$74,2,FALSE)</f>
        <v>1.5429999999999999E-2</v>
      </c>
      <c r="O5">
        <f>VLOOKUP($H5,$B$78:$C$87,2,FALSE)</f>
        <v>4.5240000000000002E-2</v>
      </c>
      <c r="P5">
        <v>0.01</v>
      </c>
      <c r="Q5">
        <v>1.4999999999999999E-2</v>
      </c>
      <c r="R5">
        <v>3.8584320000000002E-3</v>
      </c>
      <c r="S5">
        <v>1.0313922999999999E-2</v>
      </c>
      <c r="T5">
        <v>4.7078470000000002E-3</v>
      </c>
      <c r="V5" s="116">
        <f>SUM(I5:T5)</f>
        <v>0.18069212500000001</v>
      </c>
      <c r="X5" s="138" t="s">
        <v>167</v>
      </c>
      <c r="Y5" s="139">
        <v>0.38739579200000007</v>
      </c>
      <c r="Z5" s="140">
        <f>Y5/$Y$3</f>
        <v>9.2266289023360024E-2</v>
      </c>
      <c r="AB5" s="103">
        <v>0.15159714499999999</v>
      </c>
      <c r="AC5" s="116">
        <f>$Y$3*AB5</f>
        <v>0.636506536394295</v>
      </c>
    </row>
    <row r="6" spans="1:30" x14ac:dyDescent="0.35">
      <c r="B6" t="s">
        <v>174</v>
      </c>
      <c r="C6">
        <v>5.0084638000000001E-2</v>
      </c>
      <c r="H6" s="107" t="s">
        <v>174</v>
      </c>
      <c r="I6">
        <f t="shared" ref="I6:I14" si="0">VLOOKUP($H6,$B$5:$C$14,2,FALSE)</f>
        <v>5.0084638000000001E-2</v>
      </c>
      <c r="J6">
        <f t="shared" ref="J6:J18" si="1">VLOOKUP($H6,$B$17:$C$26,2,FALSE)</f>
        <v>1.4599999999999999E-3</v>
      </c>
      <c r="K6">
        <f t="shared" ref="K6:K17" si="2">VLOOKUP($H6,$B$29:$C$38,2,FALSE)</f>
        <v>6.1899999999999993E-3</v>
      </c>
      <c r="M6">
        <f t="shared" ref="M6:M17" si="3">VLOOKUP($H6,$B$53:$C$62,2,FALSE)</f>
        <v>2.4199999999999998E-3</v>
      </c>
      <c r="N6">
        <f t="shared" ref="N6:N17" si="4">VLOOKUP($H6,$B$65:$C$74,2,FALSE)</f>
        <v>1.072E-2</v>
      </c>
      <c r="R6">
        <v>3.6080750000000001E-3</v>
      </c>
      <c r="S6">
        <v>8.6734810000000002E-3</v>
      </c>
      <c r="T6">
        <v>5.2849220000000001E-3</v>
      </c>
      <c r="V6" s="116">
        <f t="shared" ref="V6:V30" si="5">SUM(I6:T6)</f>
        <v>8.8441116E-2</v>
      </c>
      <c r="X6" s="141" t="s">
        <v>197</v>
      </c>
      <c r="Y6" s="116">
        <v>0.23436258300000001</v>
      </c>
      <c r="Z6" s="142">
        <f t="shared" ref="Z6:Z14" si="6">Y6/$Y$3</f>
        <v>5.5818277497808239E-2</v>
      </c>
      <c r="AB6" s="103">
        <v>9.9125745000000001E-2</v>
      </c>
      <c r="AC6" s="116">
        <f t="shared" ref="AC6:AC14" si="7">$Y$3*AB6</f>
        <v>0.41619639088489502</v>
      </c>
    </row>
    <row r="7" spans="1:30" x14ac:dyDescent="0.35">
      <c r="B7" t="s">
        <v>167</v>
      </c>
      <c r="C7">
        <v>4.4259298000000002E-2</v>
      </c>
      <c r="H7" s="107" t="s">
        <v>167</v>
      </c>
      <c r="I7">
        <f t="shared" si="0"/>
        <v>4.4259298000000002E-2</v>
      </c>
      <c r="K7">
        <f t="shared" si="2"/>
        <v>1.609E-2</v>
      </c>
      <c r="L7">
        <f t="shared" ref="L7:L17" si="8">VLOOKUP($H7,$B$41:$C$50,2,FALSE)</f>
        <v>6.9500000000000004E-3</v>
      </c>
      <c r="M7">
        <f t="shared" si="3"/>
        <v>5.4800000000000005E-3</v>
      </c>
      <c r="N7">
        <f t="shared" si="4"/>
        <v>6.9620000000000001E-2</v>
      </c>
      <c r="O7">
        <f t="shared" ref="O7:O18" si="9">VLOOKUP($H7,$B$78:$C$87,2,FALSE)</f>
        <v>9.178E-2</v>
      </c>
      <c r="P7">
        <v>0.01</v>
      </c>
      <c r="Q7">
        <v>0.124</v>
      </c>
      <c r="R7">
        <v>1.4817835E-2</v>
      </c>
      <c r="T7">
        <v>4.3986590000000001E-3</v>
      </c>
      <c r="V7" s="116">
        <f t="shared" si="5"/>
        <v>0.38739579200000007</v>
      </c>
      <c r="X7" s="141" t="s">
        <v>169</v>
      </c>
      <c r="Y7" s="116">
        <v>0.18069212500000001</v>
      </c>
      <c r="Z7" s="142">
        <f t="shared" si="6"/>
        <v>4.3035552202113483E-2</v>
      </c>
      <c r="AB7" s="103">
        <v>8.8225745000000008E-2</v>
      </c>
      <c r="AC7" s="116">
        <f t="shared" si="7"/>
        <v>0.37043087698489502</v>
      </c>
    </row>
    <row r="8" spans="1:30" x14ac:dyDescent="0.35">
      <c r="B8" t="s">
        <v>170</v>
      </c>
      <c r="C8">
        <v>1.08647E-2</v>
      </c>
      <c r="H8" s="107" t="s">
        <v>170</v>
      </c>
      <c r="I8">
        <f t="shared" si="0"/>
        <v>1.08647E-2</v>
      </c>
      <c r="J8">
        <f t="shared" si="1"/>
        <v>7.0099999999999997E-3</v>
      </c>
      <c r="K8">
        <f t="shared" si="2"/>
        <v>2.5800000000000003E-3</v>
      </c>
      <c r="L8">
        <f t="shared" si="8"/>
        <v>5.9999999999999995E-5</v>
      </c>
      <c r="M8">
        <f t="shared" si="3"/>
        <v>5.6999999999999998E-4</v>
      </c>
      <c r="N8">
        <f t="shared" si="4"/>
        <v>1.193E-2</v>
      </c>
      <c r="O8">
        <f t="shared" si="9"/>
        <v>4.573E-2</v>
      </c>
      <c r="P8">
        <v>1.2E-2</v>
      </c>
      <c r="Q8">
        <v>3.1E-2</v>
      </c>
      <c r="R8">
        <v>4.1311109999999998E-3</v>
      </c>
      <c r="S8">
        <v>1.3725723E-2</v>
      </c>
      <c r="V8" s="116">
        <f t="shared" si="5"/>
        <v>0.139601534</v>
      </c>
      <c r="X8" s="141" t="s">
        <v>170</v>
      </c>
      <c r="Y8" s="116">
        <v>0.139601534</v>
      </c>
      <c r="Z8" s="142">
        <f t="shared" si="6"/>
        <v>3.324898140387756E-2</v>
      </c>
      <c r="AB8" s="103">
        <v>7.1126745000000005E-2</v>
      </c>
      <c r="AC8" s="116">
        <f t="shared" si="7"/>
        <v>0.29863780155589503</v>
      </c>
    </row>
    <row r="9" spans="1:30" x14ac:dyDescent="0.35">
      <c r="B9" t="s">
        <v>198</v>
      </c>
      <c r="C9">
        <v>9.8072449999999992E-3</v>
      </c>
      <c r="H9" s="107" t="s">
        <v>198</v>
      </c>
      <c r="I9">
        <f t="shared" si="0"/>
        <v>9.8072449999999992E-3</v>
      </c>
      <c r="K9">
        <f t="shared" si="2"/>
        <v>3.2199999999999998E-3</v>
      </c>
      <c r="L9">
        <f t="shared" si="8"/>
        <v>5.0000000000000001E-4</v>
      </c>
      <c r="T9">
        <v>1.9889800000000001E-4</v>
      </c>
      <c r="V9" s="116">
        <f t="shared" si="5"/>
        <v>1.3726143E-2</v>
      </c>
      <c r="X9" s="141" t="s">
        <v>199</v>
      </c>
      <c r="Y9" s="116">
        <v>0.10736000000000001</v>
      </c>
      <c r="Z9" s="142">
        <f t="shared" si="6"/>
        <v>2.5569995839159584E-2</v>
      </c>
      <c r="AB9" s="103">
        <v>5.6089744999999996E-2</v>
      </c>
      <c r="AC9" s="116">
        <f t="shared" si="7"/>
        <v>0.23550238572889498</v>
      </c>
    </row>
    <row r="10" spans="1:30" x14ac:dyDescent="0.35">
      <c r="B10" t="s">
        <v>175</v>
      </c>
      <c r="C10">
        <v>5.1931970000000001E-3</v>
      </c>
      <c r="H10" s="107" t="s">
        <v>175</v>
      </c>
      <c r="I10">
        <f t="shared" si="0"/>
        <v>5.1931970000000001E-3</v>
      </c>
      <c r="J10">
        <f t="shared" si="1"/>
        <v>1.56E-3</v>
      </c>
      <c r="L10">
        <f t="shared" si="8"/>
        <v>1.0000000000000001E-5</v>
      </c>
      <c r="O10">
        <f t="shared" si="9"/>
        <v>1.259E-2</v>
      </c>
      <c r="P10">
        <v>3.0000000000000001E-3</v>
      </c>
      <c r="V10" s="116">
        <f t="shared" si="5"/>
        <v>2.2353196999999998E-2</v>
      </c>
      <c r="X10" s="141" t="s">
        <v>174</v>
      </c>
      <c r="Y10" s="116">
        <v>8.8441116E-2</v>
      </c>
      <c r="Z10" s="142">
        <f t="shared" si="6"/>
        <v>2.1064073846224197E-2</v>
      </c>
      <c r="AB10" s="103">
        <v>4.4527150074499998E-2</v>
      </c>
      <c r="AC10" s="116">
        <f t="shared" si="7"/>
        <v>0.18695485373045098</v>
      </c>
    </row>
    <row r="11" spans="1:30" x14ac:dyDescent="0.35">
      <c r="B11" t="s">
        <v>200</v>
      </c>
      <c r="C11">
        <v>4.8132219999999998E-3</v>
      </c>
      <c r="H11" s="107" t="s">
        <v>200</v>
      </c>
      <c r="I11">
        <f t="shared" si="0"/>
        <v>4.8132219999999998E-3</v>
      </c>
      <c r="V11" s="116">
        <f t="shared" si="5"/>
        <v>4.8132219999999998E-3</v>
      </c>
      <c r="X11" s="141" t="s">
        <v>172</v>
      </c>
      <c r="Y11" s="116">
        <v>5.1948061000000004E-2</v>
      </c>
      <c r="Z11" s="142">
        <f t="shared" si="6"/>
        <v>1.2372500965186366E-2</v>
      </c>
      <c r="AB11" s="103">
        <v>4.9572649379245E-2</v>
      </c>
      <c r="AC11" s="116">
        <f t="shared" si="7"/>
        <v>0.20813924534180397</v>
      </c>
    </row>
    <row r="12" spans="1:30" x14ac:dyDescent="0.35">
      <c r="B12" t="s">
        <v>201</v>
      </c>
      <c r="C12">
        <v>4.703413E-3</v>
      </c>
      <c r="H12" s="107" t="s">
        <v>201</v>
      </c>
      <c r="I12">
        <f t="shared" si="0"/>
        <v>4.703413E-3</v>
      </c>
      <c r="V12" s="116">
        <f t="shared" si="5"/>
        <v>4.703413E-3</v>
      </c>
      <c r="X12" s="141" t="s">
        <v>175</v>
      </c>
      <c r="Y12" s="116">
        <v>2.2353196999999998E-2</v>
      </c>
      <c r="Z12" s="142">
        <f t="shared" si="6"/>
        <v>5.3238743878717808E-3</v>
      </c>
      <c r="AB12" s="103">
        <v>1.4893217E-2</v>
      </c>
      <c r="AC12" s="116">
        <f t="shared" si="7"/>
        <v>6.2531718314607007E-2</v>
      </c>
    </row>
    <row r="13" spans="1:30" x14ac:dyDescent="0.35">
      <c r="B13" t="s">
        <v>172</v>
      </c>
      <c r="C13">
        <v>4.6780609999999999E-3</v>
      </c>
      <c r="H13" s="107" t="s">
        <v>172</v>
      </c>
      <c r="I13">
        <f t="shared" si="0"/>
        <v>4.6780609999999999E-3</v>
      </c>
      <c r="J13">
        <f t="shared" si="1"/>
        <v>4.2199999999999998E-3</v>
      </c>
      <c r="K13">
        <f t="shared" si="2"/>
        <v>4.5899999999999995E-3</v>
      </c>
      <c r="M13">
        <f t="shared" si="3"/>
        <v>6.8999999999999997E-4</v>
      </c>
      <c r="N13">
        <f t="shared" si="4"/>
        <v>2.98E-3</v>
      </c>
      <c r="O13">
        <f t="shared" si="9"/>
        <v>3.4790000000000001E-2</v>
      </c>
      <c r="V13" s="116">
        <f t="shared" si="5"/>
        <v>5.1948061000000004E-2</v>
      </c>
      <c r="X13" s="141" t="s">
        <v>202</v>
      </c>
      <c r="Y13" s="116">
        <v>1.4449999999999999E-2</v>
      </c>
      <c r="Z13" s="142">
        <f t="shared" si="6"/>
        <v>3.4415652000359159E-3</v>
      </c>
      <c r="AB13" s="103">
        <v>1.2489317E-2</v>
      </c>
      <c r="AC13" s="116">
        <f t="shared" si="7"/>
        <v>5.2438533097706998E-2</v>
      </c>
    </row>
    <row r="14" spans="1:30" ht="15" thickBot="1" x14ac:dyDescent="0.4">
      <c r="B14" t="s">
        <v>203</v>
      </c>
      <c r="C14">
        <v>3.4691069999999999E-3</v>
      </c>
      <c r="H14" s="107" t="s">
        <v>203</v>
      </c>
      <c r="I14">
        <f t="shared" si="0"/>
        <v>3.4691069999999999E-3</v>
      </c>
      <c r="V14" s="116">
        <f t="shared" si="5"/>
        <v>3.4691069999999999E-3</v>
      </c>
      <c r="X14" s="143" t="s">
        <v>198</v>
      </c>
      <c r="Y14" s="144">
        <v>1.3726143E-2</v>
      </c>
      <c r="Z14" s="145">
        <f t="shared" si="6"/>
        <v>3.2691637425270995E-3</v>
      </c>
      <c r="AB14" s="103">
        <v>1.2060616999999999E-2</v>
      </c>
      <c r="AC14" s="116">
        <f t="shared" si="7"/>
        <v>5.0638562840007E-2</v>
      </c>
    </row>
    <row r="15" spans="1:30" x14ac:dyDescent="0.35">
      <c r="H15" s="107" t="s">
        <v>197</v>
      </c>
      <c r="J15">
        <f t="shared" si="1"/>
        <v>9.8800000000000016E-3</v>
      </c>
      <c r="K15">
        <f t="shared" si="2"/>
        <v>3.6700000000000001E-3</v>
      </c>
      <c r="M15">
        <f t="shared" si="3"/>
        <v>9.2899999999999996E-3</v>
      </c>
      <c r="N15">
        <f t="shared" si="4"/>
        <v>2.3980000000000001E-2</v>
      </c>
      <c r="O15">
        <f t="shared" si="9"/>
        <v>3.8390000000000001E-2</v>
      </c>
      <c r="P15">
        <v>1.4E-2</v>
      </c>
      <c r="Q15">
        <v>0.13100000000000001</v>
      </c>
      <c r="R15">
        <v>3.013347E-3</v>
      </c>
      <c r="T15">
        <v>1.1392360000000001E-3</v>
      </c>
      <c r="V15" s="116">
        <f t="shared" si="5"/>
        <v>0.23436258300000001</v>
      </c>
      <c r="X15" s="107" t="s">
        <v>204</v>
      </c>
      <c r="Y15" s="116">
        <v>1.1369999999999998E-2</v>
      </c>
    </row>
    <row r="16" spans="1:30" x14ac:dyDescent="0.35">
      <c r="A16" t="s">
        <v>149</v>
      </c>
      <c r="H16" s="107" t="s">
        <v>205</v>
      </c>
      <c r="J16">
        <f t="shared" si="1"/>
        <v>8.7399999999999995E-3</v>
      </c>
      <c r="L16">
        <f t="shared" si="8"/>
        <v>1.0000000000000001E-5</v>
      </c>
      <c r="V16" s="116">
        <f t="shared" si="5"/>
        <v>8.7499999999999991E-3</v>
      </c>
      <c r="X16" s="107" t="s">
        <v>206</v>
      </c>
      <c r="Y16" s="116">
        <v>9.9700000000000014E-3</v>
      </c>
      <c r="AC16" s="116">
        <f>SUM(AC5:AC14)</f>
        <v>2.5179769048734499</v>
      </c>
      <c r="AD16" s="102">
        <f>AC16/Y3</f>
        <v>0.59970807545374472</v>
      </c>
    </row>
    <row r="17" spans="1:25" x14ac:dyDescent="0.35">
      <c r="B17" t="s">
        <v>169</v>
      </c>
      <c r="C17">
        <v>1.1339999999999999E-2</v>
      </c>
      <c r="H17" s="107" t="s">
        <v>199</v>
      </c>
      <c r="J17">
        <f t="shared" si="1"/>
        <v>7.3200000000000001E-3</v>
      </c>
      <c r="K17">
        <f t="shared" si="2"/>
        <v>2.0699999999999998E-3</v>
      </c>
      <c r="L17">
        <f t="shared" si="8"/>
        <v>5.0000000000000001E-4</v>
      </c>
      <c r="M17">
        <f t="shared" si="3"/>
        <v>4.4999999999999999E-4</v>
      </c>
      <c r="N17">
        <f t="shared" si="4"/>
        <v>2.8500000000000001E-3</v>
      </c>
      <c r="O17">
        <f t="shared" si="9"/>
        <v>6.6170000000000007E-2</v>
      </c>
      <c r="P17">
        <v>2.8000000000000001E-2</v>
      </c>
      <c r="V17" s="116">
        <f t="shared" si="5"/>
        <v>0.10736000000000001</v>
      </c>
      <c r="X17" s="107" t="s">
        <v>205</v>
      </c>
      <c r="Y17" s="116">
        <v>8.7499999999999991E-3</v>
      </c>
    </row>
    <row r="18" spans="1:25" x14ac:dyDescent="0.35">
      <c r="B18" t="s">
        <v>197</v>
      </c>
      <c r="C18">
        <v>9.8800000000000016E-3</v>
      </c>
      <c r="H18" s="107" t="s">
        <v>204</v>
      </c>
      <c r="J18">
        <f t="shared" si="1"/>
        <v>4.2699999999999995E-3</v>
      </c>
      <c r="O18">
        <f t="shared" si="9"/>
        <v>7.0999999999999995E-3</v>
      </c>
      <c r="V18" s="116">
        <f t="shared" si="5"/>
        <v>1.1369999999999998E-2</v>
      </c>
      <c r="X18" s="107" t="s">
        <v>207</v>
      </c>
      <c r="Y18" s="116">
        <v>6.180741E-3</v>
      </c>
    </row>
    <row r="19" spans="1:25" x14ac:dyDescent="0.35">
      <c r="B19" t="s">
        <v>205</v>
      </c>
      <c r="C19">
        <v>8.7399999999999995E-3</v>
      </c>
      <c r="H19" s="107" t="s">
        <v>208</v>
      </c>
      <c r="J19">
        <f>VLOOKUP($H19,$B$17:$C$26,2,FALSE)</f>
        <v>1.3600000000000001E-3</v>
      </c>
      <c r="L19">
        <f>VLOOKUP($H19,$B$41:$C$50,2,FALSE)</f>
        <v>4.0000000000000003E-5</v>
      </c>
      <c r="V19" s="116">
        <f t="shared" si="5"/>
        <v>1.4000000000000002E-3</v>
      </c>
      <c r="X19" s="107" t="s">
        <v>209</v>
      </c>
      <c r="Y19" s="116">
        <v>6.0000000000000001E-3</v>
      </c>
    </row>
    <row r="20" spans="1:25" x14ac:dyDescent="0.35">
      <c r="B20" t="s">
        <v>199</v>
      </c>
      <c r="C20">
        <v>7.3200000000000001E-3</v>
      </c>
      <c r="H20" s="107" t="s">
        <v>210</v>
      </c>
      <c r="K20">
        <f>VLOOKUP($H20,$B$29:$C$38,2,FALSE)</f>
        <v>1.3900000000000002E-3</v>
      </c>
      <c r="V20" s="116">
        <f t="shared" si="5"/>
        <v>1.3900000000000002E-3</v>
      </c>
      <c r="X20" s="107" t="s">
        <v>200</v>
      </c>
      <c r="Y20" s="116">
        <v>4.8132219999999998E-3</v>
      </c>
    </row>
    <row r="21" spans="1:25" x14ac:dyDescent="0.35">
      <c r="B21" t="s">
        <v>211</v>
      </c>
      <c r="C21">
        <v>7.0099999999999997E-3</v>
      </c>
      <c r="H21" s="107" t="s">
        <v>202</v>
      </c>
      <c r="K21">
        <f>VLOOKUP($H21,$B$29:$C$38,2,FALSE)</f>
        <v>1.1799999999999998E-3</v>
      </c>
      <c r="O21">
        <f>VLOOKUP($H21,$B$78:$C$87,2,FALSE)</f>
        <v>1.3269999999999999E-2</v>
      </c>
      <c r="V21" s="116">
        <f t="shared" si="5"/>
        <v>1.4449999999999999E-2</v>
      </c>
      <c r="X21" s="107" t="s">
        <v>201</v>
      </c>
      <c r="Y21" s="116">
        <v>4.703413E-3</v>
      </c>
    </row>
    <row r="22" spans="1:25" x14ac:dyDescent="0.35">
      <c r="B22" t="s">
        <v>204</v>
      </c>
      <c r="C22">
        <v>4.2699999999999995E-3</v>
      </c>
      <c r="H22" s="107" t="s">
        <v>212</v>
      </c>
      <c r="L22">
        <f>VLOOKUP($H22,$B$41:$C$50,2,FALSE)</f>
        <v>5.0000000000000001E-4</v>
      </c>
      <c r="V22" s="116">
        <f t="shared" si="5"/>
        <v>5.0000000000000001E-4</v>
      </c>
      <c r="X22" s="107" t="s">
        <v>213</v>
      </c>
      <c r="Y22" s="116">
        <v>3.8199999999999996E-3</v>
      </c>
    </row>
    <row r="23" spans="1:25" x14ac:dyDescent="0.35">
      <c r="B23" t="s">
        <v>172</v>
      </c>
      <c r="C23">
        <v>4.2199999999999998E-3</v>
      </c>
      <c r="H23" s="107" t="s">
        <v>214</v>
      </c>
      <c r="L23">
        <f>VLOOKUP($H23,$B$41:$C$50,2,FALSE)</f>
        <v>1E-4</v>
      </c>
      <c r="V23" s="116">
        <f t="shared" si="5"/>
        <v>1E-4</v>
      </c>
      <c r="X23" s="107" t="s">
        <v>203</v>
      </c>
      <c r="Y23" s="116">
        <v>3.4691069999999999E-3</v>
      </c>
    </row>
    <row r="24" spans="1:25" x14ac:dyDescent="0.35">
      <c r="B24" t="s">
        <v>175</v>
      </c>
      <c r="C24">
        <v>1.56E-3</v>
      </c>
      <c r="H24" s="107" t="s">
        <v>213</v>
      </c>
      <c r="L24">
        <f>VLOOKUP($H24,$B$41:$C$50,2,FALSE)</f>
        <v>2.0000000000000002E-5</v>
      </c>
      <c r="M24">
        <f>VLOOKUP($H24,$B$53:$C$62,2,FALSE)</f>
        <v>2.3999999999999998E-3</v>
      </c>
      <c r="N24">
        <f>VLOOKUP($H24,$B$65:$C$74,2,FALSE)</f>
        <v>1.4E-3</v>
      </c>
      <c r="V24" s="116">
        <f t="shared" si="5"/>
        <v>3.8199999999999996E-3</v>
      </c>
      <c r="X24" s="107" t="s">
        <v>215</v>
      </c>
      <c r="Y24" s="116">
        <v>1.47E-3</v>
      </c>
    </row>
    <row r="25" spans="1:25" x14ac:dyDescent="0.35">
      <c r="B25" t="s">
        <v>216</v>
      </c>
      <c r="C25">
        <v>1.4599999999999999E-3</v>
      </c>
      <c r="H25" s="107" t="s">
        <v>217</v>
      </c>
      <c r="M25">
        <f>VLOOKUP($H25,$B$53:$C$62,2,FALSE)</f>
        <v>4.4000000000000002E-4</v>
      </c>
      <c r="V25" s="116">
        <f t="shared" si="5"/>
        <v>4.4000000000000002E-4</v>
      </c>
      <c r="X25" s="107" t="s">
        <v>208</v>
      </c>
      <c r="Y25" s="116">
        <v>1.4000000000000002E-3</v>
      </c>
    </row>
    <row r="26" spans="1:25" x14ac:dyDescent="0.35">
      <c r="B26" t="s">
        <v>208</v>
      </c>
      <c r="C26">
        <v>1.3600000000000001E-3</v>
      </c>
      <c r="H26" s="107" t="s">
        <v>218</v>
      </c>
      <c r="M26">
        <f>VLOOKUP($H26,$B$53:$C$62,2,FALSE)</f>
        <v>3.2000000000000003E-4</v>
      </c>
      <c r="V26" s="116">
        <f t="shared" si="5"/>
        <v>3.2000000000000003E-4</v>
      </c>
      <c r="X26" s="107" t="s">
        <v>210</v>
      </c>
      <c r="Y26" s="116">
        <v>1.3900000000000002E-3</v>
      </c>
    </row>
    <row r="27" spans="1:25" x14ac:dyDescent="0.35">
      <c r="H27" s="107" t="s">
        <v>207</v>
      </c>
      <c r="N27">
        <f>VLOOKUP($H27,$B$65:$C$74,2,FALSE)</f>
        <v>3.16E-3</v>
      </c>
      <c r="S27">
        <v>3.020741E-3</v>
      </c>
      <c r="V27" s="116">
        <f t="shared" si="5"/>
        <v>6.180741E-3</v>
      </c>
      <c r="X27" s="107" t="s">
        <v>212</v>
      </c>
      <c r="Y27" s="116">
        <v>5.0000000000000001E-4</v>
      </c>
    </row>
    <row r="28" spans="1:25" x14ac:dyDescent="0.35">
      <c r="A28" t="s">
        <v>152</v>
      </c>
      <c r="H28" s="107" t="s">
        <v>215</v>
      </c>
      <c r="N28">
        <f>VLOOKUP($H28,$B$65:$C$74,2,FALSE)</f>
        <v>1.47E-3</v>
      </c>
      <c r="V28" s="116">
        <f t="shared" si="5"/>
        <v>1.47E-3</v>
      </c>
      <c r="X28" s="107" t="s">
        <v>217</v>
      </c>
      <c r="Y28" s="116">
        <v>4.4000000000000002E-4</v>
      </c>
    </row>
    <row r="29" spans="1:25" x14ac:dyDescent="0.35">
      <c r="B29" t="s">
        <v>167</v>
      </c>
      <c r="C29">
        <v>1.609E-2</v>
      </c>
      <c r="H29" s="107" t="s">
        <v>206</v>
      </c>
      <c r="O29">
        <f>VLOOKUP($H29,$B$78:$C$87,2,FALSE)</f>
        <v>9.9700000000000014E-3</v>
      </c>
      <c r="V29" s="116">
        <f t="shared" si="5"/>
        <v>9.9700000000000014E-3</v>
      </c>
      <c r="X29" s="107" t="s">
        <v>218</v>
      </c>
      <c r="Y29" s="116">
        <v>3.2000000000000003E-4</v>
      </c>
    </row>
    <row r="30" spans="1:25" x14ac:dyDescent="0.35">
      <c r="B30" t="s">
        <v>216</v>
      </c>
      <c r="C30">
        <v>6.1899999999999993E-3</v>
      </c>
      <c r="H30" s="107" t="s">
        <v>209</v>
      </c>
      <c r="Q30">
        <v>6.0000000000000001E-3</v>
      </c>
      <c r="V30" s="116">
        <f t="shared" si="5"/>
        <v>6.0000000000000001E-3</v>
      </c>
      <c r="X30" s="107" t="s">
        <v>214</v>
      </c>
      <c r="Y30" s="116">
        <v>1E-4</v>
      </c>
    </row>
    <row r="31" spans="1:25" x14ac:dyDescent="0.35">
      <c r="B31" t="s">
        <v>172</v>
      </c>
      <c r="C31">
        <v>4.5899999999999995E-3</v>
      </c>
      <c r="X31" s="107"/>
    </row>
    <row r="32" spans="1:25" x14ac:dyDescent="0.35">
      <c r="B32" t="s">
        <v>197</v>
      </c>
      <c r="C32">
        <v>3.6700000000000001E-3</v>
      </c>
      <c r="Y32" s="116">
        <f>SUM(Y5:Y30)</f>
        <v>1.3050270340000003</v>
      </c>
    </row>
    <row r="33" spans="1:19" x14ac:dyDescent="0.35">
      <c r="B33" t="s">
        <v>198</v>
      </c>
      <c r="C33">
        <v>3.2199999999999998E-3</v>
      </c>
    </row>
    <row r="34" spans="1:19" x14ac:dyDescent="0.35">
      <c r="B34" t="s">
        <v>211</v>
      </c>
      <c r="C34">
        <v>2.5800000000000003E-3</v>
      </c>
    </row>
    <row r="35" spans="1:19" x14ac:dyDescent="0.35">
      <c r="B35" t="s">
        <v>199</v>
      </c>
      <c r="C35">
        <v>2.0699999999999998E-3</v>
      </c>
    </row>
    <row r="36" spans="1:19" x14ac:dyDescent="0.35">
      <c r="B36" t="s">
        <v>169</v>
      </c>
      <c r="C36">
        <v>2.0499999999999997E-3</v>
      </c>
      <c r="R36" s="107" t="s">
        <v>167</v>
      </c>
      <c r="S36" s="116">
        <v>0.38739579200000007</v>
      </c>
    </row>
    <row r="37" spans="1:19" x14ac:dyDescent="0.35">
      <c r="B37" t="s">
        <v>210</v>
      </c>
      <c r="C37">
        <v>1.3900000000000002E-3</v>
      </c>
      <c r="R37" s="107" t="s">
        <v>197</v>
      </c>
      <c r="S37" s="116">
        <v>0.23436258300000001</v>
      </c>
    </row>
    <row r="38" spans="1:19" x14ac:dyDescent="0.35">
      <c r="B38" t="s">
        <v>202</v>
      </c>
      <c r="C38">
        <v>1.1799999999999998E-3</v>
      </c>
      <c r="R38" s="107" t="s">
        <v>169</v>
      </c>
      <c r="S38" s="116">
        <v>0.18069212500000001</v>
      </c>
    </row>
    <row r="39" spans="1:19" x14ac:dyDescent="0.35">
      <c r="R39" s="107" t="s">
        <v>170</v>
      </c>
      <c r="S39" s="116">
        <v>0.139601534</v>
      </c>
    </row>
    <row r="40" spans="1:19" x14ac:dyDescent="0.35">
      <c r="A40" t="s">
        <v>196</v>
      </c>
      <c r="R40" s="107" t="s">
        <v>199</v>
      </c>
      <c r="S40" s="116">
        <v>0.10736000000000001</v>
      </c>
    </row>
    <row r="41" spans="1:19" x14ac:dyDescent="0.35">
      <c r="B41" t="s">
        <v>167</v>
      </c>
      <c r="C41">
        <v>6.9500000000000004E-3</v>
      </c>
      <c r="R41" s="107" t="s">
        <v>174</v>
      </c>
      <c r="S41" s="116">
        <v>8.8441116E-2</v>
      </c>
    </row>
    <row r="42" spans="1:19" x14ac:dyDescent="0.35">
      <c r="B42" t="s">
        <v>199</v>
      </c>
      <c r="C42">
        <v>5.0000000000000001E-4</v>
      </c>
      <c r="R42" s="107" t="s">
        <v>172</v>
      </c>
      <c r="S42" s="116">
        <v>5.1948061000000004E-2</v>
      </c>
    </row>
    <row r="43" spans="1:19" x14ac:dyDescent="0.35">
      <c r="B43" t="s">
        <v>198</v>
      </c>
      <c r="C43">
        <v>5.0000000000000001E-4</v>
      </c>
      <c r="R43" s="107" t="s">
        <v>175</v>
      </c>
      <c r="S43" s="116">
        <v>2.2353196999999998E-2</v>
      </c>
    </row>
    <row r="44" spans="1:19" x14ac:dyDescent="0.35">
      <c r="B44" t="s">
        <v>212</v>
      </c>
      <c r="C44">
        <v>5.0000000000000001E-4</v>
      </c>
      <c r="R44" s="107" t="s">
        <v>202</v>
      </c>
      <c r="S44" s="116">
        <v>1.4449999999999999E-2</v>
      </c>
    </row>
    <row r="45" spans="1:19" x14ac:dyDescent="0.35">
      <c r="B45" t="s">
        <v>214</v>
      </c>
      <c r="C45">
        <v>1E-4</v>
      </c>
      <c r="R45" s="107" t="s">
        <v>198</v>
      </c>
      <c r="S45" s="116">
        <v>1.3726143E-2</v>
      </c>
    </row>
    <row r="46" spans="1:19" x14ac:dyDescent="0.35">
      <c r="B46" t="s">
        <v>211</v>
      </c>
      <c r="C46">
        <v>5.9999999999999995E-5</v>
      </c>
      <c r="R46" s="107" t="s">
        <v>204</v>
      </c>
      <c r="S46" s="116">
        <v>1.1369999999999998E-2</v>
      </c>
    </row>
    <row r="47" spans="1:19" x14ac:dyDescent="0.35">
      <c r="B47" t="s">
        <v>208</v>
      </c>
      <c r="C47">
        <v>4.0000000000000003E-5</v>
      </c>
      <c r="R47" s="107" t="s">
        <v>206</v>
      </c>
      <c r="S47" s="116">
        <v>9.9700000000000014E-3</v>
      </c>
    </row>
    <row r="48" spans="1:19" x14ac:dyDescent="0.35">
      <c r="B48" t="s">
        <v>213</v>
      </c>
      <c r="C48">
        <v>2.0000000000000002E-5</v>
      </c>
      <c r="R48" s="107" t="s">
        <v>205</v>
      </c>
      <c r="S48" s="116">
        <v>8.7499999999999991E-3</v>
      </c>
    </row>
    <row r="49" spans="1:19" x14ac:dyDescent="0.35">
      <c r="B49" t="s">
        <v>205</v>
      </c>
      <c r="C49">
        <v>1.0000000000000001E-5</v>
      </c>
      <c r="R49" s="107" t="s">
        <v>207</v>
      </c>
      <c r="S49" s="116">
        <v>6.180741E-3</v>
      </c>
    </row>
    <row r="50" spans="1:19" x14ac:dyDescent="0.35">
      <c r="B50" t="s">
        <v>175</v>
      </c>
      <c r="C50">
        <v>1.0000000000000001E-5</v>
      </c>
      <c r="R50" s="107" t="s">
        <v>209</v>
      </c>
      <c r="S50" s="116">
        <v>6.0000000000000001E-3</v>
      </c>
    </row>
    <row r="51" spans="1:19" x14ac:dyDescent="0.35">
      <c r="R51" s="107" t="s">
        <v>200</v>
      </c>
      <c r="S51" s="116">
        <v>4.8132219999999998E-3</v>
      </c>
    </row>
    <row r="52" spans="1:19" x14ac:dyDescent="0.35">
      <c r="A52" t="s">
        <v>185</v>
      </c>
      <c r="R52" s="107" t="s">
        <v>201</v>
      </c>
      <c r="S52" s="116">
        <v>4.703413E-3</v>
      </c>
    </row>
    <row r="53" spans="1:19" x14ac:dyDescent="0.35">
      <c r="B53" t="s">
        <v>197</v>
      </c>
      <c r="C53">
        <v>9.2899999999999996E-3</v>
      </c>
      <c r="R53" s="107" t="s">
        <v>213</v>
      </c>
      <c r="S53" s="116">
        <v>3.8199999999999996E-3</v>
      </c>
    </row>
    <row r="54" spans="1:19" x14ac:dyDescent="0.35">
      <c r="B54" t="s">
        <v>167</v>
      </c>
      <c r="C54">
        <v>5.4800000000000005E-3</v>
      </c>
      <c r="R54" s="107" t="s">
        <v>203</v>
      </c>
      <c r="S54" s="116">
        <v>3.4691069999999999E-3</v>
      </c>
    </row>
    <row r="55" spans="1:19" x14ac:dyDescent="0.35">
      <c r="B55" t="s">
        <v>169</v>
      </c>
      <c r="C55">
        <v>4.4099999999999999E-3</v>
      </c>
      <c r="R55" s="107" t="s">
        <v>215</v>
      </c>
      <c r="S55" s="116">
        <v>1.47E-3</v>
      </c>
    </row>
    <row r="56" spans="1:19" x14ac:dyDescent="0.35">
      <c r="B56" t="s">
        <v>216</v>
      </c>
      <c r="C56">
        <v>2.4199999999999998E-3</v>
      </c>
      <c r="R56" s="107" t="s">
        <v>208</v>
      </c>
      <c r="S56" s="116">
        <v>1.4000000000000002E-3</v>
      </c>
    </row>
    <row r="57" spans="1:19" x14ac:dyDescent="0.35">
      <c r="B57" t="s">
        <v>213</v>
      </c>
      <c r="C57">
        <v>2.3999999999999998E-3</v>
      </c>
      <c r="R57" s="107" t="s">
        <v>210</v>
      </c>
      <c r="S57" s="116">
        <v>1.3900000000000002E-3</v>
      </c>
    </row>
    <row r="58" spans="1:19" x14ac:dyDescent="0.35">
      <c r="B58" t="s">
        <v>172</v>
      </c>
      <c r="C58">
        <v>6.8999999999999997E-4</v>
      </c>
      <c r="R58" s="107" t="s">
        <v>212</v>
      </c>
      <c r="S58" s="116">
        <v>5.0000000000000001E-4</v>
      </c>
    </row>
    <row r="59" spans="1:19" x14ac:dyDescent="0.35">
      <c r="B59" t="s">
        <v>211</v>
      </c>
      <c r="C59">
        <v>5.6999999999999998E-4</v>
      </c>
      <c r="R59" s="107" t="s">
        <v>217</v>
      </c>
      <c r="S59" s="116">
        <v>4.4000000000000002E-4</v>
      </c>
    </row>
    <row r="60" spans="1:19" x14ac:dyDescent="0.35">
      <c r="B60" t="s">
        <v>199</v>
      </c>
      <c r="C60">
        <v>4.4999999999999999E-4</v>
      </c>
      <c r="R60" s="107" t="s">
        <v>218</v>
      </c>
      <c r="S60" s="116">
        <v>3.2000000000000003E-4</v>
      </c>
    </row>
    <row r="61" spans="1:19" x14ac:dyDescent="0.35">
      <c r="B61" t="s">
        <v>217</v>
      </c>
      <c r="C61">
        <v>4.4000000000000002E-4</v>
      </c>
      <c r="R61" s="107" t="s">
        <v>214</v>
      </c>
      <c r="S61" s="116">
        <v>1E-4</v>
      </c>
    </row>
    <row r="62" spans="1:19" x14ac:dyDescent="0.35">
      <c r="B62" t="s">
        <v>218</v>
      </c>
      <c r="C62">
        <v>3.2000000000000003E-4</v>
      </c>
    </row>
    <row r="64" spans="1:19" x14ac:dyDescent="0.35">
      <c r="A64" t="s">
        <v>163</v>
      </c>
    </row>
    <row r="65" spans="1:3" x14ac:dyDescent="0.35">
      <c r="B65" t="s">
        <v>167</v>
      </c>
      <c r="C65">
        <v>6.9620000000000001E-2</v>
      </c>
    </row>
    <row r="66" spans="1:3" x14ac:dyDescent="0.35">
      <c r="B66" t="s">
        <v>197</v>
      </c>
      <c r="C66">
        <v>2.3980000000000001E-2</v>
      </c>
    </row>
    <row r="67" spans="1:3" x14ac:dyDescent="0.35">
      <c r="B67" t="s">
        <v>169</v>
      </c>
      <c r="C67">
        <v>1.5429999999999999E-2</v>
      </c>
    </row>
    <row r="68" spans="1:3" x14ac:dyDescent="0.35">
      <c r="B68" t="s">
        <v>211</v>
      </c>
      <c r="C68">
        <v>1.193E-2</v>
      </c>
    </row>
    <row r="69" spans="1:3" x14ac:dyDescent="0.35">
      <c r="B69" t="s">
        <v>216</v>
      </c>
      <c r="C69">
        <v>1.072E-2</v>
      </c>
    </row>
    <row r="70" spans="1:3" x14ac:dyDescent="0.35">
      <c r="B70" t="s">
        <v>207</v>
      </c>
      <c r="C70">
        <v>3.16E-3</v>
      </c>
    </row>
    <row r="71" spans="1:3" x14ac:dyDescent="0.35">
      <c r="B71" t="s">
        <v>172</v>
      </c>
      <c r="C71">
        <v>2.98E-3</v>
      </c>
    </row>
    <row r="72" spans="1:3" x14ac:dyDescent="0.35">
      <c r="B72" t="s">
        <v>199</v>
      </c>
      <c r="C72">
        <v>2.8500000000000001E-3</v>
      </c>
    </row>
    <row r="73" spans="1:3" x14ac:dyDescent="0.35">
      <c r="B73" t="s">
        <v>215</v>
      </c>
      <c r="C73">
        <v>1.47E-3</v>
      </c>
    </row>
    <row r="74" spans="1:3" x14ac:dyDescent="0.35">
      <c r="B74" t="s">
        <v>213</v>
      </c>
      <c r="C74">
        <v>1.4E-3</v>
      </c>
    </row>
    <row r="76" spans="1:3" x14ac:dyDescent="0.35">
      <c r="A76" t="s">
        <v>164</v>
      </c>
    </row>
    <row r="78" spans="1:3" x14ac:dyDescent="0.35">
      <c r="B78" t="s">
        <v>167</v>
      </c>
      <c r="C78">
        <v>9.178E-2</v>
      </c>
    </row>
    <row r="79" spans="1:3" x14ac:dyDescent="0.35">
      <c r="B79" t="s">
        <v>199</v>
      </c>
      <c r="C79">
        <v>6.6170000000000007E-2</v>
      </c>
    </row>
    <row r="80" spans="1:3" x14ac:dyDescent="0.35">
      <c r="B80" t="s">
        <v>211</v>
      </c>
      <c r="C80">
        <v>4.573E-2</v>
      </c>
    </row>
    <row r="81" spans="2:3" x14ac:dyDescent="0.35">
      <c r="B81" t="s">
        <v>169</v>
      </c>
      <c r="C81">
        <v>4.5240000000000002E-2</v>
      </c>
    </row>
    <row r="82" spans="2:3" x14ac:dyDescent="0.35">
      <c r="B82" t="s">
        <v>197</v>
      </c>
      <c r="C82">
        <v>3.8390000000000001E-2</v>
      </c>
    </row>
    <row r="83" spans="2:3" x14ac:dyDescent="0.35">
      <c r="B83" t="s">
        <v>172</v>
      </c>
      <c r="C83">
        <v>3.4790000000000001E-2</v>
      </c>
    </row>
    <row r="84" spans="2:3" x14ac:dyDescent="0.35">
      <c r="B84" t="s">
        <v>202</v>
      </c>
      <c r="C84">
        <v>1.3269999999999999E-2</v>
      </c>
    </row>
    <row r="85" spans="2:3" x14ac:dyDescent="0.35">
      <c r="B85" t="s">
        <v>175</v>
      </c>
      <c r="C85">
        <v>1.259E-2</v>
      </c>
    </row>
    <row r="86" spans="2:3" x14ac:dyDescent="0.35">
      <c r="B86" t="s">
        <v>206</v>
      </c>
      <c r="C86">
        <v>9.9700000000000014E-3</v>
      </c>
    </row>
    <row r="87" spans="2:3" x14ac:dyDescent="0.35">
      <c r="B87" t="s">
        <v>204</v>
      </c>
      <c r="C87">
        <v>7.0999999999999995E-3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90DF-744A-400A-81AA-D486A4554497}">
  <dimension ref="B3:P120"/>
  <sheetViews>
    <sheetView topLeftCell="A88" workbookViewId="0">
      <selection activeCell="U16" sqref="U16"/>
    </sheetView>
  </sheetViews>
  <sheetFormatPr defaultRowHeight="14.5" x14ac:dyDescent="0.35"/>
  <cols>
    <col min="3" max="3" width="8.7265625" style="107"/>
    <col min="4" max="4" width="7.453125" style="111" bestFit="1" customWidth="1"/>
    <col min="5" max="5" width="10.7265625" style="111" bestFit="1" customWidth="1"/>
    <col min="6" max="6" width="8.81640625" style="111" customWidth="1"/>
    <col min="7" max="7" width="8.7265625" style="148"/>
    <col min="8" max="8" width="16.453125" style="111" bestFit="1" customWidth="1"/>
    <col min="9" max="9" width="16.81640625" style="111" bestFit="1" customWidth="1"/>
    <col min="10" max="11" width="16.81640625" style="111" customWidth="1"/>
    <col min="12" max="12" width="14.453125" style="111" bestFit="1" customWidth="1"/>
    <col min="13" max="13" width="16.1796875" style="111" bestFit="1" customWidth="1"/>
    <col min="14" max="14" width="11.7265625" style="111" bestFit="1" customWidth="1"/>
    <col min="15" max="15" width="9.1796875" style="111" customWidth="1"/>
  </cols>
  <sheetData>
    <row r="3" spans="2:7" x14ac:dyDescent="0.35">
      <c r="B3" s="146"/>
      <c r="C3" s="147"/>
    </row>
    <row r="4" spans="2:7" x14ac:dyDescent="0.35">
      <c r="B4" s="109"/>
      <c r="C4" s="110"/>
    </row>
    <row r="5" spans="2:7" x14ac:dyDescent="0.35">
      <c r="B5" s="109"/>
      <c r="C5" s="110"/>
      <c r="F5" s="111" t="s">
        <v>219</v>
      </c>
    </row>
    <row r="6" spans="2:7" x14ac:dyDescent="0.35">
      <c r="B6" s="109"/>
      <c r="C6" s="107" t="s">
        <v>20</v>
      </c>
      <c r="D6" s="111" t="s">
        <v>143</v>
      </c>
      <c r="F6" s="111">
        <v>13.41</v>
      </c>
    </row>
    <row r="7" spans="2:7" x14ac:dyDescent="0.35">
      <c r="B7" s="109"/>
    </row>
    <row r="8" spans="2:7" x14ac:dyDescent="0.35">
      <c r="B8" s="109"/>
      <c r="C8" s="107" t="s">
        <v>148</v>
      </c>
      <c r="D8" s="114">
        <v>0.18965517241379309</v>
      </c>
      <c r="F8" s="112">
        <f>$F$6*D8</f>
        <v>2.5432758620689655</v>
      </c>
    </row>
    <row r="9" spans="2:7" x14ac:dyDescent="0.35">
      <c r="B9" s="109"/>
      <c r="C9" s="107" t="s">
        <v>149</v>
      </c>
      <c r="D9" s="114">
        <v>0.14106583072100315</v>
      </c>
      <c r="F9" s="112">
        <f t="shared" ref="F9:F18" si="0">$F$6*D9</f>
        <v>1.8916927899686522</v>
      </c>
    </row>
    <row r="10" spans="2:7" x14ac:dyDescent="0.35">
      <c r="B10" s="111"/>
      <c r="C10" s="107" t="s">
        <v>150</v>
      </c>
      <c r="D10" s="114">
        <v>8.9341692789968646E-2</v>
      </c>
      <c r="F10" s="112">
        <f t="shared" si="0"/>
        <v>1.1980721003134795</v>
      </c>
    </row>
    <row r="11" spans="2:7" x14ac:dyDescent="0.35">
      <c r="B11" s="111"/>
      <c r="C11" s="107" t="s">
        <v>151</v>
      </c>
      <c r="D11" s="114">
        <v>3.4482758620689655E-2</v>
      </c>
      <c r="F11" s="112">
        <f t="shared" si="0"/>
        <v>0.46241379310344827</v>
      </c>
    </row>
    <row r="12" spans="2:7" x14ac:dyDescent="0.35">
      <c r="B12" s="111"/>
      <c r="C12" s="107" t="s">
        <v>152</v>
      </c>
      <c r="D12" s="114">
        <v>2.8213166144200625E-2</v>
      </c>
      <c r="F12" s="112">
        <f t="shared" si="0"/>
        <v>0.3783385579937304</v>
      </c>
    </row>
    <row r="13" spans="2:7" x14ac:dyDescent="0.35">
      <c r="B13" s="111"/>
      <c r="C13" s="107" t="s">
        <v>154</v>
      </c>
      <c r="D13" s="114">
        <v>1.5673981191222573E-2</v>
      </c>
      <c r="F13" s="112">
        <f t="shared" si="0"/>
        <v>0.21018808777429471</v>
      </c>
      <c r="G13" s="149">
        <f>SUM(J94:J95)</f>
        <v>0.12011688400000001</v>
      </c>
    </row>
    <row r="14" spans="2:7" x14ac:dyDescent="0.35">
      <c r="B14" s="111"/>
      <c r="C14" s="107" t="s">
        <v>156</v>
      </c>
      <c r="D14" s="114">
        <v>1.3322884012539187E-2</v>
      </c>
      <c r="F14" s="112">
        <f t="shared" si="0"/>
        <v>0.1786598746081505</v>
      </c>
      <c r="G14" s="149">
        <f>SUM(J29:J30)</f>
        <v>0.215973468</v>
      </c>
    </row>
    <row r="15" spans="2:7" x14ac:dyDescent="0.35">
      <c r="C15" s="107" t="s">
        <v>157</v>
      </c>
      <c r="D15" s="114">
        <v>1.0971786833855801E-2</v>
      </c>
      <c r="F15" s="112">
        <f t="shared" si="0"/>
        <v>0.14713166144200629</v>
      </c>
      <c r="G15" s="149">
        <f>SUM(J50)</f>
        <v>8.3753517E-2</v>
      </c>
    </row>
    <row r="16" spans="2:7" x14ac:dyDescent="0.35">
      <c r="C16" s="107" t="s">
        <v>159</v>
      </c>
      <c r="D16" s="114">
        <v>9.4043887147335428E-3</v>
      </c>
      <c r="F16" s="112">
        <f t="shared" si="0"/>
        <v>0.12611285266457681</v>
      </c>
      <c r="G16" s="149">
        <f>SUM(J79)</f>
        <v>8.0055917000000004E-2</v>
      </c>
    </row>
    <row r="17" spans="2:16" x14ac:dyDescent="0.35">
      <c r="C17" s="107" t="s">
        <v>160</v>
      </c>
      <c r="D17" s="114">
        <v>6.2695924764890288E-3</v>
      </c>
      <c r="F17" s="112">
        <f t="shared" si="0"/>
        <v>8.4075235109717872E-2</v>
      </c>
      <c r="G17" s="149">
        <f>SUM(J64)</f>
        <v>2.1093368000000001E-2</v>
      </c>
    </row>
    <row r="18" spans="2:16" x14ac:dyDescent="0.35">
      <c r="C18" s="107" t="s">
        <v>161</v>
      </c>
      <c r="D18" s="114">
        <v>0.4615987460815047</v>
      </c>
      <c r="F18" s="112">
        <f t="shared" si="0"/>
        <v>6.1900391849529779</v>
      </c>
    </row>
    <row r="21" spans="2:16" x14ac:dyDescent="0.35">
      <c r="C21" s="107" t="s">
        <v>141</v>
      </c>
      <c r="D21" s="128">
        <v>0.31309999999999999</v>
      </c>
      <c r="F21" s="112">
        <f>F6*D21</f>
        <v>4.198671</v>
      </c>
    </row>
    <row r="26" spans="2:16" x14ac:dyDescent="0.35">
      <c r="B26" s="150" t="s">
        <v>220</v>
      </c>
      <c r="D26" s="151" t="s">
        <v>221</v>
      </c>
      <c r="E26" s="151" t="s">
        <v>222</v>
      </c>
      <c r="F26" s="151" t="s">
        <v>223</v>
      </c>
      <c r="G26" s="152" t="s">
        <v>224</v>
      </c>
      <c r="H26" s="151" t="s">
        <v>225</v>
      </c>
      <c r="I26" s="151" t="s">
        <v>226</v>
      </c>
      <c r="J26" s="151" t="s">
        <v>147</v>
      </c>
      <c r="K26" s="151" t="s">
        <v>227</v>
      </c>
      <c r="L26" s="151" t="s">
        <v>228</v>
      </c>
      <c r="M26" s="151" t="s">
        <v>229</v>
      </c>
      <c r="N26" s="151" t="s">
        <v>230</v>
      </c>
      <c r="O26" s="151" t="s">
        <v>231</v>
      </c>
    </row>
    <row r="27" spans="2:16" x14ac:dyDescent="0.35">
      <c r="B27" s="107"/>
    </row>
    <row r="28" spans="2:16" x14ac:dyDescent="0.35">
      <c r="D28" s="111">
        <v>2021</v>
      </c>
      <c r="E28" s="111" t="s">
        <v>141</v>
      </c>
      <c r="F28" s="111" t="s">
        <v>78</v>
      </c>
      <c r="G28" s="148" t="s">
        <v>232</v>
      </c>
      <c r="H28" s="111">
        <v>851220</v>
      </c>
      <c r="I28" s="153">
        <v>249502678</v>
      </c>
      <c r="J28" s="149">
        <f>I28/10^9</f>
        <v>0.24950267800000001</v>
      </c>
      <c r="K28" s="114">
        <f>J28/$F$21</f>
        <v>5.942420303948559E-2</v>
      </c>
      <c r="L28" s="154">
        <v>6066138</v>
      </c>
      <c r="M28" s="111" t="s">
        <v>233</v>
      </c>
      <c r="N28" s="154">
        <v>243813336</v>
      </c>
      <c r="O28" s="111">
        <v>6</v>
      </c>
    </row>
    <row r="29" spans="2:16" x14ac:dyDescent="0.35">
      <c r="D29" s="111">
        <v>2021</v>
      </c>
      <c r="E29" s="111" t="s">
        <v>141</v>
      </c>
      <c r="F29" s="111" t="s">
        <v>78</v>
      </c>
      <c r="G29" s="148" t="s">
        <v>232</v>
      </c>
      <c r="H29" s="111">
        <v>851290</v>
      </c>
      <c r="I29" s="153">
        <v>203523468</v>
      </c>
      <c r="J29" s="149">
        <f t="shared" ref="J29:J45" si="1">I29/10^9</f>
        <v>0.20352346800000001</v>
      </c>
      <c r="K29" s="114">
        <f t="shared" ref="K29:K30" si="2">J29/$F$21</f>
        <v>4.8473306910686742E-2</v>
      </c>
      <c r="L29" s="154">
        <v>6440170</v>
      </c>
      <c r="N29" s="154"/>
      <c r="P29" s="102">
        <f>0/4.2</f>
        <v>0</v>
      </c>
    </row>
    <row r="30" spans="2:16" x14ac:dyDescent="0.35">
      <c r="D30" s="111">
        <v>2021</v>
      </c>
      <c r="E30" s="111" t="s">
        <v>141</v>
      </c>
      <c r="F30" s="111" t="s">
        <v>78</v>
      </c>
      <c r="G30" s="148" t="s">
        <v>232</v>
      </c>
      <c r="H30" s="111">
        <v>85392940</v>
      </c>
      <c r="I30" s="153">
        <v>12.45</v>
      </c>
      <c r="J30" s="149">
        <f>I30/10^3</f>
        <v>1.2449999999999999E-2</v>
      </c>
      <c r="K30" s="114">
        <f t="shared" si="2"/>
        <v>2.9652239958786958E-3</v>
      </c>
      <c r="L30" s="154"/>
      <c r="M30" s="111" t="s">
        <v>233</v>
      </c>
      <c r="N30" s="154">
        <v>126212.31</v>
      </c>
    </row>
    <row r="31" spans="2:16" x14ac:dyDescent="0.35">
      <c r="I31" s="153"/>
      <c r="J31" s="149"/>
    </row>
    <row r="32" spans="2:16" x14ac:dyDescent="0.35">
      <c r="D32" s="111">
        <v>2021</v>
      </c>
      <c r="E32" s="111" t="s">
        <v>141</v>
      </c>
      <c r="F32" s="111" t="s">
        <v>78</v>
      </c>
      <c r="G32" s="148" t="s">
        <v>167</v>
      </c>
      <c r="H32" s="111">
        <v>851220</v>
      </c>
      <c r="I32" s="153">
        <v>37414791</v>
      </c>
      <c r="J32" s="149">
        <f t="shared" si="1"/>
        <v>3.7414791000000003E-2</v>
      </c>
      <c r="K32" s="114">
        <f>J32/J$28</f>
        <v>0.14995747260075501</v>
      </c>
      <c r="L32" s="149">
        <v>909662</v>
      </c>
      <c r="M32" s="111" t="s">
        <v>233</v>
      </c>
      <c r="N32" s="154">
        <v>129947600</v>
      </c>
    </row>
    <row r="33" spans="2:15" x14ac:dyDescent="0.35">
      <c r="D33" s="111">
        <v>2021</v>
      </c>
      <c r="E33" s="111" t="s">
        <v>141</v>
      </c>
      <c r="F33" s="111" t="s">
        <v>78</v>
      </c>
      <c r="G33" s="148" t="s">
        <v>167</v>
      </c>
      <c r="H33" s="111">
        <v>851290</v>
      </c>
      <c r="I33" s="153">
        <v>86243719</v>
      </c>
      <c r="J33" s="149">
        <f t="shared" si="1"/>
        <v>8.6243718999999996E-2</v>
      </c>
      <c r="K33" s="114">
        <f>J33/J$29</f>
        <v>0.42375319095879393</v>
      </c>
      <c r="L33" s="154">
        <v>2417780</v>
      </c>
    </row>
    <row r="34" spans="2:15" x14ac:dyDescent="0.35">
      <c r="I34" s="153"/>
      <c r="J34" s="149"/>
      <c r="K34" s="114"/>
      <c r="L34" s="149"/>
      <c r="N34" s="154"/>
    </row>
    <row r="35" spans="2:15" x14ac:dyDescent="0.35">
      <c r="D35" s="111">
        <v>2021</v>
      </c>
      <c r="E35" s="111" t="s">
        <v>141</v>
      </c>
      <c r="F35" s="111" t="s">
        <v>78</v>
      </c>
      <c r="G35" s="148" t="s">
        <v>170</v>
      </c>
      <c r="H35" s="111">
        <v>851220</v>
      </c>
      <c r="I35" s="153">
        <v>25210695</v>
      </c>
      <c r="J35" s="149">
        <f t="shared" si="1"/>
        <v>2.5210695000000002E-2</v>
      </c>
      <c r="K35" s="114">
        <f>J35/J$28</f>
        <v>0.10104378518935175</v>
      </c>
      <c r="L35" s="154">
        <v>612945</v>
      </c>
      <c r="M35" s="111" t="s">
        <v>233</v>
      </c>
      <c r="N35" s="154">
        <v>1275206</v>
      </c>
    </row>
    <row r="36" spans="2:15" x14ac:dyDescent="0.35">
      <c r="D36" s="111">
        <v>2021</v>
      </c>
      <c r="E36" s="111" t="s">
        <v>141</v>
      </c>
      <c r="F36" s="111" t="s">
        <v>78</v>
      </c>
      <c r="G36" s="148" t="s">
        <v>170</v>
      </c>
      <c r="H36" s="111">
        <v>851290</v>
      </c>
      <c r="I36" s="153">
        <v>5465532</v>
      </c>
      <c r="J36" s="149">
        <f t="shared" si="1"/>
        <v>5.4655320000000004E-3</v>
      </c>
      <c r="K36" s="114">
        <f>J36/J$29</f>
        <v>2.6854554188316011E-2</v>
      </c>
      <c r="L36" s="154">
        <v>227745</v>
      </c>
    </row>
    <row r="37" spans="2:15" x14ac:dyDescent="0.35">
      <c r="I37" s="153"/>
      <c r="J37" s="149"/>
    </row>
    <row r="38" spans="2:15" x14ac:dyDescent="0.35">
      <c r="D38" s="111">
        <v>2021</v>
      </c>
      <c r="E38" s="111" t="s">
        <v>141</v>
      </c>
      <c r="F38" s="111" t="s">
        <v>78</v>
      </c>
      <c r="G38" s="148" t="s">
        <v>169</v>
      </c>
      <c r="H38" s="111">
        <v>851220</v>
      </c>
      <c r="I38" s="153">
        <v>4851805</v>
      </c>
      <c r="J38" s="149">
        <f t="shared" si="1"/>
        <v>4.8518049999999998E-3</v>
      </c>
      <c r="K38" s="114">
        <f>J38/J$28</f>
        <v>1.9445903502486653E-2</v>
      </c>
      <c r="L38" s="155">
        <v>117961</v>
      </c>
      <c r="M38" s="111" t="s">
        <v>233</v>
      </c>
      <c r="N38" s="154">
        <v>524291</v>
      </c>
    </row>
    <row r="39" spans="2:15" x14ac:dyDescent="0.35">
      <c r="D39" s="111">
        <v>2021</v>
      </c>
      <c r="E39" s="111" t="s">
        <v>141</v>
      </c>
      <c r="F39" s="111" t="s">
        <v>78</v>
      </c>
      <c r="G39" s="148" t="s">
        <v>169</v>
      </c>
      <c r="H39" s="111">
        <v>851290</v>
      </c>
      <c r="I39" s="153">
        <v>10560038</v>
      </c>
      <c r="J39" s="149">
        <f t="shared" si="1"/>
        <v>1.0560038000000001E-2</v>
      </c>
      <c r="K39" s="114">
        <f>J39/J$29</f>
        <v>5.1886095022712568E-2</v>
      </c>
      <c r="L39" s="154">
        <v>268006</v>
      </c>
    </row>
    <row r="40" spans="2:15" x14ac:dyDescent="0.35">
      <c r="I40" s="153"/>
    </row>
    <row r="41" spans="2:15" x14ac:dyDescent="0.35">
      <c r="D41" s="111">
        <v>2021</v>
      </c>
      <c r="E41" s="111" t="s">
        <v>141</v>
      </c>
      <c r="F41" s="111" t="s">
        <v>78</v>
      </c>
      <c r="G41" s="148" t="s">
        <v>234</v>
      </c>
      <c r="H41" s="111">
        <v>851220</v>
      </c>
      <c r="I41" s="153">
        <v>80559962</v>
      </c>
      <c r="J41" s="149">
        <f t="shared" si="1"/>
        <v>8.0559961999999999E-2</v>
      </c>
      <c r="K41" s="114">
        <f>J41/J$28</f>
        <v>0.32288215359355782</v>
      </c>
      <c r="L41" s="154">
        <v>1958648</v>
      </c>
      <c r="M41" s="111" t="s">
        <v>233</v>
      </c>
      <c r="N41" s="154">
        <v>102416200</v>
      </c>
    </row>
    <row r="42" spans="2:15" x14ac:dyDescent="0.35">
      <c r="C42"/>
      <c r="D42">
        <v>2021</v>
      </c>
      <c r="E42" t="s">
        <v>141</v>
      </c>
      <c r="F42" t="s">
        <v>78</v>
      </c>
      <c r="G42" s="148" t="s">
        <v>234</v>
      </c>
      <c r="H42" s="155">
        <v>851290</v>
      </c>
      <c r="I42" s="156">
        <v>50930577</v>
      </c>
      <c r="J42" s="149">
        <f t="shared" si="1"/>
        <v>5.0930576999999998E-2</v>
      </c>
      <c r="K42" s="114">
        <f>J42/J$29</f>
        <v>0.25024424701725306</v>
      </c>
      <c r="L42" s="157">
        <v>2318400</v>
      </c>
      <c r="M42"/>
      <c r="N42"/>
      <c r="O42"/>
    </row>
    <row r="43" spans="2:15" x14ac:dyDescent="0.35">
      <c r="B43" s="107"/>
      <c r="I43" s="153"/>
    </row>
    <row r="44" spans="2:15" x14ac:dyDescent="0.35">
      <c r="D44" s="111">
        <v>2021</v>
      </c>
      <c r="E44" s="111" t="s">
        <v>141</v>
      </c>
      <c r="F44" s="111" t="s">
        <v>78</v>
      </c>
      <c r="G44" s="148" t="s">
        <v>235</v>
      </c>
      <c r="H44" s="111">
        <v>851220</v>
      </c>
      <c r="I44" s="153">
        <v>670</v>
      </c>
      <c r="J44" s="149">
        <f t="shared" si="1"/>
        <v>6.7000000000000004E-7</v>
      </c>
      <c r="K44" s="114">
        <f>J44/J$28</f>
        <v>2.6853419184542783E-6</v>
      </c>
      <c r="L44" s="154">
        <v>16</v>
      </c>
      <c r="M44" s="111" t="s">
        <v>233</v>
      </c>
      <c r="N44" s="154">
        <v>9</v>
      </c>
    </row>
    <row r="45" spans="2:15" x14ac:dyDescent="0.35">
      <c r="D45" s="111">
        <v>2021</v>
      </c>
      <c r="E45" s="111" t="s">
        <v>141</v>
      </c>
      <c r="F45" s="111" t="s">
        <v>78</v>
      </c>
      <c r="G45" s="148" t="s">
        <v>235</v>
      </c>
      <c r="H45" s="111">
        <v>851290</v>
      </c>
      <c r="I45" s="153">
        <v>5985816</v>
      </c>
      <c r="J45" s="149">
        <f t="shared" si="1"/>
        <v>5.9858159999999997E-3</v>
      </c>
      <c r="K45" s="114">
        <f>J45/J$29</f>
        <v>2.9410937514095424E-2</v>
      </c>
      <c r="L45" s="154">
        <v>174025</v>
      </c>
    </row>
    <row r="46" spans="2:15" x14ac:dyDescent="0.35">
      <c r="I46" s="154"/>
      <c r="J46" s="149"/>
      <c r="K46" s="114"/>
      <c r="L46" s="154"/>
      <c r="N46" s="154"/>
    </row>
    <row r="48" spans="2:15" x14ac:dyDescent="0.35">
      <c r="B48" s="150" t="s">
        <v>236</v>
      </c>
      <c r="D48" s="151" t="s">
        <v>221</v>
      </c>
      <c r="E48" s="151" t="s">
        <v>222</v>
      </c>
      <c r="F48" s="151" t="s">
        <v>223</v>
      </c>
      <c r="G48" s="152" t="s">
        <v>224</v>
      </c>
      <c r="H48" s="151" t="s">
        <v>225</v>
      </c>
      <c r="I48" s="151" t="s">
        <v>226</v>
      </c>
      <c r="J48" s="151" t="s">
        <v>147</v>
      </c>
      <c r="K48" s="151" t="s">
        <v>227</v>
      </c>
      <c r="L48" s="151" t="s">
        <v>228</v>
      </c>
      <c r="M48" s="151" t="s">
        <v>229</v>
      </c>
      <c r="N48" s="151" t="s">
        <v>230</v>
      </c>
      <c r="O48" s="151" t="s">
        <v>231</v>
      </c>
    </row>
    <row r="49" spans="2:15" x14ac:dyDescent="0.35">
      <c r="B49" s="107"/>
    </row>
    <row r="50" spans="2:15" x14ac:dyDescent="0.35">
      <c r="D50" s="111">
        <v>2021</v>
      </c>
      <c r="E50" s="111" t="s">
        <v>141</v>
      </c>
      <c r="F50" s="111" t="s">
        <v>78</v>
      </c>
      <c r="G50" s="148" t="s">
        <v>232</v>
      </c>
      <c r="H50" s="111">
        <v>851140</v>
      </c>
      <c r="I50" s="153">
        <v>83753517</v>
      </c>
      <c r="J50" s="149">
        <f>I50/10^9</f>
        <v>8.3753517E-2</v>
      </c>
      <c r="K50" s="114">
        <f>J50/$F$21</f>
        <v>1.9947625570091106E-2</v>
      </c>
      <c r="L50" s="154">
        <v>6114311</v>
      </c>
      <c r="M50" s="111" t="s">
        <v>233</v>
      </c>
      <c r="N50" s="154">
        <v>1869896</v>
      </c>
    </row>
    <row r="51" spans="2:15" x14ac:dyDescent="0.35">
      <c r="I51" s="153"/>
      <c r="J51" s="149"/>
      <c r="K51" s="114"/>
    </row>
    <row r="52" spans="2:15" x14ac:dyDescent="0.35">
      <c r="D52" s="111">
        <v>2021</v>
      </c>
      <c r="E52" s="111" t="s">
        <v>141</v>
      </c>
      <c r="F52" s="111" t="s">
        <v>78</v>
      </c>
      <c r="G52" s="148" t="s">
        <v>167</v>
      </c>
      <c r="H52" s="111">
        <v>851140</v>
      </c>
      <c r="I52" s="153">
        <v>14817835</v>
      </c>
      <c r="J52" s="149">
        <f t="shared" ref="J52:J60" si="3">I52/10^9</f>
        <v>1.4817835E-2</v>
      </c>
      <c r="K52" s="114">
        <f>J52/J$50</f>
        <v>0.17692194346895307</v>
      </c>
      <c r="L52" s="154">
        <v>1081755</v>
      </c>
      <c r="M52" s="111" t="s">
        <v>233</v>
      </c>
      <c r="N52" s="154">
        <v>1166050</v>
      </c>
    </row>
    <row r="53" spans="2:15" x14ac:dyDescent="0.35">
      <c r="I53" s="153"/>
      <c r="J53" s="149"/>
      <c r="K53" s="114"/>
    </row>
    <row r="54" spans="2:15" x14ac:dyDescent="0.35">
      <c r="D54" s="111">
        <v>2021</v>
      </c>
      <c r="E54" s="111" t="s">
        <v>141</v>
      </c>
      <c r="F54" s="111" t="s">
        <v>78</v>
      </c>
      <c r="G54" s="148" t="s">
        <v>169</v>
      </c>
      <c r="H54" s="111">
        <v>851140</v>
      </c>
      <c r="I54" s="153">
        <v>3858432</v>
      </c>
      <c r="J54" s="149">
        <f t="shared" si="3"/>
        <v>3.8584320000000002E-3</v>
      </c>
      <c r="K54" s="114">
        <f t="shared" ref="K54:K60" si="4">J54/J$50</f>
        <v>4.6068895232184701E-2</v>
      </c>
      <c r="L54" s="154">
        <v>281679</v>
      </c>
      <c r="M54" s="111" t="s">
        <v>233</v>
      </c>
      <c r="N54" s="154">
        <v>137496</v>
      </c>
    </row>
    <row r="55" spans="2:15" x14ac:dyDescent="0.35">
      <c r="I55" s="153"/>
      <c r="J55" s="149"/>
      <c r="K55" s="114"/>
      <c r="L55" s="154"/>
      <c r="N55" s="154"/>
    </row>
    <row r="56" spans="2:15" x14ac:dyDescent="0.35">
      <c r="D56" s="111">
        <v>2021</v>
      </c>
      <c r="E56" s="111" t="s">
        <v>141</v>
      </c>
      <c r="F56" s="111" t="s">
        <v>78</v>
      </c>
      <c r="G56" s="148" t="s">
        <v>170</v>
      </c>
      <c r="H56" s="111">
        <v>851140</v>
      </c>
      <c r="I56" s="153">
        <v>4131111</v>
      </c>
      <c r="J56" s="149">
        <f t="shared" si="3"/>
        <v>4.1311109999999998E-3</v>
      </c>
      <c r="K56" s="114">
        <f>J56/J$50</f>
        <v>4.9324627167597029E-2</v>
      </c>
      <c r="L56" s="154">
        <v>301586</v>
      </c>
      <c r="M56" s="111" t="s">
        <v>233</v>
      </c>
      <c r="N56" s="154">
        <v>73427</v>
      </c>
    </row>
    <row r="57" spans="2:15" x14ac:dyDescent="0.35">
      <c r="I57" s="153"/>
      <c r="J57" s="149"/>
      <c r="K57" s="114"/>
    </row>
    <row r="58" spans="2:15" x14ac:dyDescent="0.35">
      <c r="D58" s="111">
        <v>2021</v>
      </c>
      <c r="E58" s="111" t="s">
        <v>141</v>
      </c>
      <c r="F58" s="111" t="s">
        <v>78</v>
      </c>
      <c r="G58" s="148" t="s">
        <v>174</v>
      </c>
      <c r="H58" s="111">
        <v>851140</v>
      </c>
      <c r="I58" s="153">
        <v>3608075</v>
      </c>
      <c r="J58" s="149">
        <f t="shared" si="3"/>
        <v>3.6080750000000001E-3</v>
      </c>
      <c r="K58" s="114">
        <f t="shared" si="4"/>
        <v>4.3079683447800769E-2</v>
      </c>
      <c r="L58" s="154">
        <v>263402</v>
      </c>
      <c r="M58" s="111" t="s">
        <v>233</v>
      </c>
      <c r="N58" s="154">
        <v>107227</v>
      </c>
    </row>
    <row r="59" spans="2:15" x14ac:dyDescent="0.35">
      <c r="I59" s="153"/>
      <c r="J59" s="149"/>
      <c r="K59" s="114"/>
    </row>
    <row r="60" spans="2:15" x14ac:dyDescent="0.35">
      <c r="D60" s="111">
        <v>2021</v>
      </c>
      <c r="E60" s="111" t="s">
        <v>141</v>
      </c>
      <c r="F60" s="111" t="s">
        <v>78</v>
      </c>
      <c r="G60" s="148" t="s">
        <v>234</v>
      </c>
      <c r="H60" s="111">
        <v>851140</v>
      </c>
      <c r="I60" s="153">
        <v>3013347</v>
      </c>
      <c r="J60" s="149">
        <f t="shared" si="3"/>
        <v>3.013347E-3</v>
      </c>
      <c r="K60" s="114">
        <f t="shared" si="4"/>
        <v>3.5978751793790342E-2</v>
      </c>
      <c r="L60" s="154">
        <v>219985</v>
      </c>
      <c r="M60" s="111" t="s">
        <v>233</v>
      </c>
      <c r="N60" s="154">
        <v>115103</v>
      </c>
    </row>
    <row r="62" spans="2:15" x14ac:dyDescent="0.35">
      <c r="B62" s="150" t="s">
        <v>237</v>
      </c>
      <c r="D62" s="151" t="s">
        <v>221</v>
      </c>
      <c r="E62" s="151" t="s">
        <v>222</v>
      </c>
      <c r="F62" s="151" t="s">
        <v>223</v>
      </c>
      <c r="G62" s="152" t="s">
        <v>224</v>
      </c>
      <c r="H62" s="151" t="s">
        <v>225</v>
      </c>
      <c r="I62" s="151" t="s">
        <v>226</v>
      </c>
      <c r="J62" s="151" t="s">
        <v>147</v>
      </c>
      <c r="K62" s="151" t="s">
        <v>227</v>
      </c>
      <c r="L62" s="151" t="s">
        <v>228</v>
      </c>
      <c r="M62" s="151" t="s">
        <v>229</v>
      </c>
      <c r="N62" s="151" t="s">
        <v>230</v>
      </c>
      <c r="O62" s="151" t="s">
        <v>231</v>
      </c>
    </row>
    <row r="63" spans="2:15" x14ac:dyDescent="0.35">
      <c r="B63" s="107"/>
    </row>
    <row r="64" spans="2:15" x14ac:dyDescent="0.35">
      <c r="D64" s="111">
        <v>2021</v>
      </c>
      <c r="E64" s="111" t="s">
        <v>141</v>
      </c>
      <c r="F64" s="111" t="s">
        <v>78</v>
      </c>
      <c r="G64" s="148" t="s">
        <v>232</v>
      </c>
      <c r="H64" s="111">
        <v>851110</v>
      </c>
      <c r="I64" s="153">
        <v>21093368</v>
      </c>
      <c r="J64" s="149">
        <f>I64/10^9</f>
        <v>2.1093368000000001E-2</v>
      </c>
      <c r="K64" s="114">
        <f>J64/$F$21</f>
        <v>5.0238201564256884E-3</v>
      </c>
      <c r="L64" s="154">
        <v>386207</v>
      </c>
      <c r="M64" s="111" t="s">
        <v>233</v>
      </c>
      <c r="N64" s="154">
        <v>61056112</v>
      </c>
      <c r="O64" s="111">
        <v>6</v>
      </c>
    </row>
    <row r="65" spans="2:15" x14ac:dyDescent="0.35">
      <c r="I65" s="153"/>
      <c r="J65" s="149"/>
    </row>
    <row r="66" spans="2:15" x14ac:dyDescent="0.35">
      <c r="D66" s="111">
        <v>2021</v>
      </c>
      <c r="E66" s="111" t="s">
        <v>141</v>
      </c>
      <c r="F66" s="111" t="s">
        <v>78</v>
      </c>
      <c r="G66" s="148" t="s">
        <v>167</v>
      </c>
      <c r="H66" s="111">
        <v>851110</v>
      </c>
      <c r="I66" s="153">
        <v>4398659</v>
      </c>
      <c r="J66" s="149">
        <f>I66/10^9</f>
        <v>4.3986590000000001E-3</v>
      </c>
      <c r="K66" s="114">
        <f>J66/$J$64</f>
        <v>0.2085327957109552</v>
      </c>
      <c r="L66" s="154">
        <v>80536</v>
      </c>
      <c r="M66" s="111" t="s">
        <v>233</v>
      </c>
      <c r="N66" s="154">
        <v>45046200</v>
      </c>
      <c r="O66" s="111">
        <v>4</v>
      </c>
    </row>
    <row r="67" spans="2:15" x14ac:dyDescent="0.35">
      <c r="I67" s="153"/>
      <c r="J67" s="149"/>
    </row>
    <row r="68" spans="2:15" x14ac:dyDescent="0.35">
      <c r="D68" s="111">
        <v>2021</v>
      </c>
      <c r="E68" s="111" t="s">
        <v>141</v>
      </c>
      <c r="F68" s="111" t="s">
        <v>78</v>
      </c>
      <c r="G68" s="148" t="s">
        <v>169</v>
      </c>
      <c r="H68" s="111">
        <v>851110</v>
      </c>
      <c r="I68" s="153">
        <v>4707847</v>
      </c>
      <c r="J68" s="149">
        <f>I68/10^9</f>
        <v>4.7078470000000002E-3</v>
      </c>
      <c r="K68" s="114">
        <f>J68/$J$64</f>
        <v>0.22319086264459995</v>
      </c>
      <c r="L68" s="149">
        <v>86197</v>
      </c>
      <c r="M68" s="111" t="s">
        <v>233</v>
      </c>
      <c r="N68" s="154">
        <v>4394240</v>
      </c>
      <c r="O68" s="111">
        <v>4</v>
      </c>
    </row>
    <row r="69" spans="2:15" x14ac:dyDescent="0.35">
      <c r="I69" s="153"/>
      <c r="J69" s="149"/>
      <c r="L69" s="154"/>
      <c r="N69" s="154"/>
    </row>
    <row r="70" spans="2:15" x14ac:dyDescent="0.35">
      <c r="D70" s="111">
        <v>2021</v>
      </c>
      <c r="E70" s="111" t="s">
        <v>141</v>
      </c>
      <c r="F70" s="111" t="s">
        <v>78</v>
      </c>
      <c r="G70" s="148" t="s">
        <v>179</v>
      </c>
      <c r="H70" s="111">
        <v>851110</v>
      </c>
      <c r="I70" s="153">
        <v>198898</v>
      </c>
      <c r="J70" s="149">
        <f>I70/10^9</f>
        <v>1.9889800000000001E-4</v>
      </c>
      <c r="K70" s="114">
        <f>J70/$J$64</f>
        <v>9.4294092816282343E-3</v>
      </c>
      <c r="L70" s="157">
        <v>3641</v>
      </c>
      <c r="M70" s="111" t="s">
        <v>233</v>
      </c>
      <c r="N70" s="154">
        <v>1007020</v>
      </c>
      <c r="O70" s="111">
        <v>4</v>
      </c>
    </row>
    <row r="71" spans="2:15" x14ac:dyDescent="0.35">
      <c r="I71" s="153"/>
      <c r="J71" s="149"/>
    </row>
    <row r="72" spans="2:15" x14ac:dyDescent="0.35">
      <c r="D72" s="111">
        <v>2021</v>
      </c>
      <c r="E72" s="111" t="s">
        <v>141</v>
      </c>
      <c r="F72" s="111" t="s">
        <v>78</v>
      </c>
      <c r="G72" s="148" t="s">
        <v>174</v>
      </c>
      <c r="H72" s="111">
        <v>851110</v>
      </c>
      <c r="I72" s="153">
        <v>5284922</v>
      </c>
      <c r="J72" s="149">
        <f>I72/10^9</f>
        <v>5.2849220000000001E-3</v>
      </c>
      <c r="K72" s="114">
        <f>J72/$J$64</f>
        <v>0.25054898771974204</v>
      </c>
      <c r="L72" s="154">
        <v>96763</v>
      </c>
      <c r="M72" s="111" t="s">
        <v>233</v>
      </c>
      <c r="N72" s="154">
        <v>8894960</v>
      </c>
    </row>
    <row r="73" spans="2:15" x14ac:dyDescent="0.35">
      <c r="I73" s="153"/>
    </row>
    <row r="74" spans="2:15" x14ac:dyDescent="0.35">
      <c r="D74" s="111">
        <v>2021</v>
      </c>
      <c r="E74" s="111" t="s">
        <v>141</v>
      </c>
      <c r="F74" s="111" t="s">
        <v>78</v>
      </c>
      <c r="G74" s="148" t="s">
        <v>234</v>
      </c>
      <c r="H74" s="111">
        <v>851110</v>
      </c>
      <c r="I74" s="153">
        <v>1139236</v>
      </c>
      <c r="J74" s="149">
        <f>I74/10^9</f>
        <v>1.1392360000000001E-3</v>
      </c>
      <c r="K74" s="114">
        <f>J74/$J$64</f>
        <v>5.4009203271853032E-2</v>
      </c>
      <c r="L74" s="154">
        <v>20858</v>
      </c>
      <c r="M74" s="111" t="s">
        <v>233</v>
      </c>
      <c r="N74" s="154">
        <v>537603</v>
      </c>
    </row>
    <row r="77" spans="2:15" x14ac:dyDescent="0.35">
      <c r="B77" s="150" t="s">
        <v>238</v>
      </c>
      <c r="D77" s="151" t="s">
        <v>221</v>
      </c>
      <c r="E77" s="151" t="s">
        <v>222</v>
      </c>
      <c r="F77" s="151" t="s">
        <v>223</v>
      </c>
      <c r="G77" s="152" t="s">
        <v>224</v>
      </c>
      <c r="H77" s="151" t="s">
        <v>225</v>
      </c>
      <c r="I77" s="151" t="s">
        <v>226</v>
      </c>
      <c r="J77" s="151" t="s">
        <v>147</v>
      </c>
      <c r="K77" s="151" t="s">
        <v>227</v>
      </c>
      <c r="L77" s="151" t="s">
        <v>228</v>
      </c>
      <c r="M77" s="151" t="s">
        <v>229</v>
      </c>
      <c r="N77" s="151" t="s">
        <v>230</v>
      </c>
      <c r="O77" s="151" t="s">
        <v>231</v>
      </c>
    </row>
    <row r="78" spans="2:15" x14ac:dyDescent="0.35">
      <c r="B78" s="107"/>
    </row>
    <row r="79" spans="2:15" x14ac:dyDescent="0.35">
      <c r="D79" s="111">
        <v>2021</v>
      </c>
      <c r="E79" s="111" t="s">
        <v>141</v>
      </c>
      <c r="F79" s="111" t="s">
        <v>78</v>
      </c>
      <c r="G79" s="148" t="s">
        <v>232</v>
      </c>
      <c r="H79" s="111">
        <v>870892</v>
      </c>
      <c r="I79" s="153">
        <v>80055917</v>
      </c>
      <c r="J79" s="149">
        <f>I79/10^9</f>
        <v>8.0055917000000004E-2</v>
      </c>
      <c r="K79" s="114">
        <f>J79/$F$21</f>
        <v>1.906696595184524E-2</v>
      </c>
      <c r="L79" s="154">
        <v>3040834</v>
      </c>
      <c r="M79" s="111" t="s">
        <v>233</v>
      </c>
      <c r="N79" s="154">
        <v>3040834</v>
      </c>
      <c r="O79" s="111">
        <v>6</v>
      </c>
    </row>
    <row r="80" spans="2:15" x14ac:dyDescent="0.35">
      <c r="I80" s="153"/>
      <c r="J80" s="149"/>
    </row>
    <row r="81" spans="2:15" x14ac:dyDescent="0.35">
      <c r="D81" s="111">
        <v>2021</v>
      </c>
      <c r="E81" s="111" t="s">
        <v>141</v>
      </c>
      <c r="F81" s="111" t="s">
        <v>78</v>
      </c>
      <c r="G81" s="148" t="s">
        <v>239</v>
      </c>
      <c r="H81" s="111">
        <v>870892</v>
      </c>
      <c r="I81" s="153">
        <v>26707847</v>
      </c>
      <c r="J81" s="149">
        <f>I81/10^9</f>
        <v>2.6707847E-2</v>
      </c>
      <c r="K81" s="114">
        <f>J81/$J$79</f>
        <v>0.33361490319322679</v>
      </c>
      <c r="L81" s="154">
        <v>217744</v>
      </c>
      <c r="M81" s="111" t="s">
        <v>233</v>
      </c>
      <c r="N81" s="154">
        <v>217744</v>
      </c>
      <c r="O81" s="111">
        <v>4</v>
      </c>
    </row>
    <row r="82" spans="2:15" x14ac:dyDescent="0.35">
      <c r="I82" s="153"/>
      <c r="J82" s="149"/>
    </row>
    <row r="83" spans="2:15" x14ac:dyDescent="0.35">
      <c r="D83" s="111">
        <v>2021</v>
      </c>
      <c r="E83" s="111" t="s">
        <v>141</v>
      </c>
      <c r="F83" s="111" t="s">
        <v>78</v>
      </c>
      <c r="G83" s="148" t="s">
        <v>170</v>
      </c>
      <c r="H83" s="111">
        <v>870892</v>
      </c>
      <c r="I83" s="153">
        <v>13725723</v>
      </c>
      <c r="J83" s="149">
        <f>I83/10^9</f>
        <v>1.3725723E-2</v>
      </c>
      <c r="K83" s="114">
        <f>J83/$J$79</f>
        <v>0.17145169919170372</v>
      </c>
      <c r="L83" s="149">
        <v>371117</v>
      </c>
      <c r="M83" s="111" t="s">
        <v>233</v>
      </c>
      <c r="N83" s="154">
        <v>371117</v>
      </c>
      <c r="O83" s="111">
        <v>4</v>
      </c>
    </row>
    <row r="84" spans="2:15" x14ac:dyDescent="0.35">
      <c r="I84" s="153"/>
      <c r="J84" s="149"/>
      <c r="L84" s="154"/>
      <c r="N84" s="154"/>
    </row>
    <row r="85" spans="2:15" x14ac:dyDescent="0.35">
      <c r="D85" s="111">
        <v>2021</v>
      </c>
      <c r="E85" s="111" t="s">
        <v>141</v>
      </c>
      <c r="F85" s="111" t="s">
        <v>78</v>
      </c>
      <c r="G85" s="148" t="s">
        <v>169</v>
      </c>
      <c r="H85" s="111">
        <v>870892</v>
      </c>
      <c r="I85" s="153">
        <v>10313923</v>
      </c>
      <c r="J85" s="149">
        <f>I85/10^9</f>
        <v>1.0313922999999999E-2</v>
      </c>
      <c r="K85" s="114">
        <f>J85/$J$79</f>
        <v>0.12883398737410001</v>
      </c>
      <c r="L85" s="154">
        <v>809049</v>
      </c>
      <c r="M85" s="111" t="s">
        <v>233</v>
      </c>
      <c r="N85" s="154">
        <v>809049</v>
      </c>
      <c r="O85" s="111">
        <v>4</v>
      </c>
    </row>
    <row r="86" spans="2:15" x14ac:dyDescent="0.35">
      <c r="I86" s="153"/>
      <c r="J86" s="149"/>
    </row>
    <row r="87" spans="2:15" x14ac:dyDescent="0.35">
      <c r="D87" s="111">
        <v>2021</v>
      </c>
      <c r="E87" s="111" t="s">
        <v>141</v>
      </c>
      <c r="F87" s="111" t="s">
        <v>78</v>
      </c>
      <c r="G87" s="148" t="s">
        <v>174</v>
      </c>
      <c r="H87" s="111">
        <v>870892</v>
      </c>
      <c r="I87" s="153">
        <v>8673481</v>
      </c>
      <c r="J87" s="149">
        <f>I87/10^9</f>
        <v>8.6734810000000002E-3</v>
      </c>
      <c r="K87" s="114">
        <f>J87/$J$79</f>
        <v>0.10834278495617007</v>
      </c>
      <c r="L87" s="154">
        <v>122731</v>
      </c>
      <c r="M87" s="111" t="s">
        <v>233</v>
      </c>
      <c r="N87" s="154">
        <v>122731</v>
      </c>
    </row>
    <row r="88" spans="2:15" x14ac:dyDescent="0.35">
      <c r="I88" s="153"/>
    </row>
    <row r="89" spans="2:15" x14ac:dyDescent="0.35">
      <c r="D89" s="111">
        <v>2021</v>
      </c>
      <c r="E89" s="111" t="s">
        <v>141</v>
      </c>
      <c r="F89" s="111" t="s">
        <v>78</v>
      </c>
      <c r="G89" s="148" t="s">
        <v>240</v>
      </c>
      <c r="H89" s="111">
        <v>870892</v>
      </c>
      <c r="I89" s="153">
        <v>3020741</v>
      </c>
      <c r="J89" s="149">
        <f>I89/10^9</f>
        <v>3.020741E-3</v>
      </c>
      <c r="K89" s="114">
        <f>J89/$J$79</f>
        <v>3.7732888625833863E-2</v>
      </c>
      <c r="L89" s="154">
        <v>85083</v>
      </c>
      <c r="M89" s="111" t="s">
        <v>233</v>
      </c>
      <c r="N89" s="154">
        <v>85083</v>
      </c>
    </row>
    <row r="92" spans="2:15" x14ac:dyDescent="0.35">
      <c r="B92" s="150" t="s">
        <v>154</v>
      </c>
      <c r="D92" s="151" t="s">
        <v>221</v>
      </c>
      <c r="E92" s="151" t="s">
        <v>222</v>
      </c>
      <c r="F92" s="151" t="s">
        <v>223</v>
      </c>
      <c r="G92" s="152" t="s">
        <v>224</v>
      </c>
      <c r="H92" s="151" t="s">
        <v>225</v>
      </c>
      <c r="I92" s="151" t="s">
        <v>226</v>
      </c>
      <c r="J92" s="151" t="s">
        <v>147</v>
      </c>
      <c r="K92" s="151" t="s">
        <v>227</v>
      </c>
      <c r="L92" s="151" t="s">
        <v>228</v>
      </c>
      <c r="M92" s="151" t="s">
        <v>229</v>
      </c>
      <c r="N92" s="151" t="s">
        <v>230</v>
      </c>
      <c r="O92" s="151" t="s">
        <v>231</v>
      </c>
    </row>
    <row r="93" spans="2:15" x14ac:dyDescent="0.35">
      <c r="B93" s="107"/>
    </row>
    <row r="94" spans="2:15" x14ac:dyDescent="0.35">
      <c r="D94" s="111">
        <v>2021</v>
      </c>
      <c r="E94" s="111" t="s">
        <v>141</v>
      </c>
      <c r="F94" s="111" t="s">
        <v>78</v>
      </c>
      <c r="G94" s="148" t="s">
        <v>232</v>
      </c>
      <c r="H94" s="111">
        <v>842123</v>
      </c>
      <c r="I94" s="153">
        <v>95160354</v>
      </c>
      <c r="J94" s="149">
        <f>I94/10^9</f>
        <v>9.5160354000000003E-2</v>
      </c>
      <c r="K94" s="114">
        <f>J94/$F$21</f>
        <v>2.2664398806193673E-2</v>
      </c>
      <c r="L94" s="154">
        <v>5247883</v>
      </c>
      <c r="M94" s="111" t="s">
        <v>233</v>
      </c>
      <c r="N94" s="154">
        <v>29981416</v>
      </c>
      <c r="O94" s="111">
        <v>6</v>
      </c>
    </row>
    <row r="95" spans="2:15" x14ac:dyDescent="0.35">
      <c r="D95" s="111">
        <v>2021</v>
      </c>
      <c r="E95" s="111" t="s">
        <v>141</v>
      </c>
      <c r="F95" s="111" t="s">
        <v>78</v>
      </c>
      <c r="G95" s="148" t="s">
        <v>232</v>
      </c>
      <c r="H95" s="111">
        <v>842131</v>
      </c>
      <c r="I95" s="153">
        <v>24956530</v>
      </c>
      <c r="J95" s="149">
        <f t="shared" ref="J95:J96" si="5">I95/10^9</f>
        <v>2.4956530000000001E-2</v>
      </c>
      <c r="K95" s="114">
        <f t="shared" ref="K95:K96" si="6">J95/$F$21</f>
        <v>5.9439117758928956E-3</v>
      </c>
      <c r="L95" s="154">
        <v>1569206</v>
      </c>
      <c r="M95" s="111" t="s">
        <v>233</v>
      </c>
      <c r="N95" s="154">
        <v>3197932</v>
      </c>
    </row>
    <row r="96" spans="2:15" x14ac:dyDescent="0.35">
      <c r="D96" s="111">
        <v>2021</v>
      </c>
      <c r="E96" s="111" t="s">
        <v>141</v>
      </c>
      <c r="F96" s="111" t="s">
        <v>78</v>
      </c>
      <c r="G96" s="148" t="s">
        <v>232</v>
      </c>
      <c r="H96" s="111">
        <v>842139</v>
      </c>
      <c r="I96" s="153">
        <v>378213756</v>
      </c>
      <c r="J96" s="149">
        <f t="shared" si="5"/>
        <v>0.37821375600000001</v>
      </c>
      <c r="K96" s="114">
        <f t="shared" si="6"/>
        <v>9.0079397980932535E-2</v>
      </c>
      <c r="L96" s="154">
        <v>11322878</v>
      </c>
      <c r="M96" s="111" t="s">
        <v>233</v>
      </c>
      <c r="N96" s="154">
        <v>212387704</v>
      </c>
    </row>
    <row r="97" spans="2:15" x14ac:dyDescent="0.35">
      <c r="I97" s="153"/>
      <c r="J97" s="149"/>
    </row>
    <row r="98" spans="2:15" x14ac:dyDescent="0.35">
      <c r="D98" s="111">
        <v>2021</v>
      </c>
      <c r="E98" s="111" t="s">
        <v>141</v>
      </c>
      <c r="F98" s="111" t="s">
        <v>78</v>
      </c>
      <c r="G98" s="148" t="s">
        <v>167</v>
      </c>
      <c r="H98" s="111">
        <v>842123</v>
      </c>
      <c r="I98" s="153">
        <v>6052703</v>
      </c>
      <c r="J98" s="149">
        <f t="shared" ref="J98:J100" si="7">I98/10^9</f>
        <v>6.0527030000000004E-3</v>
      </c>
      <c r="K98" s="114">
        <f>J98/J$94</f>
        <v>6.3605301426264138E-2</v>
      </c>
      <c r="L98" s="149">
        <v>333793</v>
      </c>
      <c r="M98" s="111" t="s">
        <v>233</v>
      </c>
      <c r="N98" s="154">
        <v>4114050</v>
      </c>
    </row>
    <row r="99" spans="2:15" x14ac:dyDescent="0.35">
      <c r="D99" s="111">
        <v>2021</v>
      </c>
      <c r="E99" s="111" t="s">
        <v>141</v>
      </c>
      <c r="F99" s="111" t="s">
        <v>78</v>
      </c>
      <c r="G99" s="148" t="s">
        <v>167</v>
      </c>
      <c r="H99" s="111">
        <v>842131</v>
      </c>
      <c r="I99" s="153">
        <v>3708476</v>
      </c>
      <c r="J99" s="149">
        <f t="shared" si="7"/>
        <v>3.708476E-3</v>
      </c>
      <c r="K99" s="114">
        <f>J99/J$95</f>
        <v>0.14859742119597555</v>
      </c>
      <c r="L99" s="154">
        <v>233180</v>
      </c>
      <c r="M99" s="111" t="s">
        <v>233</v>
      </c>
      <c r="N99" s="154">
        <v>1125000</v>
      </c>
    </row>
    <row r="100" spans="2:15" x14ac:dyDescent="0.35">
      <c r="D100" s="111">
        <v>2021</v>
      </c>
      <c r="E100" s="111" t="s">
        <v>141</v>
      </c>
      <c r="F100" s="111" t="s">
        <v>78</v>
      </c>
      <c r="G100" s="148" t="s">
        <v>167</v>
      </c>
      <c r="H100" s="111">
        <v>842139</v>
      </c>
      <c r="I100" s="153">
        <v>98337422</v>
      </c>
      <c r="J100" s="149">
        <f t="shared" si="7"/>
        <v>9.8337421999999994E-2</v>
      </c>
      <c r="K100" s="114">
        <f>J100/J$96</f>
        <v>0.26000487935716432</v>
      </c>
      <c r="L100" s="149">
        <v>2944003</v>
      </c>
      <c r="M100" s="111" t="s">
        <v>233</v>
      </c>
      <c r="N100" s="154">
        <v>14606742</v>
      </c>
    </row>
    <row r="101" spans="2:15" x14ac:dyDescent="0.35">
      <c r="I101" s="153"/>
      <c r="J101" s="149"/>
      <c r="K101" s="114"/>
      <c r="L101" s="149"/>
      <c r="N101" s="154"/>
    </row>
    <row r="102" spans="2:15" x14ac:dyDescent="0.35">
      <c r="D102" s="111">
        <v>2021</v>
      </c>
      <c r="E102" s="111" t="s">
        <v>141</v>
      </c>
      <c r="F102" s="111" t="s">
        <v>78</v>
      </c>
      <c r="G102" s="148" t="s">
        <v>170</v>
      </c>
      <c r="H102" s="111">
        <v>842123</v>
      </c>
      <c r="I102" s="153">
        <v>7966322</v>
      </c>
      <c r="J102" s="149">
        <f t="shared" ref="J102:J104" si="8">I102/10^9</f>
        <v>7.9663219999999996E-3</v>
      </c>
      <c r="K102" s="114">
        <f>J102/J$94</f>
        <v>8.3714715899438533E-2</v>
      </c>
      <c r="L102" s="154">
        <v>439325</v>
      </c>
      <c r="M102" s="111" t="s">
        <v>233</v>
      </c>
      <c r="N102" s="154">
        <v>1503860</v>
      </c>
    </row>
    <row r="103" spans="2:15" x14ac:dyDescent="0.35">
      <c r="D103" s="111">
        <v>2021</v>
      </c>
      <c r="E103" s="111" t="s">
        <v>141</v>
      </c>
      <c r="F103" s="111" t="s">
        <v>78</v>
      </c>
      <c r="G103" s="148" t="s">
        <v>170</v>
      </c>
      <c r="H103" s="111">
        <v>842131</v>
      </c>
      <c r="I103" s="153">
        <v>4259229</v>
      </c>
      <c r="J103" s="149">
        <f t="shared" si="8"/>
        <v>4.2592289999999998E-3</v>
      </c>
      <c r="K103" s="114">
        <f>J103/J$95</f>
        <v>0.17066591389107377</v>
      </c>
      <c r="L103" s="154">
        <v>267810</v>
      </c>
      <c r="M103" s="111" t="s">
        <v>233</v>
      </c>
      <c r="N103" s="154">
        <v>283811</v>
      </c>
    </row>
    <row r="104" spans="2:15" x14ac:dyDescent="0.35">
      <c r="D104" s="111">
        <v>2021</v>
      </c>
      <c r="E104" s="111" t="s">
        <v>141</v>
      </c>
      <c r="F104" s="111" t="s">
        <v>78</v>
      </c>
      <c r="G104" s="148" t="s">
        <v>170</v>
      </c>
      <c r="H104" s="111">
        <v>842139</v>
      </c>
      <c r="I104" s="153">
        <v>50609516</v>
      </c>
      <c r="J104" s="149">
        <f t="shared" si="8"/>
        <v>5.0609516E-2</v>
      </c>
      <c r="K104" s="114">
        <f>J104/J$96</f>
        <v>0.13381193887617351</v>
      </c>
      <c r="L104" s="154">
        <v>1515136</v>
      </c>
      <c r="M104" s="111" t="s">
        <v>233</v>
      </c>
      <c r="N104" s="154">
        <v>181451644</v>
      </c>
    </row>
    <row r="105" spans="2:15" x14ac:dyDescent="0.35">
      <c r="I105" s="153"/>
      <c r="J105" s="149"/>
    </row>
    <row r="106" spans="2:15" x14ac:dyDescent="0.35">
      <c r="D106" s="111">
        <v>2021</v>
      </c>
      <c r="E106" s="111" t="s">
        <v>141</v>
      </c>
      <c r="F106" s="111" t="s">
        <v>78</v>
      </c>
      <c r="G106" s="148" t="s">
        <v>169</v>
      </c>
      <c r="H106" s="111">
        <v>842123</v>
      </c>
      <c r="I106" s="153">
        <v>6878771</v>
      </c>
      <c r="J106" s="149">
        <f t="shared" ref="J106:J108" si="9">I106/10^9</f>
        <v>6.8787709999999997E-3</v>
      </c>
      <c r="K106" s="114">
        <f>J106/J$94</f>
        <v>7.2286101415721921E-2</v>
      </c>
      <c r="L106" s="155">
        <v>379349</v>
      </c>
      <c r="M106" s="111" t="s">
        <v>233</v>
      </c>
      <c r="N106" s="154">
        <v>14586600</v>
      </c>
    </row>
    <row r="107" spans="2:15" x14ac:dyDescent="0.35">
      <c r="D107" s="111">
        <v>2021</v>
      </c>
      <c r="E107" s="111" t="s">
        <v>141</v>
      </c>
      <c r="F107" s="111" t="s">
        <v>78</v>
      </c>
      <c r="G107" s="148" t="s">
        <v>169</v>
      </c>
      <c r="H107" s="111">
        <v>842131</v>
      </c>
      <c r="I107" s="153">
        <v>2995478</v>
      </c>
      <c r="J107" s="149">
        <f t="shared" si="9"/>
        <v>2.9954780000000002E-3</v>
      </c>
      <c r="K107" s="114">
        <f>J107/J$95</f>
        <v>0.12002782438103374</v>
      </c>
      <c r="L107" s="154">
        <v>188348</v>
      </c>
      <c r="M107" s="111" t="s">
        <v>233</v>
      </c>
      <c r="N107" s="154">
        <v>335055</v>
      </c>
    </row>
    <row r="108" spans="2:15" x14ac:dyDescent="0.35">
      <c r="D108" s="111">
        <v>2021</v>
      </c>
      <c r="E108" s="111" t="s">
        <v>141</v>
      </c>
      <c r="F108" s="111" t="s">
        <v>78</v>
      </c>
      <c r="G108" s="148" t="s">
        <v>169</v>
      </c>
      <c r="H108" s="111">
        <v>842139</v>
      </c>
      <c r="I108" s="153">
        <v>4032705</v>
      </c>
      <c r="J108" s="149">
        <f t="shared" si="9"/>
        <v>4.0327050000000001E-3</v>
      </c>
      <c r="K108" s="114">
        <f>J108/J$96</f>
        <v>1.0662502185668783E-2</v>
      </c>
      <c r="L108" s="154">
        <v>120730</v>
      </c>
      <c r="M108" s="111" t="s">
        <v>233</v>
      </c>
      <c r="N108" s="154">
        <v>8334089</v>
      </c>
    </row>
    <row r="109" spans="2:15" x14ac:dyDescent="0.35">
      <c r="I109" s="153"/>
    </row>
    <row r="110" spans="2:15" x14ac:dyDescent="0.35">
      <c r="D110" s="111">
        <v>2021</v>
      </c>
      <c r="E110" s="111" t="s">
        <v>141</v>
      </c>
      <c r="F110" s="111" t="s">
        <v>78</v>
      </c>
      <c r="G110" s="148" t="s">
        <v>234</v>
      </c>
      <c r="H110" s="111">
        <v>842123</v>
      </c>
      <c r="I110" s="153">
        <v>14112056</v>
      </c>
      <c r="J110" s="149">
        <f t="shared" ref="J110:J112" si="10">I110/10^9</f>
        <v>1.4112056E-2</v>
      </c>
      <c r="K110" s="114">
        <f>J110/J$94</f>
        <v>0.14829764084316036</v>
      </c>
      <c r="L110" s="154">
        <v>778248</v>
      </c>
      <c r="M110" s="111" t="s">
        <v>233</v>
      </c>
      <c r="N110" s="154">
        <v>2467060</v>
      </c>
    </row>
    <row r="111" spans="2:15" x14ac:dyDescent="0.35">
      <c r="C111"/>
      <c r="D111" s="111">
        <v>2021</v>
      </c>
      <c r="E111" s="111" t="s">
        <v>141</v>
      </c>
      <c r="F111" s="111" t="s">
        <v>78</v>
      </c>
      <c r="G111" s="148" t="s">
        <v>234</v>
      </c>
      <c r="H111" s="111">
        <v>842131</v>
      </c>
      <c r="I111" s="156">
        <v>248198</v>
      </c>
      <c r="J111" s="149">
        <f t="shared" si="10"/>
        <v>2.4819799999999998E-4</v>
      </c>
      <c r="K111" s="114">
        <f>J111/J$95</f>
        <v>9.9452127359051911E-3</v>
      </c>
      <c r="L111" s="157">
        <v>15606</v>
      </c>
      <c r="M111" s="111" t="s">
        <v>233</v>
      </c>
      <c r="N111" s="157">
        <v>33460</v>
      </c>
      <c r="O111"/>
    </row>
    <row r="112" spans="2:15" x14ac:dyDescent="0.35">
      <c r="B112" s="107"/>
      <c r="D112" s="111">
        <v>2021</v>
      </c>
      <c r="E112" s="111" t="s">
        <v>141</v>
      </c>
      <c r="F112" s="111" t="s">
        <v>78</v>
      </c>
      <c r="G112" s="148" t="s">
        <v>234</v>
      </c>
      <c r="H112" s="111">
        <v>842139</v>
      </c>
      <c r="I112" s="153">
        <v>46898836</v>
      </c>
      <c r="J112" s="149">
        <f t="shared" si="10"/>
        <v>4.6898835999999999E-2</v>
      </c>
      <c r="K112" s="114">
        <f>J112/J$96</f>
        <v>0.12400087319933439</v>
      </c>
      <c r="L112" s="154">
        <v>1404046</v>
      </c>
      <c r="M112" s="111" t="s">
        <v>233</v>
      </c>
      <c r="N112" s="154">
        <v>3916968</v>
      </c>
    </row>
    <row r="113" spans="2:14" x14ac:dyDescent="0.35">
      <c r="B113" s="107"/>
      <c r="I113" s="153"/>
    </row>
    <row r="114" spans="2:14" x14ac:dyDescent="0.35">
      <c r="D114" s="111">
        <v>2021</v>
      </c>
      <c r="E114" s="111" t="s">
        <v>141</v>
      </c>
      <c r="F114" s="111" t="s">
        <v>78</v>
      </c>
      <c r="G114" s="148" t="s">
        <v>175</v>
      </c>
      <c r="H114" s="111">
        <v>842123</v>
      </c>
      <c r="I114" s="153">
        <v>3253608</v>
      </c>
      <c r="J114" s="149">
        <f t="shared" ref="J114:J116" si="11">I114/10^9</f>
        <v>3.2536079999999998E-3</v>
      </c>
      <c r="K114" s="114">
        <f>J114/J$94</f>
        <v>3.4190793363379039E-2</v>
      </c>
      <c r="L114" s="154">
        <v>179429</v>
      </c>
      <c r="M114" s="111" t="s">
        <v>233</v>
      </c>
      <c r="N114" s="154">
        <v>2527770</v>
      </c>
    </row>
    <row r="115" spans="2:14" x14ac:dyDescent="0.35">
      <c r="D115" s="111">
        <v>2021</v>
      </c>
      <c r="E115" s="111" t="s">
        <v>141</v>
      </c>
      <c r="F115" s="111" t="s">
        <v>78</v>
      </c>
      <c r="G115" s="148" t="s">
        <v>175</v>
      </c>
      <c r="H115" s="111">
        <v>842131</v>
      </c>
      <c r="I115" s="153">
        <v>156107</v>
      </c>
      <c r="J115" s="149">
        <f t="shared" si="11"/>
        <v>1.56107E-4</v>
      </c>
      <c r="K115" s="114">
        <f>J115/J$95</f>
        <v>6.2551564660631902E-3</v>
      </c>
      <c r="L115" s="154">
        <v>9815</v>
      </c>
      <c r="M115" s="111" t="s">
        <v>233</v>
      </c>
      <c r="N115" s="154">
        <v>7094</v>
      </c>
    </row>
    <row r="116" spans="2:14" x14ac:dyDescent="0.35">
      <c r="D116" s="111">
        <v>2021</v>
      </c>
      <c r="E116" s="111" t="s">
        <v>141</v>
      </c>
      <c r="F116" s="111" t="s">
        <v>78</v>
      </c>
      <c r="G116" s="148" t="s">
        <v>175</v>
      </c>
      <c r="H116" s="111">
        <v>842139</v>
      </c>
      <c r="I116" s="153">
        <v>2078708</v>
      </c>
      <c r="J116" s="149">
        <f t="shared" si="11"/>
        <v>2.0787079999999999E-3</v>
      </c>
      <c r="K116" s="114">
        <f>J116/J$96</f>
        <v>5.4961195012695405E-3</v>
      </c>
      <c r="L116" s="154">
        <v>62231</v>
      </c>
      <c r="M116" s="111" t="s">
        <v>233</v>
      </c>
      <c r="N116" s="154">
        <v>92989</v>
      </c>
    </row>
    <row r="117" spans="2:14" x14ac:dyDescent="0.35">
      <c r="I117" s="153"/>
    </row>
    <row r="118" spans="2:14" x14ac:dyDescent="0.35">
      <c r="D118" s="111">
        <v>2021</v>
      </c>
      <c r="E118" s="111" t="s">
        <v>141</v>
      </c>
      <c r="F118" s="111" t="s">
        <v>78</v>
      </c>
      <c r="G118" s="148" t="s">
        <v>171</v>
      </c>
      <c r="H118" s="111">
        <v>842123</v>
      </c>
      <c r="I118" s="153">
        <v>25720763</v>
      </c>
      <c r="J118" s="149">
        <f>I118/10^9</f>
        <v>2.5720763000000001E-2</v>
      </c>
      <c r="K118" s="114">
        <f>J118/J$94</f>
        <v>0.27028864352480236</v>
      </c>
      <c r="L118" s="154">
        <v>1418443</v>
      </c>
      <c r="M118" s="111" t="s">
        <v>233</v>
      </c>
      <c r="N118" s="154">
        <v>1911180</v>
      </c>
    </row>
    <row r="119" spans="2:14" x14ac:dyDescent="0.35">
      <c r="D119" s="111">
        <v>2021</v>
      </c>
      <c r="E119" s="111" t="s">
        <v>141</v>
      </c>
      <c r="F119" s="111" t="s">
        <v>78</v>
      </c>
      <c r="G119" s="148" t="s">
        <v>171</v>
      </c>
      <c r="H119" s="111">
        <v>842131</v>
      </c>
      <c r="I119" s="153">
        <v>2628094</v>
      </c>
      <c r="J119" s="149">
        <f t="shared" ref="J119:J120" si="12">I119/10^9</f>
        <v>2.6280940000000001E-3</v>
      </c>
      <c r="K119" s="114">
        <f>J119/J$95</f>
        <v>0.10530686758135045</v>
      </c>
      <c r="L119" s="154">
        <v>165248</v>
      </c>
      <c r="M119" s="111" t="s">
        <v>233</v>
      </c>
      <c r="N119" s="154">
        <v>621815</v>
      </c>
    </row>
    <row r="120" spans="2:14" x14ac:dyDescent="0.35">
      <c r="D120" s="111">
        <v>2021</v>
      </c>
      <c r="E120" s="111" t="s">
        <v>141</v>
      </c>
      <c r="F120" s="111" t="s">
        <v>78</v>
      </c>
      <c r="G120" s="148" t="s">
        <v>171</v>
      </c>
      <c r="H120" s="111">
        <v>842139</v>
      </c>
      <c r="I120" s="153">
        <v>16559365</v>
      </c>
      <c r="J120" s="149">
        <f t="shared" si="12"/>
        <v>1.6559365E-2</v>
      </c>
      <c r="K120" s="114">
        <f>J120/J$96</f>
        <v>4.3783084928301762E-2</v>
      </c>
      <c r="L120" s="154">
        <v>495750</v>
      </c>
      <c r="M120" s="111" t="s">
        <v>233</v>
      </c>
      <c r="N120" s="154">
        <v>728214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2EAC-4E79-46B4-9FAB-024513F39467}">
  <dimension ref="A2:R146"/>
  <sheetViews>
    <sheetView topLeftCell="A9" workbookViewId="0">
      <selection activeCell="U16" sqref="U16"/>
    </sheetView>
  </sheetViews>
  <sheetFormatPr defaultRowHeight="14.5" x14ac:dyDescent="0.35"/>
  <cols>
    <col min="2" max="2" width="12" bestFit="1" customWidth="1"/>
    <col min="3" max="3" width="18.453125" bestFit="1" customWidth="1"/>
    <col min="4" max="4" width="20.54296875" bestFit="1" customWidth="1"/>
    <col min="5" max="5" width="19.7265625" bestFit="1" customWidth="1"/>
    <col min="6" max="6" width="9.453125" bestFit="1" customWidth="1"/>
    <col min="7" max="8" width="9.54296875" bestFit="1" customWidth="1"/>
    <col min="9" max="9" width="9.453125" bestFit="1" customWidth="1"/>
    <col min="12" max="12" width="17.26953125" bestFit="1" customWidth="1"/>
    <col min="13" max="13" width="11.26953125" bestFit="1" customWidth="1"/>
    <col min="14" max="14" width="10.7265625" bestFit="1" customWidth="1"/>
  </cols>
  <sheetData>
    <row r="2" spans="1:15" x14ac:dyDescent="0.35">
      <c r="A2" t="s">
        <v>163</v>
      </c>
      <c r="K2" s="108" t="s">
        <v>241</v>
      </c>
    </row>
    <row r="3" spans="1:15" x14ac:dyDescent="0.35">
      <c r="B3" t="s">
        <v>242</v>
      </c>
      <c r="M3" t="s">
        <v>243</v>
      </c>
      <c r="N3" t="s">
        <v>147</v>
      </c>
    </row>
    <row r="4" spans="1:15" ht="15" thickBot="1" x14ac:dyDescent="0.4">
      <c r="L4" s="107"/>
      <c r="N4" s="111">
        <v>4.2</v>
      </c>
    </row>
    <row r="5" spans="1:15" ht="15" thickBot="1" x14ac:dyDescent="0.4">
      <c r="B5" s="158" t="s">
        <v>244</v>
      </c>
      <c r="C5" s="159" t="s">
        <v>245</v>
      </c>
      <c r="D5" s="160" t="s">
        <v>246</v>
      </c>
      <c r="E5" s="160"/>
      <c r="F5" s="160"/>
      <c r="G5" s="160" t="s">
        <v>247</v>
      </c>
      <c r="H5" s="160"/>
      <c r="I5" s="160"/>
      <c r="M5">
        <f>M37</f>
        <v>148.19999999999999</v>
      </c>
      <c r="N5" s="24">
        <f>M5/1000</f>
        <v>0.1482</v>
      </c>
      <c r="O5" s="102">
        <f>N5/N4</f>
        <v>3.5285714285714281E-2</v>
      </c>
    </row>
    <row r="6" spans="1:15" x14ac:dyDescent="0.35">
      <c r="B6" s="161"/>
      <c r="C6" s="162"/>
      <c r="D6" s="163" t="s">
        <v>248</v>
      </c>
      <c r="E6" s="163" t="s">
        <v>249</v>
      </c>
      <c r="F6" s="163" t="s">
        <v>250</v>
      </c>
      <c r="G6" s="163" t="s">
        <v>248</v>
      </c>
      <c r="H6" s="163" t="s">
        <v>249</v>
      </c>
      <c r="I6" s="164" t="s">
        <v>250</v>
      </c>
    </row>
    <row r="7" spans="1:15" x14ac:dyDescent="0.35">
      <c r="B7" s="165">
        <v>1</v>
      </c>
      <c r="C7" s="166" t="s">
        <v>251</v>
      </c>
      <c r="D7" s="167">
        <v>77.3</v>
      </c>
      <c r="E7" s="167">
        <v>69.62</v>
      </c>
      <c r="F7" s="167">
        <v>-9.93</v>
      </c>
      <c r="G7" s="168">
        <v>5192.12</v>
      </c>
      <c r="H7" s="168">
        <v>3698.71</v>
      </c>
      <c r="I7" s="169">
        <v>-28.76</v>
      </c>
      <c r="L7" t="s">
        <v>251</v>
      </c>
      <c r="M7" s="24">
        <v>69.62</v>
      </c>
      <c r="N7">
        <f>M7/1000</f>
        <v>6.9620000000000001E-2</v>
      </c>
      <c r="O7" s="102">
        <f t="shared" ref="O7:O32" si="0">M7/$M$5</f>
        <v>0.46977058029689617</v>
      </c>
    </row>
    <row r="8" spans="1:15" x14ac:dyDescent="0.35">
      <c r="B8" s="165">
        <v>2</v>
      </c>
      <c r="C8" s="166" t="s">
        <v>197</v>
      </c>
      <c r="D8" s="167">
        <v>36.159999999999997</v>
      </c>
      <c r="E8" s="167">
        <v>23.98</v>
      </c>
      <c r="F8" s="167">
        <v>-33.69</v>
      </c>
      <c r="G8" s="168">
        <v>2964.46</v>
      </c>
      <c r="H8" s="168">
        <v>1823.03</v>
      </c>
      <c r="I8" s="169">
        <v>-38.5</v>
      </c>
      <c r="L8" t="s">
        <v>197</v>
      </c>
      <c r="M8" s="24">
        <v>23.98</v>
      </c>
      <c r="N8">
        <f t="shared" ref="N8:N32" si="1">M8/1000</f>
        <v>2.3980000000000001E-2</v>
      </c>
      <c r="O8" s="102">
        <f t="shared" si="0"/>
        <v>0.16180836707152499</v>
      </c>
    </row>
    <row r="9" spans="1:15" x14ac:dyDescent="0.35">
      <c r="B9" s="165">
        <v>3</v>
      </c>
      <c r="C9" s="166" t="s">
        <v>252</v>
      </c>
      <c r="D9" s="167">
        <v>17.32</v>
      </c>
      <c r="E9" s="167">
        <v>15.43</v>
      </c>
      <c r="F9" s="167">
        <v>-10.9</v>
      </c>
      <c r="G9" s="168">
        <v>1569.08</v>
      </c>
      <c r="H9" s="167">
        <v>864.92</v>
      </c>
      <c r="I9" s="169">
        <v>-44.88</v>
      </c>
      <c r="L9" t="s">
        <v>252</v>
      </c>
      <c r="M9" s="24">
        <v>15.43</v>
      </c>
      <c r="N9">
        <f t="shared" si="1"/>
        <v>1.5429999999999999E-2</v>
      </c>
      <c r="O9" s="102">
        <f t="shared" si="0"/>
        <v>0.10411605937921728</v>
      </c>
    </row>
    <row r="10" spans="1:15" x14ac:dyDescent="0.35">
      <c r="B10" s="165">
        <v>4</v>
      </c>
      <c r="C10" s="166" t="s">
        <v>211</v>
      </c>
      <c r="D10" s="167">
        <v>24.27</v>
      </c>
      <c r="E10" s="167">
        <v>11.93</v>
      </c>
      <c r="F10" s="167">
        <v>-50.83</v>
      </c>
      <c r="G10" s="168">
        <v>1086.22</v>
      </c>
      <c r="H10" s="167">
        <v>387.32</v>
      </c>
      <c r="I10" s="169">
        <v>-64.34</v>
      </c>
      <c r="L10" t="s">
        <v>211</v>
      </c>
      <c r="M10" s="24">
        <v>11.93</v>
      </c>
      <c r="N10">
        <f t="shared" si="1"/>
        <v>1.193E-2</v>
      </c>
      <c r="O10" s="102">
        <f t="shared" si="0"/>
        <v>8.0499325236167346E-2</v>
      </c>
    </row>
    <row r="11" spans="1:15" x14ac:dyDescent="0.35">
      <c r="B11" s="165">
        <v>5</v>
      </c>
      <c r="C11" s="166" t="s">
        <v>216</v>
      </c>
      <c r="D11" s="167">
        <v>17.14</v>
      </c>
      <c r="E11" s="167">
        <v>10.72</v>
      </c>
      <c r="F11" s="167">
        <v>-37.46</v>
      </c>
      <c r="G11" s="168">
        <v>1025.29</v>
      </c>
      <c r="H11" s="167">
        <v>580.54999999999995</v>
      </c>
      <c r="I11" s="169">
        <v>-43.38</v>
      </c>
      <c r="L11" t="s">
        <v>216</v>
      </c>
      <c r="M11" s="24">
        <v>10.72</v>
      </c>
      <c r="N11">
        <f t="shared" si="1"/>
        <v>1.072E-2</v>
      </c>
      <c r="O11" s="102">
        <f t="shared" si="0"/>
        <v>7.2334682860998659E-2</v>
      </c>
    </row>
    <row r="12" spans="1:15" x14ac:dyDescent="0.35">
      <c r="B12" s="165">
        <v>6</v>
      </c>
      <c r="C12" s="166" t="s">
        <v>207</v>
      </c>
      <c r="D12" s="167">
        <v>3.05</v>
      </c>
      <c r="E12" s="167">
        <v>3.16</v>
      </c>
      <c r="F12" s="167">
        <v>3.6</v>
      </c>
      <c r="G12" s="167">
        <v>199.99</v>
      </c>
      <c r="H12" s="167">
        <v>113.78</v>
      </c>
      <c r="I12" s="169">
        <v>-43.1</v>
      </c>
      <c r="L12" t="s">
        <v>207</v>
      </c>
      <c r="M12" s="24">
        <v>3.16</v>
      </c>
      <c r="N12">
        <f t="shared" si="1"/>
        <v>3.16E-3</v>
      </c>
      <c r="O12" s="102">
        <f t="shared" si="0"/>
        <v>2.1322537112010799E-2</v>
      </c>
    </row>
    <row r="13" spans="1:15" x14ac:dyDescent="0.35">
      <c r="B13" s="165">
        <v>7</v>
      </c>
      <c r="C13" s="166" t="s">
        <v>253</v>
      </c>
      <c r="D13" s="167">
        <v>2.81</v>
      </c>
      <c r="E13" s="167">
        <v>2.98</v>
      </c>
      <c r="F13" s="167">
        <v>5.98</v>
      </c>
      <c r="G13" s="167">
        <v>110.86</v>
      </c>
      <c r="H13" s="167">
        <v>98.79</v>
      </c>
      <c r="I13" s="169">
        <v>-10.89</v>
      </c>
      <c r="L13" t="s">
        <v>253</v>
      </c>
      <c r="M13" s="24">
        <v>2.98</v>
      </c>
      <c r="N13">
        <f t="shared" si="1"/>
        <v>2.98E-3</v>
      </c>
      <c r="O13" s="102">
        <f t="shared" si="0"/>
        <v>2.0107962213225371E-2</v>
      </c>
    </row>
    <row r="14" spans="1:15" x14ac:dyDescent="0.35">
      <c r="B14" s="165">
        <v>8</v>
      </c>
      <c r="C14" s="166" t="s">
        <v>199</v>
      </c>
      <c r="D14" s="167">
        <v>5.72</v>
      </c>
      <c r="E14" s="167">
        <v>2.85</v>
      </c>
      <c r="F14" s="167">
        <v>-50.08</v>
      </c>
      <c r="G14" s="167">
        <v>230.86</v>
      </c>
      <c r="H14" s="167">
        <v>140.87</v>
      </c>
      <c r="I14" s="169">
        <v>-38.979999999999997</v>
      </c>
      <c r="L14" t="s">
        <v>199</v>
      </c>
      <c r="M14" s="24">
        <v>2.85</v>
      </c>
      <c r="N14">
        <f t="shared" si="1"/>
        <v>2.8500000000000001E-3</v>
      </c>
      <c r="O14" s="102">
        <f t="shared" si="0"/>
        <v>1.9230769230769232E-2</v>
      </c>
    </row>
    <row r="15" spans="1:15" x14ac:dyDescent="0.35">
      <c r="B15" s="165">
        <v>9</v>
      </c>
      <c r="C15" s="166" t="s">
        <v>215</v>
      </c>
      <c r="D15" s="167">
        <v>1.29</v>
      </c>
      <c r="E15" s="167">
        <v>1.47</v>
      </c>
      <c r="F15" s="167">
        <v>13.57</v>
      </c>
      <c r="G15" s="167">
        <v>61.91</v>
      </c>
      <c r="H15" s="167">
        <v>43.98</v>
      </c>
      <c r="I15" s="169">
        <v>-28.96</v>
      </c>
      <c r="L15" t="s">
        <v>215</v>
      </c>
      <c r="M15" s="24">
        <v>1.47</v>
      </c>
      <c r="N15">
        <f t="shared" si="1"/>
        <v>1.47E-3</v>
      </c>
      <c r="O15" s="102">
        <f t="shared" si="0"/>
        <v>9.9190283400809719E-3</v>
      </c>
    </row>
    <row r="16" spans="1:15" x14ac:dyDescent="0.35">
      <c r="B16" s="165">
        <v>10</v>
      </c>
      <c r="C16" s="166" t="s">
        <v>213</v>
      </c>
      <c r="D16" s="167">
        <v>0.72</v>
      </c>
      <c r="E16" s="167">
        <v>1.4</v>
      </c>
      <c r="F16" s="167">
        <v>93.7</v>
      </c>
      <c r="G16" s="167">
        <v>27.82</v>
      </c>
      <c r="H16" s="167">
        <v>46.89</v>
      </c>
      <c r="I16" s="169">
        <v>68.53</v>
      </c>
      <c r="L16" t="s">
        <v>213</v>
      </c>
      <c r="M16" s="24">
        <v>1.4</v>
      </c>
      <c r="N16">
        <f t="shared" si="1"/>
        <v>1.4E-3</v>
      </c>
      <c r="O16" s="102">
        <f t="shared" si="0"/>
        <v>9.4466936572199737E-3</v>
      </c>
    </row>
    <row r="17" spans="2:15" x14ac:dyDescent="0.35">
      <c r="B17" s="165">
        <v>11</v>
      </c>
      <c r="C17" s="166" t="s">
        <v>254</v>
      </c>
      <c r="D17" s="167">
        <v>1.39</v>
      </c>
      <c r="E17" s="167">
        <v>1.24</v>
      </c>
      <c r="F17" s="167">
        <v>-11.23</v>
      </c>
      <c r="G17" s="167">
        <v>41.81</v>
      </c>
      <c r="H17" s="167">
        <v>23.85</v>
      </c>
      <c r="I17" s="169">
        <v>-42.95</v>
      </c>
      <c r="L17" t="s">
        <v>254</v>
      </c>
      <c r="M17" s="24">
        <v>1.24</v>
      </c>
      <c r="N17">
        <f t="shared" si="1"/>
        <v>1.24E-3</v>
      </c>
      <c r="O17" s="102">
        <f t="shared" si="0"/>
        <v>8.3670715249662617E-3</v>
      </c>
    </row>
    <row r="18" spans="2:15" x14ac:dyDescent="0.35">
      <c r="B18" s="165">
        <v>12</v>
      </c>
      <c r="C18" s="166" t="s">
        <v>255</v>
      </c>
      <c r="D18" s="167"/>
      <c r="E18" s="167">
        <v>1.0900000000000001</v>
      </c>
      <c r="F18" s="167"/>
      <c r="G18" s="167"/>
      <c r="H18" s="167">
        <v>10.86</v>
      </c>
      <c r="I18" s="169"/>
      <c r="L18" t="s">
        <v>255</v>
      </c>
      <c r="M18" s="24">
        <v>1.0900000000000001</v>
      </c>
      <c r="N18">
        <f t="shared" si="1"/>
        <v>1.09E-3</v>
      </c>
      <c r="O18" s="102">
        <f t="shared" si="0"/>
        <v>7.3549257759784083E-3</v>
      </c>
    </row>
    <row r="19" spans="2:15" x14ac:dyDescent="0.35">
      <c r="B19" s="165">
        <v>13</v>
      </c>
      <c r="C19" s="166" t="s">
        <v>204</v>
      </c>
      <c r="D19" s="167">
        <v>6.02</v>
      </c>
      <c r="E19" s="167">
        <v>0.84</v>
      </c>
      <c r="F19" s="167">
        <v>-86.06</v>
      </c>
      <c r="G19" s="167">
        <v>327.86</v>
      </c>
      <c r="H19" s="167">
        <v>34.200000000000003</v>
      </c>
      <c r="I19" s="169">
        <v>-89.57</v>
      </c>
      <c r="L19" t="s">
        <v>204</v>
      </c>
      <c r="M19" s="24">
        <v>0.84</v>
      </c>
      <c r="N19">
        <f t="shared" si="1"/>
        <v>8.3999999999999993E-4</v>
      </c>
      <c r="O19" s="102">
        <f t="shared" si="0"/>
        <v>5.6680161943319842E-3</v>
      </c>
    </row>
    <row r="20" spans="2:15" x14ac:dyDescent="0.35">
      <c r="B20" s="165">
        <v>14</v>
      </c>
      <c r="C20" s="166" t="s">
        <v>202</v>
      </c>
      <c r="D20" s="167">
        <v>0.96</v>
      </c>
      <c r="E20" s="167">
        <v>0.74</v>
      </c>
      <c r="F20" s="167">
        <v>-22.54</v>
      </c>
      <c r="G20" s="167">
        <v>36.15</v>
      </c>
      <c r="H20" s="167">
        <v>27.87</v>
      </c>
      <c r="I20" s="169">
        <v>-22.89</v>
      </c>
      <c r="L20" t="s">
        <v>202</v>
      </c>
      <c r="M20" s="24">
        <v>0.74</v>
      </c>
      <c r="N20">
        <f t="shared" si="1"/>
        <v>7.3999999999999999E-4</v>
      </c>
      <c r="O20" s="102">
        <f t="shared" si="0"/>
        <v>4.9932523616734144E-3</v>
      </c>
    </row>
    <row r="21" spans="2:15" x14ac:dyDescent="0.35">
      <c r="B21" s="165">
        <v>15</v>
      </c>
      <c r="C21" s="166" t="s">
        <v>256</v>
      </c>
      <c r="D21" s="167">
        <v>0.43</v>
      </c>
      <c r="E21" s="167">
        <v>0.2</v>
      </c>
      <c r="F21" s="167">
        <v>-52.08</v>
      </c>
      <c r="G21" s="167">
        <v>36.44</v>
      </c>
      <c r="H21" s="167">
        <v>14.17</v>
      </c>
      <c r="I21" s="169">
        <v>-61.12</v>
      </c>
      <c r="L21" t="s">
        <v>256</v>
      </c>
      <c r="M21" s="24">
        <v>0.2</v>
      </c>
      <c r="N21">
        <f t="shared" si="1"/>
        <v>2.0000000000000001E-4</v>
      </c>
      <c r="O21" s="102">
        <f t="shared" si="0"/>
        <v>1.3495276653171392E-3</v>
      </c>
    </row>
    <row r="22" spans="2:15" x14ac:dyDescent="0.35">
      <c r="B22" s="165">
        <v>16</v>
      </c>
      <c r="C22" s="166" t="s">
        <v>210</v>
      </c>
      <c r="D22" s="167">
        <v>1.1299999999999999</v>
      </c>
      <c r="E22" s="167">
        <v>0.2</v>
      </c>
      <c r="F22" s="167">
        <v>-82.41</v>
      </c>
      <c r="G22" s="167">
        <v>35.090000000000003</v>
      </c>
      <c r="H22" s="167">
        <v>2.25</v>
      </c>
      <c r="I22" s="169">
        <v>-93.58</v>
      </c>
      <c r="L22" t="s">
        <v>210</v>
      </c>
      <c r="M22" s="24">
        <v>0.2</v>
      </c>
      <c r="N22">
        <f t="shared" si="1"/>
        <v>2.0000000000000001E-4</v>
      </c>
      <c r="O22" s="102">
        <f t="shared" si="0"/>
        <v>1.3495276653171392E-3</v>
      </c>
    </row>
    <row r="23" spans="2:15" x14ac:dyDescent="0.35">
      <c r="B23" s="165">
        <v>17</v>
      </c>
      <c r="C23" s="166" t="s">
        <v>257</v>
      </c>
      <c r="D23" s="167">
        <v>0.14000000000000001</v>
      </c>
      <c r="E23" s="167">
        <v>0.1</v>
      </c>
      <c r="F23" s="167">
        <v>-24.96</v>
      </c>
      <c r="G23" s="167">
        <v>8.42</v>
      </c>
      <c r="H23" s="167">
        <v>5.62</v>
      </c>
      <c r="I23" s="169">
        <v>-33.270000000000003</v>
      </c>
      <c r="L23" t="s">
        <v>257</v>
      </c>
      <c r="M23" s="24">
        <v>0.1</v>
      </c>
      <c r="N23">
        <f t="shared" si="1"/>
        <v>1E-4</v>
      </c>
      <c r="O23" s="102">
        <f t="shared" si="0"/>
        <v>6.7476383265856958E-4</v>
      </c>
    </row>
    <row r="24" spans="2:15" x14ac:dyDescent="0.35">
      <c r="B24" s="165">
        <v>18</v>
      </c>
      <c r="C24" s="166" t="s">
        <v>258</v>
      </c>
      <c r="D24" s="167">
        <v>0.01</v>
      </c>
      <c r="E24" s="167">
        <v>0.05</v>
      </c>
      <c r="F24" s="167">
        <v>401.04</v>
      </c>
      <c r="G24" s="167">
        <v>0.72</v>
      </c>
      <c r="H24" s="167">
        <v>2.11</v>
      </c>
      <c r="I24" s="169">
        <v>192.38</v>
      </c>
      <c r="L24" t="s">
        <v>258</v>
      </c>
      <c r="M24" s="24">
        <v>0.05</v>
      </c>
      <c r="N24">
        <f t="shared" si="1"/>
        <v>5.0000000000000002E-5</v>
      </c>
      <c r="O24" s="102">
        <f t="shared" si="0"/>
        <v>3.3738191632928479E-4</v>
      </c>
    </row>
    <row r="25" spans="2:15" x14ac:dyDescent="0.35">
      <c r="B25" s="165">
        <v>19</v>
      </c>
      <c r="C25" s="166" t="s">
        <v>259</v>
      </c>
      <c r="D25" s="167">
        <v>0.03</v>
      </c>
      <c r="E25" s="167">
        <v>0.04</v>
      </c>
      <c r="F25" s="167">
        <v>52.99</v>
      </c>
      <c r="G25" s="167">
        <v>1.45</v>
      </c>
      <c r="H25" s="167">
        <v>1.57</v>
      </c>
      <c r="I25" s="169">
        <v>7.98</v>
      </c>
      <c r="L25" t="s">
        <v>259</v>
      </c>
      <c r="M25" s="24">
        <v>0.04</v>
      </c>
      <c r="N25">
        <f t="shared" si="1"/>
        <v>4.0000000000000003E-5</v>
      </c>
      <c r="O25" s="102">
        <f t="shared" si="0"/>
        <v>2.6990553306342784E-4</v>
      </c>
    </row>
    <row r="26" spans="2:15" x14ac:dyDescent="0.35">
      <c r="B26" s="165">
        <v>20</v>
      </c>
      <c r="C26" s="166" t="s">
        <v>260</v>
      </c>
      <c r="D26" s="167"/>
      <c r="E26" s="167">
        <v>0.03</v>
      </c>
      <c r="F26" s="167"/>
      <c r="G26" s="167"/>
      <c r="H26" s="167">
        <v>0.31</v>
      </c>
      <c r="I26" s="169"/>
      <c r="L26" t="s">
        <v>260</v>
      </c>
      <c r="M26" s="24">
        <v>0.03</v>
      </c>
      <c r="N26">
        <f t="shared" si="1"/>
        <v>2.9999999999999997E-5</v>
      </c>
      <c r="O26" s="102">
        <f t="shared" si="0"/>
        <v>2.0242914979757087E-4</v>
      </c>
    </row>
    <row r="27" spans="2:15" x14ac:dyDescent="0.35">
      <c r="B27" s="165">
        <v>21</v>
      </c>
      <c r="C27" s="166" t="s">
        <v>261</v>
      </c>
      <c r="D27" s="167">
        <v>0.01</v>
      </c>
      <c r="E27" s="167">
        <v>0.03</v>
      </c>
      <c r="F27" s="167">
        <v>373.02</v>
      </c>
      <c r="G27" s="167">
        <v>0.36</v>
      </c>
      <c r="H27" s="167">
        <v>1.36</v>
      </c>
      <c r="I27" s="169">
        <v>282.87</v>
      </c>
      <c r="L27" t="s">
        <v>261</v>
      </c>
      <c r="M27" s="24">
        <v>0.03</v>
      </c>
      <c r="N27">
        <f t="shared" si="1"/>
        <v>2.9999999999999997E-5</v>
      </c>
      <c r="O27" s="102">
        <f t="shared" si="0"/>
        <v>2.0242914979757087E-4</v>
      </c>
    </row>
    <row r="28" spans="2:15" x14ac:dyDescent="0.35">
      <c r="B28" s="165">
        <v>22</v>
      </c>
      <c r="C28" s="166" t="s">
        <v>262</v>
      </c>
      <c r="D28" s="167">
        <v>0.02</v>
      </c>
      <c r="E28" s="167">
        <v>0.03</v>
      </c>
      <c r="F28" s="167">
        <v>68.099999999999994</v>
      </c>
      <c r="G28" s="167">
        <v>0.88</v>
      </c>
      <c r="H28" s="167">
        <v>0.2</v>
      </c>
      <c r="I28" s="169">
        <v>-77.400000000000006</v>
      </c>
      <c r="L28" t="s">
        <v>262</v>
      </c>
      <c r="M28" s="24">
        <v>0.03</v>
      </c>
      <c r="N28">
        <f t="shared" si="1"/>
        <v>2.9999999999999997E-5</v>
      </c>
      <c r="O28" s="102">
        <f t="shared" si="0"/>
        <v>2.0242914979757087E-4</v>
      </c>
    </row>
    <row r="29" spans="2:15" x14ac:dyDescent="0.35">
      <c r="B29" s="165">
        <v>23</v>
      </c>
      <c r="C29" s="166" t="s">
        <v>212</v>
      </c>
      <c r="D29" s="167">
        <v>0</v>
      </c>
      <c r="E29" s="167">
        <v>0.02</v>
      </c>
      <c r="F29" s="167">
        <v>632.35</v>
      </c>
      <c r="G29" s="167">
        <v>0.28000000000000003</v>
      </c>
      <c r="H29" s="167">
        <v>1.79</v>
      </c>
      <c r="I29" s="169">
        <v>535.82000000000005</v>
      </c>
      <c r="L29" t="s">
        <v>212</v>
      </c>
      <c r="M29" s="24">
        <v>0.02</v>
      </c>
      <c r="N29">
        <f t="shared" si="1"/>
        <v>2.0000000000000002E-5</v>
      </c>
      <c r="O29" s="102">
        <f t="shared" si="0"/>
        <v>1.3495276653171392E-4</v>
      </c>
    </row>
    <row r="30" spans="2:15" x14ac:dyDescent="0.35">
      <c r="B30" s="165">
        <v>24</v>
      </c>
      <c r="C30" s="166" t="s">
        <v>263</v>
      </c>
      <c r="D30" s="167">
        <v>0.06</v>
      </c>
      <c r="E30" s="167">
        <v>0.01</v>
      </c>
      <c r="F30" s="167">
        <v>-79.87</v>
      </c>
      <c r="G30" s="167">
        <v>3.68</v>
      </c>
      <c r="H30" s="167">
        <v>0.56999999999999995</v>
      </c>
      <c r="I30" s="169">
        <v>-84.44</v>
      </c>
      <c r="L30" t="s">
        <v>263</v>
      </c>
      <c r="M30" s="24">
        <v>0.01</v>
      </c>
      <c r="N30">
        <f t="shared" si="1"/>
        <v>1.0000000000000001E-5</v>
      </c>
      <c r="O30" s="102">
        <f t="shared" si="0"/>
        <v>6.7476383265856961E-5</v>
      </c>
    </row>
    <row r="31" spans="2:15" x14ac:dyDescent="0.35">
      <c r="B31" s="165">
        <v>25</v>
      </c>
      <c r="C31" s="166" t="s">
        <v>208</v>
      </c>
      <c r="D31" s="167">
        <v>0.02</v>
      </c>
      <c r="E31" s="167">
        <v>0.01</v>
      </c>
      <c r="F31" s="167">
        <v>-58.05</v>
      </c>
      <c r="G31" s="167">
        <v>1.2</v>
      </c>
      <c r="H31" s="167">
        <v>0.19</v>
      </c>
      <c r="I31" s="169">
        <v>-84.26</v>
      </c>
      <c r="L31" t="s">
        <v>208</v>
      </c>
      <c r="M31" s="24">
        <v>0.01</v>
      </c>
      <c r="N31">
        <f t="shared" si="1"/>
        <v>1.0000000000000001E-5</v>
      </c>
      <c r="O31" s="102">
        <f t="shared" si="0"/>
        <v>6.7476383265856961E-5</v>
      </c>
    </row>
    <row r="32" spans="2:15" x14ac:dyDescent="0.35">
      <c r="B32" s="165">
        <v>26</v>
      </c>
      <c r="C32" s="166" t="s">
        <v>264</v>
      </c>
      <c r="D32" s="167">
        <v>0.06</v>
      </c>
      <c r="E32" s="167">
        <v>0.01</v>
      </c>
      <c r="F32" s="167">
        <v>-91.07</v>
      </c>
      <c r="G32" s="167">
        <v>1.08</v>
      </c>
      <c r="H32" s="167">
        <v>0.08</v>
      </c>
      <c r="I32" s="169">
        <v>-92.33</v>
      </c>
      <c r="L32" t="s">
        <v>264</v>
      </c>
      <c r="M32" s="24">
        <v>0.01</v>
      </c>
      <c r="N32">
        <f t="shared" si="1"/>
        <v>1.0000000000000001E-5</v>
      </c>
      <c r="O32" s="102">
        <f t="shared" si="0"/>
        <v>6.7476383265856961E-5</v>
      </c>
    </row>
    <row r="33" spans="2:15" x14ac:dyDescent="0.35">
      <c r="B33" s="165">
        <v>27</v>
      </c>
      <c r="C33" s="166" t="s">
        <v>265</v>
      </c>
      <c r="D33" s="167">
        <v>0.28000000000000003</v>
      </c>
      <c r="E33" s="167">
        <v>0</v>
      </c>
      <c r="F33" s="167">
        <v>-98.56</v>
      </c>
      <c r="G33" s="167">
        <v>10.59</v>
      </c>
      <c r="H33" s="167">
        <v>0.08</v>
      </c>
      <c r="I33" s="169">
        <v>-99.21</v>
      </c>
    </row>
    <row r="34" spans="2:15" x14ac:dyDescent="0.35">
      <c r="B34" s="165">
        <v>28</v>
      </c>
      <c r="C34" s="166" t="s">
        <v>266</v>
      </c>
      <c r="D34" s="167">
        <v>0</v>
      </c>
      <c r="E34" s="167">
        <v>0</v>
      </c>
      <c r="F34" s="168">
        <v>2800</v>
      </c>
      <c r="G34" s="167">
        <v>0</v>
      </c>
      <c r="H34" s="167">
        <v>0.12</v>
      </c>
      <c r="I34" s="170">
        <v>3833.33</v>
      </c>
      <c r="M34">
        <f>SUM(M7:M32)</f>
        <v>148.17999999999998</v>
      </c>
    </row>
    <row r="35" spans="2:15" x14ac:dyDescent="0.35">
      <c r="B35" s="165">
        <v>29</v>
      </c>
      <c r="C35" s="166" t="s">
        <v>206</v>
      </c>
      <c r="D35" s="167">
        <v>7.0000000000000007E-2</v>
      </c>
      <c r="E35" s="167">
        <v>0</v>
      </c>
      <c r="F35" s="167">
        <v>-95.72</v>
      </c>
      <c r="G35" s="167">
        <v>26.3</v>
      </c>
      <c r="H35" s="167">
        <v>0.22</v>
      </c>
      <c r="I35" s="169">
        <v>-99.15</v>
      </c>
      <c r="L35" t="s">
        <v>267</v>
      </c>
      <c r="M35">
        <f>M37-M34</f>
        <v>2.0000000000010232E-2</v>
      </c>
      <c r="O35" s="102">
        <f>M35/$M$5</f>
        <v>1.3495276653178296E-4</v>
      </c>
    </row>
    <row r="36" spans="2:15" x14ac:dyDescent="0.35">
      <c r="B36" s="165">
        <v>30</v>
      </c>
      <c r="C36" s="166" t="s">
        <v>218</v>
      </c>
      <c r="D36" s="167"/>
      <c r="E36" s="167">
        <v>0</v>
      </c>
      <c r="F36" s="167"/>
      <c r="G36" s="167"/>
      <c r="H36" s="167">
        <v>0.05</v>
      </c>
      <c r="I36" s="169"/>
    </row>
    <row r="37" spans="2:15" x14ac:dyDescent="0.35">
      <c r="B37" s="165">
        <v>31</v>
      </c>
      <c r="C37" s="166" t="s">
        <v>268</v>
      </c>
      <c r="D37" s="167"/>
      <c r="E37" s="167">
        <v>0</v>
      </c>
      <c r="F37" s="167"/>
      <c r="G37" s="167"/>
      <c r="H37" s="167">
        <v>0</v>
      </c>
      <c r="I37" s="169"/>
      <c r="L37" t="s">
        <v>35</v>
      </c>
      <c r="M37">
        <v>148.19999999999999</v>
      </c>
    </row>
    <row r="38" spans="2:15" x14ac:dyDescent="0.35">
      <c r="B38" s="165">
        <v>32</v>
      </c>
      <c r="C38" s="166" t="s">
        <v>269</v>
      </c>
      <c r="D38" s="167"/>
      <c r="E38" s="167">
        <v>0</v>
      </c>
      <c r="F38" s="167"/>
      <c r="G38" s="167"/>
      <c r="H38" s="167">
        <v>0</v>
      </c>
      <c r="I38" s="169"/>
    </row>
    <row r="39" spans="2:15" x14ac:dyDescent="0.35">
      <c r="B39" s="165">
        <v>33</v>
      </c>
      <c r="C39" s="166" t="s">
        <v>270</v>
      </c>
      <c r="D39" s="167">
        <v>0.11</v>
      </c>
      <c r="E39" s="167"/>
      <c r="F39" s="167"/>
      <c r="G39" s="167">
        <v>18.97</v>
      </c>
      <c r="H39" s="167"/>
      <c r="I39" s="169"/>
    </row>
    <row r="40" spans="2:15" x14ac:dyDescent="0.35">
      <c r="B40" s="165">
        <v>34</v>
      </c>
      <c r="C40" s="166" t="s">
        <v>271</v>
      </c>
      <c r="D40" s="167">
        <v>0</v>
      </c>
      <c r="E40" s="167"/>
      <c r="F40" s="167"/>
      <c r="G40" s="167">
        <v>0.03</v>
      </c>
      <c r="H40" s="167"/>
      <c r="I40" s="169"/>
    </row>
    <row r="41" spans="2:15" x14ac:dyDescent="0.35">
      <c r="B41" s="165">
        <v>35</v>
      </c>
      <c r="C41" s="166" t="s">
        <v>272</v>
      </c>
      <c r="D41" s="167">
        <v>0.01</v>
      </c>
      <c r="E41" s="167"/>
      <c r="F41" s="167"/>
      <c r="G41" s="167">
        <v>1.34</v>
      </c>
      <c r="H41" s="167"/>
      <c r="I41" s="169"/>
    </row>
    <row r="42" spans="2:15" x14ac:dyDescent="0.35">
      <c r="B42" s="165">
        <v>36</v>
      </c>
      <c r="C42" s="166" t="s">
        <v>273</v>
      </c>
      <c r="D42" s="167">
        <v>0.02</v>
      </c>
      <c r="E42" s="167"/>
      <c r="F42" s="167"/>
      <c r="G42" s="167">
        <v>1.5</v>
      </c>
      <c r="H42" s="167"/>
      <c r="I42" s="169"/>
    </row>
    <row r="43" spans="2:15" x14ac:dyDescent="0.35">
      <c r="B43" s="165">
        <v>37</v>
      </c>
      <c r="C43" s="166" t="s">
        <v>274</v>
      </c>
      <c r="D43" s="167">
        <v>0</v>
      </c>
      <c r="E43" s="167"/>
      <c r="F43" s="167"/>
      <c r="G43" s="167">
        <v>0</v>
      </c>
      <c r="H43" s="167"/>
      <c r="I43" s="169"/>
    </row>
    <row r="44" spans="2:15" x14ac:dyDescent="0.35">
      <c r="B44" s="165">
        <v>38</v>
      </c>
      <c r="C44" s="166" t="s">
        <v>275</v>
      </c>
      <c r="D44" s="167">
        <v>0.02</v>
      </c>
      <c r="E44" s="167"/>
      <c r="F44" s="167"/>
      <c r="G44" s="167">
        <v>0.71</v>
      </c>
      <c r="H44" s="167"/>
      <c r="I44" s="169"/>
    </row>
    <row r="45" spans="2:15" x14ac:dyDescent="0.35">
      <c r="B45" s="165">
        <v>39</v>
      </c>
      <c r="C45" s="166" t="s">
        <v>276</v>
      </c>
      <c r="D45" s="167"/>
      <c r="E45" s="167"/>
      <c r="F45" s="167"/>
      <c r="G45" s="167">
        <v>0</v>
      </c>
      <c r="H45" s="167"/>
      <c r="I45" s="169"/>
    </row>
    <row r="46" spans="2:15" x14ac:dyDescent="0.35">
      <c r="B46" s="165">
        <v>40</v>
      </c>
      <c r="C46" s="166" t="s">
        <v>217</v>
      </c>
      <c r="D46" s="167">
        <v>0.03</v>
      </c>
      <c r="E46" s="167"/>
      <c r="F46" s="167"/>
      <c r="G46" s="167">
        <v>3.89</v>
      </c>
      <c r="H46" s="167"/>
      <c r="I46" s="169"/>
    </row>
    <row r="47" spans="2:15" x14ac:dyDescent="0.35">
      <c r="B47" s="165">
        <v>41</v>
      </c>
      <c r="C47" s="166" t="s">
        <v>277</v>
      </c>
      <c r="D47" s="167">
        <v>0.09</v>
      </c>
      <c r="E47" s="167"/>
      <c r="F47" s="167"/>
      <c r="G47" s="167">
        <v>10.06</v>
      </c>
      <c r="H47" s="167"/>
      <c r="I47" s="169"/>
    </row>
    <row r="48" spans="2:15" x14ac:dyDescent="0.35">
      <c r="B48" s="165">
        <v>42</v>
      </c>
      <c r="C48" s="166" t="s">
        <v>278</v>
      </c>
      <c r="D48" s="167">
        <v>0</v>
      </c>
      <c r="E48" s="167"/>
      <c r="F48" s="167"/>
      <c r="G48" s="167">
        <v>7.0000000000000007E-2</v>
      </c>
      <c r="H48" s="167"/>
      <c r="I48" s="169"/>
    </row>
    <row r="49" spans="1:18" x14ac:dyDescent="0.35">
      <c r="B49" s="171"/>
      <c r="C49" s="172" t="s">
        <v>35</v>
      </c>
      <c r="D49" s="173">
        <v>196.68</v>
      </c>
      <c r="E49" s="173">
        <v>148.19999999999999</v>
      </c>
      <c r="F49" s="173">
        <v>-24.65</v>
      </c>
      <c r="G49" s="174"/>
      <c r="H49" s="174"/>
      <c r="I49" s="175"/>
    </row>
    <row r="50" spans="1:18" x14ac:dyDescent="0.35">
      <c r="B50" s="176" t="s">
        <v>279</v>
      </c>
      <c r="C50" s="177"/>
      <c r="D50" s="178">
        <v>474709.28</v>
      </c>
      <c r="E50" s="178">
        <v>394435.88</v>
      </c>
      <c r="F50" s="179">
        <v>-16.91</v>
      </c>
      <c r="G50" s="167"/>
      <c r="H50" s="167"/>
      <c r="I50" s="169"/>
    </row>
    <row r="51" spans="1:18" ht="15" thickBot="1" x14ac:dyDescent="0.4">
      <c r="B51" s="180" t="s">
        <v>280</v>
      </c>
      <c r="C51" s="181"/>
      <c r="D51" s="182">
        <v>4.1399999999999999E-2</v>
      </c>
      <c r="E51" s="182">
        <v>3.7600000000000001E-2</v>
      </c>
      <c r="F51" s="182"/>
      <c r="G51" s="183"/>
      <c r="H51" s="183"/>
      <c r="I51" s="184"/>
    </row>
    <row r="55" spans="1:18" x14ac:dyDescent="0.35">
      <c r="A55" t="s">
        <v>164</v>
      </c>
      <c r="K55" s="108" t="s">
        <v>241</v>
      </c>
    </row>
    <row r="56" spans="1:18" x14ac:dyDescent="0.35">
      <c r="B56" t="s">
        <v>281</v>
      </c>
      <c r="M56" t="s">
        <v>243</v>
      </c>
      <c r="N56" t="s">
        <v>147</v>
      </c>
    </row>
    <row r="57" spans="1:18" ht="15" thickBot="1" x14ac:dyDescent="0.4">
      <c r="L57" s="107"/>
      <c r="N57" s="111">
        <v>4.2</v>
      </c>
    </row>
    <row r="58" spans="1:18" ht="15" thickBot="1" x14ac:dyDescent="0.4">
      <c r="B58" s="185" t="s">
        <v>244</v>
      </c>
      <c r="C58" s="186" t="s">
        <v>245</v>
      </c>
      <c r="D58" s="187" t="s">
        <v>246</v>
      </c>
      <c r="E58" s="188"/>
      <c r="F58" s="188"/>
      <c r="G58" s="189" t="s">
        <v>247</v>
      </c>
      <c r="H58" s="189"/>
      <c r="I58" s="189"/>
      <c r="M58">
        <f>M121</f>
        <v>447.4</v>
      </c>
      <c r="N58">
        <f>M58/1000</f>
        <v>0.44739999999999996</v>
      </c>
      <c r="O58" s="102">
        <f>N58/N57</f>
        <v>0.10652380952380951</v>
      </c>
      <c r="Q58" t="s">
        <v>282</v>
      </c>
      <c r="R58" s="116">
        <f>N58*23%</f>
        <v>0.10290199999999999</v>
      </c>
    </row>
    <row r="59" spans="1:18" x14ac:dyDescent="0.35">
      <c r="B59" s="190"/>
      <c r="C59" s="191"/>
      <c r="D59" s="191" t="s">
        <v>248</v>
      </c>
      <c r="E59" s="191" t="s">
        <v>249</v>
      </c>
      <c r="F59" s="191" t="s">
        <v>250</v>
      </c>
      <c r="G59" s="191" t="s">
        <v>248</v>
      </c>
      <c r="H59" s="191" t="s">
        <v>249</v>
      </c>
      <c r="I59" s="192" t="s">
        <v>250</v>
      </c>
    </row>
    <row r="60" spans="1:18" x14ac:dyDescent="0.35">
      <c r="B60" s="193">
        <v>1</v>
      </c>
      <c r="C60" s="166" t="s">
        <v>251</v>
      </c>
      <c r="D60" s="194">
        <v>61.58</v>
      </c>
      <c r="E60" s="194">
        <v>91.78</v>
      </c>
      <c r="F60" s="194">
        <v>49.04</v>
      </c>
      <c r="G60" s="195">
        <v>5894.31</v>
      </c>
      <c r="H60" s="195">
        <v>8785.49</v>
      </c>
      <c r="I60" s="196">
        <v>49.05</v>
      </c>
      <c r="L60" t="s">
        <v>251</v>
      </c>
      <c r="M60" s="24">
        <v>91.78</v>
      </c>
      <c r="N60">
        <f>M60/1000</f>
        <v>9.178E-2</v>
      </c>
      <c r="O60" s="102">
        <f t="shared" ref="O60:O116" si="2">M60/$M$58</f>
        <v>0.20514081358962899</v>
      </c>
    </row>
    <row r="61" spans="1:18" x14ac:dyDescent="0.35">
      <c r="B61" s="193">
        <v>2</v>
      </c>
      <c r="C61" s="166" t="s">
        <v>199</v>
      </c>
      <c r="D61" s="194">
        <v>74.61</v>
      </c>
      <c r="E61" s="194">
        <v>66.17</v>
      </c>
      <c r="F61" s="194">
        <v>-11.31</v>
      </c>
      <c r="G61" s="195">
        <v>1676.17</v>
      </c>
      <c r="H61" s="195">
        <v>1013.48</v>
      </c>
      <c r="I61" s="196">
        <v>-39.54</v>
      </c>
      <c r="L61" t="s">
        <v>199</v>
      </c>
      <c r="M61" s="24">
        <v>66.17</v>
      </c>
      <c r="N61">
        <f t="shared" ref="N61:N116" si="3">M61/1000</f>
        <v>6.6170000000000007E-2</v>
      </c>
      <c r="O61" s="102">
        <f t="shared" si="2"/>
        <v>0.14789897183728209</v>
      </c>
    </row>
    <row r="62" spans="1:18" x14ac:dyDescent="0.35">
      <c r="B62" s="193">
        <v>3</v>
      </c>
      <c r="C62" s="166" t="s">
        <v>211</v>
      </c>
      <c r="D62" s="194">
        <v>72.069999999999993</v>
      </c>
      <c r="E62" s="194">
        <v>45.73</v>
      </c>
      <c r="F62" s="194">
        <v>-36.549999999999997</v>
      </c>
      <c r="G62" s="195">
        <v>6295.88</v>
      </c>
      <c r="H62" s="195">
        <v>5487.47</v>
      </c>
      <c r="I62" s="196">
        <v>-12.84</v>
      </c>
      <c r="L62" t="s">
        <v>211</v>
      </c>
      <c r="M62" s="24">
        <v>45.73</v>
      </c>
      <c r="N62">
        <f t="shared" si="3"/>
        <v>4.573E-2</v>
      </c>
      <c r="O62" s="102">
        <f t="shared" si="2"/>
        <v>0.10221278497988377</v>
      </c>
    </row>
    <row r="63" spans="1:18" x14ac:dyDescent="0.35">
      <c r="B63" s="193">
        <v>4</v>
      </c>
      <c r="C63" s="166" t="s">
        <v>252</v>
      </c>
      <c r="D63" s="194">
        <v>43.22</v>
      </c>
      <c r="E63" s="194">
        <v>45.24</v>
      </c>
      <c r="F63" s="194">
        <v>4.67</v>
      </c>
      <c r="G63" s="195">
        <v>1633.29</v>
      </c>
      <c r="H63" s="195">
        <v>1458.92</v>
      </c>
      <c r="I63" s="196">
        <v>-10.68</v>
      </c>
      <c r="L63" t="s">
        <v>252</v>
      </c>
      <c r="M63" s="24">
        <v>45.24</v>
      </c>
      <c r="N63">
        <f t="shared" si="3"/>
        <v>4.5240000000000002E-2</v>
      </c>
      <c r="O63" s="102">
        <f t="shared" si="2"/>
        <v>0.10111756817165848</v>
      </c>
    </row>
    <row r="64" spans="1:18" x14ac:dyDescent="0.35">
      <c r="B64" s="193">
        <v>5</v>
      </c>
      <c r="C64" s="166" t="s">
        <v>197</v>
      </c>
      <c r="D64" s="194">
        <v>51.35</v>
      </c>
      <c r="E64" s="194">
        <v>38.39</v>
      </c>
      <c r="F64" s="194">
        <v>-25.24</v>
      </c>
      <c r="G64" s="195">
        <v>3274.28</v>
      </c>
      <c r="H64" s="195">
        <v>3616.94</v>
      </c>
      <c r="I64" s="196">
        <v>10.47</v>
      </c>
      <c r="L64" t="s">
        <v>197</v>
      </c>
      <c r="M64" s="24">
        <v>38.39</v>
      </c>
      <c r="N64">
        <f t="shared" si="3"/>
        <v>3.8390000000000001E-2</v>
      </c>
      <c r="O64" s="102">
        <f t="shared" si="2"/>
        <v>8.5806884219937415E-2</v>
      </c>
    </row>
    <row r="65" spans="2:15" x14ac:dyDescent="0.35">
      <c r="B65" s="193">
        <v>6</v>
      </c>
      <c r="C65" s="166" t="s">
        <v>253</v>
      </c>
      <c r="D65" s="194">
        <v>43.61</v>
      </c>
      <c r="E65" s="194">
        <v>34.79</v>
      </c>
      <c r="F65" s="194">
        <v>-20.21</v>
      </c>
      <c r="G65" s="195">
        <v>1451.81</v>
      </c>
      <c r="H65" s="195">
        <v>1117.4100000000001</v>
      </c>
      <c r="I65" s="196">
        <v>-23.03</v>
      </c>
      <c r="L65" t="s">
        <v>253</v>
      </c>
      <c r="M65" s="24">
        <v>34.79</v>
      </c>
      <c r="N65">
        <f t="shared" si="3"/>
        <v>3.4790000000000001E-2</v>
      </c>
      <c r="O65" s="102">
        <f t="shared" si="2"/>
        <v>7.7760393383996429E-2</v>
      </c>
    </row>
    <row r="66" spans="2:15" x14ac:dyDescent="0.35">
      <c r="B66" s="193">
        <v>7</v>
      </c>
      <c r="C66" s="166" t="s">
        <v>202</v>
      </c>
      <c r="D66" s="194">
        <v>14.13</v>
      </c>
      <c r="E66" s="194">
        <v>13.27</v>
      </c>
      <c r="F66" s="194">
        <v>-6.1</v>
      </c>
      <c r="G66" s="194">
        <v>380.96</v>
      </c>
      <c r="H66" s="194">
        <v>477.17</v>
      </c>
      <c r="I66" s="196">
        <v>25.25</v>
      </c>
      <c r="L66" t="s">
        <v>202</v>
      </c>
      <c r="M66" s="24">
        <v>13.27</v>
      </c>
      <c r="N66">
        <f t="shared" si="3"/>
        <v>1.3269999999999999E-2</v>
      </c>
      <c r="O66" s="102">
        <f t="shared" si="2"/>
        <v>2.9660259275815826E-2</v>
      </c>
    </row>
    <row r="67" spans="2:15" x14ac:dyDescent="0.35">
      <c r="B67" s="193">
        <v>8</v>
      </c>
      <c r="C67" s="166" t="s">
        <v>256</v>
      </c>
      <c r="D67" s="194">
        <v>18.64</v>
      </c>
      <c r="E67" s="194">
        <v>12.59</v>
      </c>
      <c r="F67" s="194">
        <v>-32.46</v>
      </c>
      <c r="G67" s="194">
        <v>29.94</v>
      </c>
      <c r="H67" s="194">
        <v>41.15</v>
      </c>
      <c r="I67" s="196">
        <v>37.44</v>
      </c>
      <c r="L67" t="s">
        <v>256</v>
      </c>
      <c r="M67" s="24">
        <v>12.59</v>
      </c>
      <c r="N67">
        <f t="shared" si="3"/>
        <v>1.259E-2</v>
      </c>
      <c r="O67" s="102">
        <f t="shared" si="2"/>
        <v>2.8140366562360304E-2</v>
      </c>
    </row>
    <row r="68" spans="2:15" x14ac:dyDescent="0.35">
      <c r="B68" s="193">
        <v>9</v>
      </c>
      <c r="C68" s="166" t="s">
        <v>206</v>
      </c>
      <c r="D68" s="194">
        <v>5.04</v>
      </c>
      <c r="E68" s="194">
        <v>9.9700000000000006</v>
      </c>
      <c r="F68" s="194">
        <v>97.83</v>
      </c>
      <c r="G68" s="194">
        <v>2.17</v>
      </c>
      <c r="H68" s="194">
        <v>1.0900000000000001</v>
      </c>
      <c r="I68" s="196">
        <v>-49.49</v>
      </c>
      <c r="L68" t="s">
        <v>206</v>
      </c>
      <c r="M68" s="24">
        <v>9.9700000000000006</v>
      </c>
      <c r="N68">
        <f t="shared" si="3"/>
        <v>9.9700000000000014E-3</v>
      </c>
      <c r="O68" s="102">
        <f t="shared" si="2"/>
        <v>2.2284309342869919E-2</v>
      </c>
    </row>
    <row r="69" spans="2:15" x14ac:dyDescent="0.35">
      <c r="B69" s="193">
        <v>10</v>
      </c>
      <c r="C69" s="166" t="s">
        <v>204</v>
      </c>
      <c r="D69" s="194">
        <v>5.1100000000000003</v>
      </c>
      <c r="E69" s="194">
        <v>7.1</v>
      </c>
      <c r="F69" s="194">
        <v>39.130000000000003</v>
      </c>
      <c r="G69" s="194">
        <v>76.45</v>
      </c>
      <c r="H69" s="194">
        <v>14.19</v>
      </c>
      <c r="I69" s="196">
        <v>-81.44</v>
      </c>
      <c r="L69" t="s">
        <v>204</v>
      </c>
      <c r="M69" s="24">
        <v>7.1</v>
      </c>
      <c r="N69">
        <f t="shared" si="3"/>
        <v>7.0999999999999995E-3</v>
      </c>
      <c r="O69" s="102">
        <f t="shared" si="2"/>
        <v>1.586946803755029E-2</v>
      </c>
    </row>
    <row r="70" spans="2:15" x14ac:dyDescent="0.35">
      <c r="B70" s="193">
        <v>11</v>
      </c>
      <c r="C70" s="166" t="s">
        <v>216</v>
      </c>
      <c r="D70" s="194">
        <v>10.31</v>
      </c>
      <c r="E70" s="194">
        <v>6.9</v>
      </c>
      <c r="F70" s="194">
        <v>-33.090000000000003</v>
      </c>
      <c r="G70" s="195">
        <v>1189.26</v>
      </c>
      <c r="H70" s="194">
        <v>192.66</v>
      </c>
      <c r="I70" s="196">
        <v>-83.8</v>
      </c>
      <c r="L70" t="s">
        <v>216</v>
      </c>
      <c r="M70" s="24">
        <v>6.9</v>
      </c>
      <c r="N70">
        <f t="shared" si="3"/>
        <v>6.9000000000000008E-3</v>
      </c>
      <c r="O70" s="102">
        <f t="shared" si="2"/>
        <v>1.5422440768886903E-2</v>
      </c>
    </row>
    <row r="71" spans="2:15" x14ac:dyDescent="0.35">
      <c r="B71" s="193">
        <v>12</v>
      </c>
      <c r="C71" s="166" t="s">
        <v>265</v>
      </c>
      <c r="D71" s="194">
        <v>8.9600000000000009</v>
      </c>
      <c r="E71" s="194">
        <v>6.42</v>
      </c>
      <c r="F71" s="194">
        <v>-28.35</v>
      </c>
      <c r="G71" s="194">
        <v>145.69999999999999</v>
      </c>
      <c r="H71" s="194">
        <v>99.5</v>
      </c>
      <c r="I71" s="196">
        <v>-31.71</v>
      </c>
      <c r="L71" t="s">
        <v>265</v>
      </c>
      <c r="M71" s="24">
        <v>6.42</v>
      </c>
      <c r="N71">
        <f t="shared" si="3"/>
        <v>6.4200000000000004E-3</v>
      </c>
      <c r="O71" s="102">
        <f t="shared" si="2"/>
        <v>1.434957532409477E-2</v>
      </c>
    </row>
    <row r="72" spans="2:15" x14ac:dyDescent="0.35">
      <c r="B72" s="193">
        <v>13</v>
      </c>
      <c r="C72" s="166" t="s">
        <v>218</v>
      </c>
      <c r="D72" s="194">
        <v>2.23</v>
      </c>
      <c r="E72" s="194">
        <v>5.65</v>
      </c>
      <c r="F72" s="194">
        <v>153.97</v>
      </c>
      <c r="G72" s="194">
        <v>26.38</v>
      </c>
      <c r="H72" s="194">
        <v>67.760000000000005</v>
      </c>
      <c r="I72" s="196">
        <v>156.88999999999999</v>
      </c>
      <c r="L72" t="s">
        <v>218</v>
      </c>
      <c r="M72" s="24">
        <v>5.65</v>
      </c>
      <c r="N72">
        <f t="shared" si="3"/>
        <v>5.6500000000000005E-3</v>
      </c>
      <c r="O72" s="102">
        <f t="shared" si="2"/>
        <v>1.2628520339740726E-2</v>
      </c>
    </row>
    <row r="73" spans="2:15" x14ac:dyDescent="0.35">
      <c r="B73" s="193">
        <v>14</v>
      </c>
      <c r="C73" s="166" t="s">
        <v>215</v>
      </c>
      <c r="D73" s="194">
        <v>5.45</v>
      </c>
      <c r="E73" s="194">
        <v>5.37</v>
      </c>
      <c r="F73" s="194">
        <v>-1.5</v>
      </c>
      <c r="G73" s="194">
        <v>19.18</v>
      </c>
      <c r="H73" s="194">
        <v>17.23</v>
      </c>
      <c r="I73" s="196">
        <v>-10.16</v>
      </c>
      <c r="L73" t="s">
        <v>215</v>
      </c>
      <c r="M73" s="24">
        <v>5.37</v>
      </c>
      <c r="N73">
        <f t="shared" si="3"/>
        <v>5.3699999999999998E-3</v>
      </c>
      <c r="O73" s="102">
        <f t="shared" si="2"/>
        <v>1.200268216361198E-2</v>
      </c>
    </row>
    <row r="74" spans="2:15" x14ac:dyDescent="0.35">
      <c r="B74" s="193">
        <v>15</v>
      </c>
      <c r="C74" s="166" t="s">
        <v>275</v>
      </c>
      <c r="D74" s="194">
        <v>11.23</v>
      </c>
      <c r="E74" s="194">
        <v>5.35</v>
      </c>
      <c r="F74" s="194">
        <v>-52.38</v>
      </c>
      <c r="G74" s="194">
        <v>299.25</v>
      </c>
      <c r="H74" s="194">
        <v>52.91</v>
      </c>
      <c r="I74" s="196">
        <v>-82.32</v>
      </c>
      <c r="L74" t="s">
        <v>275</v>
      </c>
      <c r="M74" s="24">
        <v>5.35</v>
      </c>
      <c r="N74">
        <f t="shared" si="3"/>
        <v>5.3499999999999997E-3</v>
      </c>
      <c r="O74" s="102">
        <f t="shared" si="2"/>
        <v>1.1957979436745642E-2</v>
      </c>
    </row>
    <row r="75" spans="2:15" x14ac:dyDescent="0.35">
      <c r="B75" s="193">
        <v>16</v>
      </c>
      <c r="C75" s="166" t="s">
        <v>258</v>
      </c>
      <c r="D75" s="194">
        <v>2.44</v>
      </c>
      <c r="E75" s="194">
        <v>5.31</v>
      </c>
      <c r="F75" s="194">
        <v>117.93</v>
      </c>
      <c r="G75" s="194">
        <v>34.78</v>
      </c>
      <c r="H75" s="194">
        <v>39.08</v>
      </c>
      <c r="I75" s="196">
        <v>12.38</v>
      </c>
      <c r="L75" t="s">
        <v>258</v>
      </c>
      <c r="M75" s="24">
        <v>5.31</v>
      </c>
      <c r="N75">
        <f t="shared" si="3"/>
        <v>5.3099999999999996E-3</v>
      </c>
      <c r="O75" s="102">
        <f t="shared" si="2"/>
        <v>1.1868573983012963E-2</v>
      </c>
    </row>
    <row r="76" spans="2:15" x14ac:dyDescent="0.35">
      <c r="B76" s="193">
        <v>17</v>
      </c>
      <c r="C76" s="166" t="s">
        <v>283</v>
      </c>
      <c r="D76" s="194">
        <v>0.06</v>
      </c>
      <c r="E76" s="194">
        <v>5.24</v>
      </c>
      <c r="F76" s="195">
        <v>8599.17</v>
      </c>
      <c r="G76" s="194">
        <v>0.82</v>
      </c>
      <c r="H76" s="194">
        <v>0.12</v>
      </c>
      <c r="I76" s="196">
        <v>-85.44</v>
      </c>
      <c r="L76" t="s">
        <v>283</v>
      </c>
      <c r="M76" s="24">
        <v>5.24</v>
      </c>
      <c r="N76">
        <f t="shared" si="3"/>
        <v>5.2399999999999999E-3</v>
      </c>
      <c r="O76" s="102">
        <f t="shared" si="2"/>
        <v>1.171211443898078E-2</v>
      </c>
    </row>
    <row r="77" spans="2:15" x14ac:dyDescent="0.35">
      <c r="B77" s="193">
        <v>18</v>
      </c>
      <c r="C77" s="166" t="s">
        <v>213</v>
      </c>
      <c r="D77" s="194">
        <v>17.7</v>
      </c>
      <c r="E77" s="194">
        <v>4.71</v>
      </c>
      <c r="F77" s="194">
        <v>-73.42</v>
      </c>
      <c r="G77" s="194">
        <v>430.92</v>
      </c>
      <c r="H77" s="194">
        <v>160.5</v>
      </c>
      <c r="I77" s="196">
        <v>-62.75</v>
      </c>
      <c r="L77" t="s">
        <v>213</v>
      </c>
      <c r="M77" s="24">
        <v>4.71</v>
      </c>
      <c r="N77">
        <f t="shared" si="3"/>
        <v>4.7099999999999998E-3</v>
      </c>
      <c r="O77" s="102">
        <f t="shared" si="2"/>
        <v>1.0527492177022799E-2</v>
      </c>
    </row>
    <row r="78" spans="2:15" x14ac:dyDescent="0.35">
      <c r="B78" s="193">
        <v>19</v>
      </c>
      <c r="C78" s="166" t="s">
        <v>210</v>
      </c>
      <c r="D78" s="194">
        <v>5.33</v>
      </c>
      <c r="E78" s="194">
        <v>4.66</v>
      </c>
      <c r="F78" s="194">
        <v>-12.67</v>
      </c>
      <c r="G78" s="194">
        <v>295.92</v>
      </c>
      <c r="H78" s="194">
        <v>240.74</v>
      </c>
      <c r="I78" s="196">
        <v>-18.649999999999999</v>
      </c>
      <c r="L78" t="s">
        <v>210</v>
      </c>
      <c r="M78" s="24">
        <v>4.66</v>
      </c>
      <c r="N78">
        <f t="shared" si="3"/>
        <v>4.6600000000000001E-3</v>
      </c>
      <c r="O78" s="102">
        <f t="shared" si="2"/>
        <v>1.0415735359856952E-2</v>
      </c>
    </row>
    <row r="79" spans="2:15" x14ac:dyDescent="0.35">
      <c r="B79" s="193">
        <v>20</v>
      </c>
      <c r="C79" s="166" t="s">
        <v>278</v>
      </c>
      <c r="D79" s="194">
        <v>2.2400000000000002</v>
      </c>
      <c r="E79" s="194">
        <v>3.06</v>
      </c>
      <c r="F79" s="194">
        <v>36.56</v>
      </c>
      <c r="G79" s="194">
        <v>105.36</v>
      </c>
      <c r="H79" s="194">
        <v>112.71</v>
      </c>
      <c r="I79" s="196">
        <v>6.98</v>
      </c>
      <c r="L79" t="s">
        <v>278</v>
      </c>
      <c r="M79" s="24">
        <v>3.06</v>
      </c>
      <c r="N79">
        <f t="shared" si="3"/>
        <v>3.0600000000000002E-3</v>
      </c>
      <c r="O79" s="102">
        <f t="shared" si="2"/>
        <v>6.8395172105498439E-3</v>
      </c>
    </row>
    <row r="80" spans="2:15" x14ac:dyDescent="0.35">
      <c r="B80" s="193">
        <v>21</v>
      </c>
      <c r="C80" s="166" t="s">
        <v>212</v>
      </c>
      <c r="D80" s="194">
        <v>2.62</v>
      </c>
      <c r="E80" s="194">
        <v>2.95</v>
      </c>
      <c r="F80" s="194">
        <v>12.71</v>
      </c>
      <c r="G80" s="194">
        <v>84.06</v>
      </c>
      <c r="H80" s="194">
        <v>64.010000000000005</v>
      </c>
      <c r="I80" s="196">
        <v>-23.85</v>
      </c>
      <c r="L80" t="s">
        <v>212</v>
      </c>
      <c r="M80" s="24">
        <v>2.95</v>
      </c>
      <c r="N80">
        <f t="shared" si="3"/>
        <v>2.9500000000000004E-3</v>
      </c>
      <c r="O80" s="102">
        <f t="shared" si="2"/>
        <v>6.5936522127849808E-3</v>
      </c>
    </row>
    <row r="81" spans="2:15" x14ac:dyDescent="0.35">
      <c r="B81" s="193">
        <v>22</v>
      </c>
      <c r="C81" s="166" t="s">
        <v>255</v>
      </c>
      <c r="D81" s="194">
        <v>1.91</v>
      </c>
      <c r="E81" s="194">
        <v>2.4300000000000002</v>
      </c>
      <c r="F81" s="194">
        <v>27.07</v>
      </c>
      <c r="G81" s="194">
        <v>14.87</v>
      </c>
      <c r="H81" s="194">
        <v>10.84</v>
      </c>
      <c r="I81" s="196">
        <v>-27.1</v>
      </c>
      <c r="L81" t="s">
        <v>255</v>
      </c>
      <c r="M81" s="24">
        <v>2.4300000000000002</v>
      </c>
      <c r="N81">
        <f t="shared" si="3"/>
        <v>2.4300000000000003E-3</v>
      </c>
      <c r="O81" s="102">
        <f t="shared" si="2"/>
        <v>5.4313813142601707E-3</v>
      </c>
    </row>
    <row r="82" spans="2:15" x14ac:dyDescent="0.35">
      <c r="B82" s="193">
        <v>23</v>
      </c>
      <c r="C82" s="166" t="s">
        <v>261</v>
      </c>
      <c r="D82" s="194">
        <v>2.65</v>
      </c>
      <c r="E82" s="194">
        <v>2.34</v>
      </c>
      <c r="F82" s="194">
        <v>-11.85</v>
      </c>
      <c r="G82" s="194">
        <v>20.149999999999999</v>
      </c>
      <c r="H82" s="194">
        <v>19.04</v>
      </c>
      <c r="I82" s="196">
        <v>-5.51</v>
      </c>
      <c r="L82" t="s">
        <v>261</v>
      </c>
      <c r="M82" s="24">
        <v>2.34</v>
      </c>
      <c r="N82">
        <f t="shared" si="3"/>
        <v>2.3400000000000001E-3</v>
      </c>
      <c r="O82" s="102">
        <f t="shared" si="2"/>
        <v>5.2302190433616454E-3</v>
      </c>
    </row>
    <row r="83" spans="2:15" x14ac:dyDescent="0.35">
      <c r="B83" s="193">
        <v>24</v>
      </c>
      <c r="C83" s="166" t="s">
        <v>284</v>
      </c>
      <c r="D83" s="194">
        <v>0.68</v>
      </c>
      <c r="E83" s="194">
        <v>2.16</v>
      </c>
      <c r="F83" s="194">
        <v>219.11</v>
      </c>
      <c r="G83" s="194">
        <v>13.08</v>
      </c>
      <c r="H83" s="194">
        <v>1.64</v>
      </c>
      <c r="I83" s="196">
        <v>-87.47</v>
      </c>
      <c r="L83" t="s">
        <v>284</v>
      </c>
      <c r="M83" s="24">
        <v>2.16</v>
      </c>
      <c r="N83">
        <f t="shared" si="3"/>
        <v>2.16E-3</v>
      </c>
      <c r="O83" s="102">
        <f t="shared" si="2"/>
        <v>4.8278945015645964E-3</v>
      </c>
    </row>
    <row r="84" spans="2:15" x14ac:dyDescent="0.35">
      <c r="B84" s="193">
        <v>25</v>
      </c>
      <c r="C84" s="166" t="s">
        <v>285</v>
      </c>
      <c r="D84" s="194">
        <v>2.21</v>
      </c>
      <c r="E84" s="194">
        <v>2.14</v>
      </c>
      <c r="F84" s="194">
        <v>-3.48</v>
      </c>
      <c r="G84" s="194">
        <v>6.15</v>
      </c>
      <c r="H84" s="194">
        <v>5.34</v>
      </c>
      <c r="I84" s="196">
        <v>-13.26</v>
      </c>
      <c r="L84" t="s">
        <v>285</v>
      </c>
      <c r="M84" s="24">
        <v>2.14</v>
      </c>
      <c r="N84">
        <f t="shared" si="3"/>
        <v>2.14E-3</v>
      </c>
      <c r="O84" s="102">
        <f t="shared" si="2"/>
        <v>4.7831917746982569E-3</v>
      </c>
    </row>
    <row r="85" spans="2:15" x14ac:dyDescent="0.35">
      <c r="B85" s="193">
        <v>26</v>
      </c>
      <c r="C85" s="166" t="s">
        <v>257</v>
      </c>
      <c r="D85" s="194">
        <v>4.2300000000000004</v>
      </c>
      <c r="E85" s="194">
        <v>2.0499999999999998</v>
      </c>
      <c r="F85" s="194">
        <v>-51.52</v>
      </c>
      <c r="G85" s="194">
        <v>147.91</v>
      </c>
      <c r="H85" s="194">
        <v>109.86</v>
      </c>
      <c r="I85" s="196">
        <v>-25.73</v>
      </c>
      <c r="L85" t="s">
        <v>257</v>
      </c>
      <c r="M85" s="24">
        <v>2.0499999999999998</v>
      </c>
      <c r="N85">
        <f t="shared" si="3"/>
        <v>2.0499999999999997E-3</v>
      </c>
      <c r="O85" s="102">
        <f t="shared" si="2"/>
        <v>4.5820295037997316E-3</v>
      </c>
    </row>
    <row r="86" spans="2:15" x14ac:dyDescent="0.35">
      <c r="B86" s="193">
        <v>27</v>
      </c>
      <c r="C86" s="166" t="s">
        <v>271</v>
      </c>
      <c r="D86" s="194">
        <v>2.92</v>
      </c>
      <c r="E86" s="194">
        <v>2.0099999999999998</v>
      </c>
      <c r="F86" s="194">
        <v>-31.01</v>
      </c>
      <c r="G86" s="195">
        <v>3519.41</v>
      </c>
      <c r="H86" s="194">
        <v>692.62</v>
      </c>
      <c r="I86" s="196">
        <v>-80.319999999999993</v>
      </c>
      <c r="L86" t="s">
        <v>271</v>
      </c>
      <c r="M86" s="24">
        <v>2.0099999999999998</v>
      </c>
      <c r="N86">
        <f t="shared" si="3"/>
        <v>2.0099999999999996E-3</v>
      </c>
      <c r="O86" s="102">
        <f t="shared" si="2"/>
        <v>4.4926240500670536E-3</v>
      </c>
    </row>
    <row r="87" spans="2:15" x14ac:dyDescent="0.35">
      <c r="B87" s="193">
        <v>28</v>
      </c>
      <c r="C87" s="166" t="s">
        <v>208</v>
      </c>
      <c r="D87" s="194">
        <v>1.57</v>
      </c>
      <c r="E87" s="194">
        <v>1.88</v>
      </c>
      <c r="F87" s="194">
        <v>19.45</v>
      </c>
      <c r="G87" s="194">
        <v>88.12</v>
      </c>
      <c r="H87" s="194">
        <v>105.85</v>
      </c>
      <c r="I87" s="196">
        <v>20.12</v>
      </c>
      <c r="L87" t="s">
        <v>208</v>
      </c>
      <c r="M87" s="24">
        <v>1.88</v>
      </c>
      <c r="N87">
        <f t="shared" si="3"/>
        <v>1.8799999999999999E-3</v>
      </c>
      <c r="O87" s="102">
        <f t="shared" si="2"/>
        <v>4.2020563254358519E-3</v>
      </c>
    </row>
    <row r="88" spans="2:15" x14ac:dyDescent="0.35">
      <c r="B88" s="193">
        <v>29</v>
      </c>
      <c r="C88" s="166" t="s">
        <v>260</v>
      </c>
      <c r="D88" s="194">
        <v>1.02</v>
      </c>
      <c r="E88" s="194">
        <v>1.85</v>
      </c>
      <c r="F88" s="194">
        <v>82.43</v>
      </c>
      <c r="G88" s="194">
        <v>758.52</v>
      </c>
      <c r="H88" s="194">
        <v>950.01</v>
      </c>
      <c r="I88" s="196">
        <v>25.24</v>
      </c>
      <c r="L88" t="s">
        <v>260</v>
      </c>
      <c r="M88" s="24">
        <v>1.85</v>
      </c>
      <c r="N88">
        <f t="shared" si="3"/>
        <v>1.8500000000000001E-3</v>
      </c>
      <c r="O88" s="102">
        <f t="shared" si="2"/>
        <v>4.135002235136344E-3</v>
      </c>
    </row>
    <row r="89" spans="2:15" x14ac:dyDescent="0.35">
      <c r="B89" s="193">
        <v>30</v>
      </c>
      <c r="C89" s="166" t="s">
        <v>286</v>
      </c>
      <c r="D89" s="194">
        <v>2.4</v>
      </c>
      <c r="E89" s="194">
        <v>1.5</v>
      </c>
      <c r="F89" s="194">
        <v>-37.67</v>
      </c>
      <c r="G89" s="194">
        <v>19.5</v>
      </c>
      <c r="H89" s="194">
        <v>34.590000000000003</v>
      </c>
      <c r="I89" s="196">
        <v>77.41</v>
      </c>
      <c r="L89" t="s">
        <v>286</v>
      </c>
      <c r="M89" s="24">
        <v>1.5</v>
      </c>
      <c r="N89">
        <f t="shared" si="3"/>
        <v>1.5E-3</v>
      </c>
      <c r="O89" s="102">
        <f t="shared" si="2"/>
        <v>3.3527045149754136E-3</v>
      </c>
    </row>
    <row r="90" spans="2:15" x14ac:dyDescent="0.35">
      <c r="B90" s="193">
        <v>31</v>
      </c>
      <c r="C90" s="166" t="s">
        <v>262</v>
      </c>
      <c r="D90" s="194">
        <v>1.62</v>
      </c>
      <c r="E90" s="194">
        <v>1.34</v>
      </c>
      <c r="F90" s="194">
        <v>-17</v>
      </c>
      <c r="G90" s="194">
        <v>4.88</v>
      </c>
      <c r="H90" s="194">
        <v>4.1100000000000003</v>
      </c>
      <c r="I90" s="196">
        <v>-15.89</v>
      </c>
      <c r="L90" t="s">
        <v>262</v>
      </c>
      <c r="M90" s="24">
        <v>1.34</v>
      </c>
      <c r="N90">
        <f t="shared" si="3"/>
        <v>1.34E-3</v>
      </c>
      <c r="O90" s="102">
        <f t="shared" si="2"/>
        <v>2.9950827000447032E-3</v>
      </c>
    </row>
    <row r="91" spans="2:15" x14ac:dyDescent="0.35">
      <c r="B91" s="193">
        <v>32</v>
      </c>
      <c r="C91" s="166" t="s">
        <v>287</v>
      </c>
      <c r="D91" s="194">
        <v>0.5</v>
      </c>
      <c r="E91" s="194">
        <v>1.17</v>
      </c>
      <c r="F91" s="194">
        <v>134.93</v>
      </c>
      <c r="G91" s="194">
        <v>9.77</v>
      </c>
      <c r="H91" s="194">
        <v>2.15</v>
      </c>
      <c r="I91" s="196">
        <v>-77.989999999999995</v>
      </c>
      <c r="L91" t="s">
        <v>287</v>
      </c>
      <c r="M91" s="24">
        <v>1.17</v>
      </c>
      <c r="N91">
        <f t="shared" si="3"/>
        <v>1.17E-3</v>
      </c>
      <c r="O91" s="102">
        <f t="shared" si="2"/>
        <v>2.6151095216808227E-3</v>
      </c>
    </row>
    <row r="92" spans="2:15" x14ac:dyDescent="0.35">
      <c r="B92" s="193">
        <v>33</v>
      </c>
      <c r="C92" s="166" t="s">
        <v>288</v>
      </c>
      <c r="D92" s="194">
        <v>0.85</v>
      </c>
      <c r="E92" s="194">
        <v>0.77</v>
      </c>
      <c r="F92" s="194">
        <v>-9.36</v>
      </c>
      <c r="G92" s="194">
        <v>0</v>
      </c>
      <c r="H92" s="194">
        <v>0.01</v>
      </c>
      <c r="I92" s="196">
        <v>20</v>
      </c>
      <c r="L92" t="s">
        <v>288</v>
      </c>
      <c r="M92" s="24">
        <v>0.77</v>
      </c>
      <c r="N92">
        <f t="shared" si="3"/>
        <v>7.7000000000000007E-4</v>
      </c>
      <c r="O92" s="102">
        <f t="shared" si="2"/>
        <v>1.7210549843540458E-3</v>
      </c>
    </row>
    <row r="93" spans="2:15" x14ac:dyDescent="0.35">
      <c r="B93" s="193">
        <v>34</v>
      </c>
      <c r="C93" s="166" t="s">
        <v>289</v>
      </c>
      <c r="D93" s="194">
        <v>0.4</v>
      </c>
      <c r="E93" s="194">
        <v>0.7</v>
      </c>
      <c r="F93" s="194">
        <v>74.739999999999995</v>
      </c>
      <c r="G93" s="194">
        <v>0.06</v>
      </c>
      <c r="H93" s="194">
        <v>0.03</v>
      </c>
      <c r="I93" s="196">
        <v>-55.38</v>
      </c>
      <c r="L93" t="s">
        <v>289</v>
      </c>
      <c r="M93" s="24">
        <v>0.7</v>
      </c>
      <c r="N93">
        <f t="shared" si="3"/>
        <v>6.9999999999999999E-4</v>
      </c>
      <c r="O93" s="102">
        <f t="shared" si="2"/>
        <v>1.5645954403218597E-3</v>
      </c>
    </row>
    <row r="94" spans="2:15" x14ac:dyDescent="0.35">
      <c r="B94" s="193">
        <v>35</v>
      </c>
      <c r="C94" s="166" t="s">
        <v>259</v>
      </c>
      <c r="D94" s="194">
        <v>1.75</v>
      </c>
      <c r="E94" s="194">
        <v>0.61</v>
      </c>
      <c r="F94" s="194">
        <v>-65.12</v>
      </c>
      <c r="G94" s="194">
        <v>264.72000000000003</v>
      </c>
      <c r="H94" s="194">
        <v>81.39</v>
      </c>
      <c r="I94" s="196">
        <v>-69.260000000000005</v>
      </c>
      <c r="L94" t="s">
        <v>259</v>
      </c>
      <c r="M94" s="24">
        <v>0.61</v>
      </c>
      <c r="N94">
        <f t="shared" si="3"/>
        <v>6.0999999999999997E-4</v>
      </c>
      <c r="O94" s="102">
        <f t="shared" si="2"/>
        <v>1.3634331694233348E-3</v>
      </c>
    </row>
    <row r="95" spans="2:15" x14ac:dyDescent="0.35">
      <c r="B95" s="193">
        <v>36</v>
      </c>
      <c r="C95" s="166" t="s">
        <v>290</v>
      </c>
      <c r="D95" s="194">
        <v>0.77</v>
      </c>
      <c r="E95" s="194">
        <v>0.56000000000000005</v>
      </c>
      <c r="F95" s="194">
        <v>-27</v>
      </c>
      <c r="G95" s="194">
        <v>0.04</v>
      </c>
      <c r="H95" s="194">
        <v>0.04</v>
      </c>
      <c r="I95" s="196">
        <v>19.440000000000001</v>
      </c>
      <c r="L95" t="s">
        <v>290</v>
      </c>
      <c r="M95" s="24">
        <v>0.56000000000000005</v>
      </c>
      <c r="N95">
        <f t="shared" si="3"/>
        <v>5.6000000000000006E-4</v>
      </c>
      <c r="O95" s="102">
        <f t="shared" si="2"/>
        <v>1.2516763522574879E-3</v>
      </c>
    </row>
    <row r="96" spans="2:15" x14ac:dyDescent="0.35">
      <c r="B96" s="193">
        <v>37</v>
      </c>
      <c r="C96" s="166" t="s">
        <v>266</v>
      </c>
      <c r="D96" s="194">
        <v>0.4</v>
      </c>
      <c r="E96" s="194">
        <v>0.52</v>
      </c>
      <c r="F96" s="194">
        <v>31.04</v>
      </c>
      <c r="G96" s="194">
        <v>0.9</v>
      </c>
      <c r="H96" s="194">
        <v>0.87</v>
      </c>
      <c r="I96" s="196">
        <v>-2.89</v>
      </c>
      <c r="L96" t="s">
        <v>266</v>
      </c>
      <c r="M96" s="24">
        <v>0.52</v>
      </c>
      <c r="N96">
        <f t="shared" si="3"/>
        <v>5.2000000000000006E-4</v>
      </c>
      <c r="O96" s="102">
        <f t="shared" si="2"/>
        <v>1.1622708985248101E-3</v>
      </c>
    </row>
    <row r="97" spans="2:15" x14ac:dyDescent="0.35">
      <c r="B97" s="193">
        <v>38</v>
      </c>
      <c r="C97" s="166" t="s">
        <v>264</v>
      </c>
      <c r="D97" s="194">
        <v>2.57</v>
      </c>
      <c r="E97" s="194">
        <v>0.47</v>
      </c>
      <c r="F97" s="194">
        <v>-81.510000000000005</v>
      </c>
      <c r="G97" s="194">
        <v>277.3</v>
      </c>
      <c r="H97" s="194">
        <v>40.65</v>
      </c>
      <c r="I97" s="196">
        <v>-85.34</v>
      </c>
      <c r="L97" t="s">
        <v>264</v>
      </c>
      <c r="M97" s="24">
        <v>0.47</v>
      </c>
      <c r="N97">
        <f t="shared" si="3"/>
        <v>4.6999999999999999E-4</v>
      </c>
      <c r="O97" s="102">
        <f t="shared" si="2"/>
        <v>1.050514081358963E-3</v>
      </c>
    </row>
    <row r="98" spans="2:15" x14ac:dyDescent="0.35">
      <c r="B98" s="193">
        <v>39</v>
      </c>
      <c r="C98" s="166" t="s">
        <v>291</v>
      </c>
      <c r="D98" s="194">
        <v>0.04</v>
      </c>
      <c r="E98" s="194">
        <v>0.44</v>
      </c>
      <c r="F98" s="195">
        <v>1150</v>
      </c>
      <c r="G98" s="194">
        <v>0.11</v>
      </c>
      <c r="H98" s="194">
        <v>0.06</v>
      </c>
      <c r="I98" s="196">
        <v>-50</v>
      </c>
      <c r="L98" t="s">
        <v>291</v>
      </c>
      <c r="M98" s="24">
        <v>0.44</v>
      </c>
      <c r="N98">
        <f t="shared" si="3"/>
        <v>4.4000000000000002E-4</v>
      </c>
      <c r="O98" s="102">
        <f t="shared" si="2"/>
        <v>9.8345999105945467E-4</v>
      </c>
    </row>
    <row r="99" spans="2:15" x14ac:dyDescent="0.35">
      <c r="B99" s="193">
        <v>40</v>
      </c>
      <c r="C99" s="166" t="s">
        <v>207</v>
      </c>
      <c r="D99" s="194">
        <v>1.1499999999999999</v>
      </c>
      <c r="E99" s="194">
        <v>0.43</v>
      </c>
      <c r="F99" s="194">
        <v>-63.13</v>
      </c>
      <c r="G99" s="194">
        <v>19.670000000000002</v>
      </c>
      <c r="H99" s="194">
        <v>2.06</v>
      </c>
      <c r="I99" s="196">
        <v>-89.52</v>
      </c>
      <c r="L99" t="s">
        <v>207</v>
      </c>
      <c r="M99" s="24">
        <v>0.43</v>
      </c>
      <c r="N99">
        <f t="shared" si="3"/>
        <v>4.2999999999999999E-4</v>
      </c>
      <c r="O99" s="102">
        <f t="shared" si="2"/>
        <v>9.6110862762628527E-4</v>
      </c>
    </row>
    <row r="100" spans="2:15" x14ac:dyDescent="0.35">
      <c r="B100" s="193">
        <v>41</v>
      </c>
      <c r="C100" s="166" t="s">
        <v>263</v>
      </c>
      <c r="D100" s="194">
        <v>1.55</v>
      </c>
      <c r="E100" s="194">
        <v>0.3</v>
      </c>
      <c r="F100" s="194">
        <v>-80.77</v>
      </c>
      <c r="G100" s="194">
        <v>157.51</v>
      </c>
      <c r="H100" s="194">
        <v>18.93</v>
      </c>
      <c r="I100" s="196">
        <v>-87.98</v>
      </c>
      <c r="L100" t="s">
        <v>263</v>
      </c>
      <c r="M100" s="24">
        <v>0.3</v>
      </c>
      <c r="N100">
        <f t="shared" si="3"/>
        <v>2.9999999999999997E-4</v>
      </c>
      <c r="O100" s="102">
        <f t="shared" si="2"/>
        <v>6.7054090299508275E-4</v>
      </c>
    </row>
    <row r="101" spans="2:15" x14ac:dyDescent="0.35">
      <c r="B101" s="193">
        <v>42</v>
      </c>
      <c r="C101" s="166" t="s">
        <v>292</v>
      </c>
      <c r="D101" s="194">
        <v>0.34</v>
      </c>
      <c r="E101" s="194">
        <v>0.26</v>
      </c>
      <c r="F101" s="194">
        <v>-22.36</v>
      </c>
      <c r="G101" s="194">
        <v>0.87</v>
      </c>
      <c r="H101" s="194">
        <v>0.68</v>
      </c>
      <c r="I101" s="196">
        <v>-22.02</v>
      </c>
      <c r="L101" t="s">
        <v>292</v>
      </c>
      <c r="M101" s="24">
        <v>0.26</v>
      </c>
      <c r="N101">
        <f t="shared" si="3"/>
        <v>2.6000000000000003E-4</v>
      </c>
      <c r="O101" s="102">
        <f t="shared" si="2"/>
        <v>5.8113544926240504E-4</v>
      </c>
    </row>
    <row r="102" spans="2:15" x14ac:dyDescent="0.35">
      <c r="B102" s="193">
        <v>43</v>
      </c>
      <c r="C102" s="166" t="s">
        <v>293</v>
      </c>
      <c r="D102" s="194">
        <v>0.54</v>
      </c>
      <c r="E102" s="194">
        <v>0.23</v>
      </c>
      <c r="F102" s="194">
        <v>-58.02</v>
      </c>
      <c r="G102" s="194">
        <v>0</v>
      </c>
      <c r="H102" s="194">
        <v>0</v>
      </c>
      <c r="I102" s="196">
        <v>-66.67</v>
      </c>
      <c r="L102" t="s">
        <v>293</v>
      </c>
      <c r="M102" s="24">
        <v>0.23</v>
      </c>
      <c r="N102">
        <f t="shared" si="3"/>
        <v>2.3000000000000001E-4</v>
      </c>
      <c r="O102" s="102">
        <f t="shared" si="2"/>
        <v>5.1408135896289673E-4</v>
      </c>
    </row>
    <row r="103" spans="2:15" x14ac:dyDescent="0.35">
      <c r="B103" s="193">
        <v>44</v>
      </c>
      <c r="C103" s="166" t="s">
        <v>277</v>
      </c>
      <c r="D103" s="194">
        <v>0.24</v>
      </c>
      <c r="E103" s="194">
        <v>0.22</v>
      </c>
      <c r="F103" s="194">
        <v>-6.72</v>
      </c>
      <c r="G103" s="194">
        <v>2.48</v>
      </c>
      <c r="H103" s="194">
        <v>2.38</v>
      </c>
      <c r="I103" s="196">
        <v>-4.1100000000000003</v>
      </c>
      <c r="L103" t="s">
        <v>277</v>
      </c>
      <c r="M103" s="24">
        <v>0.22</v>
      </c>
      <c r="N103">
        <f t="shared" si="3"/>
        <v>2.2000000000000001E-4</v>
      </c>
      <c r="O103" s="102">
        <f t="shared" si="2"/>
        <v>4.9172999552972733E-4</v>
      </c>
    </row>
    <row r="104" spans="2:15" x14ac:dyDescent="0.35">
      <c r="B104" s="193">
        <v>45</v>
      </c>
      <c r="C104" s="166" t="s">
        <v>294</v>
      </c>
      <c r="D104" s="194"/>
      <c r="E104" s="194">
        <v>7.0000000000000007E-2</v>
      </c>
      <c r="F104" s="194"/>
      <c r="G104" s="194"/>
      <c r="H104" s="194">
        <v>0.06</v>
      </c>
      <c r="I104" s="196"/>
      <c r="L104" t="s">
        <v>294</v>
      </c>
      <c r="M104" s="24">
        <v>7.0000000000000007E-2</v>
      </c>
      <c r="N104">
        <f t="shared" si="3"/>
        <v>7.0000000000000007E-5</v>
      </c>
      <c r="O104" s="102">
        <f t="shared" si="2"/>
        <v>1.5645954403218599E-4</v>
      </c>
    </row>
    <row r="105" spans="2:15" x14ac:dyDescent="0.35">
      <c r="B105" s="193">
        <v>46</v>
      </c>
      <c r="C105" s="166" t="s">
        <v>295</v>
      </c>
      <c r="D105" s="194">
        <v>0.05</v>
      </c>
      <c r="E105" s="194">
        <v>7.0000000000000007E-2</v>
      </c>
      <c r="F105" s="194">
        <v>27.57</v>
      </c>
      <c r="G105" s="194">
        <v>0.06</v>
      </c>
      <c r="H105" s="194">
        <v>0.14000000000000001</v>
      </c>
      <c r="I105" s="196">
        <v>138.6</v>
      </c>
      <c r="L105" t="s">
        <v>295</v>
      </c>
      <c r="M105" s="24">
        <v>7.0000000000000007E-2</v>
      </c>
      <c r="N105">
        <f t="shared" si="3"/>
        <v>7.0000000000000007E-5</v>
      </c>
      <c r="O105" s="102">
        <f t="shared" si="2"/>
        <v>1.5645954403218599E-4</v>
      </c>
    </row>
    <row r="106" spans="2:15" x14ac:dyDescent="0.35">
      <c r="B106" s="193">
        <v>47</v>
      </c>
      <c r="C106" s="166" t="s">
        <v>296</v>
      </c>
      <c r="D106" s="194">
        <v>0.2</v>
      </c>
      <c r="E106" s="194">
        <v>0.05</v>
      </c>
      <c r="F106" s="194">
        <v>-74.489999999999995</v>
      </c>
      <c r="G106" s="194">
        <v>0</v>
      </c>
      <c r="H106" s="194">
        <v>0.02</v>
      </c>
      <c r="I106" s="196">
        <v>433.33</v>
      </c>
      <c r="L106" t="s">
        <v>296</v>
      </c>
      <c r="M106" s="24">
        <v>0.05</v>
      </c>
      <c r="N106">
        <f t="shared" si="3"/>
        <v>5.0000000000000002E-5</v>
      </c>
      <c r="O106" s="102">
        <f t="shared" si="2"/>
        <v>1.1175681716584713E-4</v>
      </c>
    </row>
    <row r="107" spans="2:15" x14ac:dyDescent="0.35">
      <c r="B107" s="193">
        <v>48</v>
      </c>
      <c r="C107" s="166" t="s">
        <v>270</v>
      </c>
      <c r="D107" s="194"/>
      <c r="E107" s="194">
        <v>0.04</v>
      </c>
      <c r="F107" s="194"/>
      <c r="G107" s="194"/>
      <c r="H107" s="194">
        <v>0</v>
      </c>
      <c r="I107" s="196"/>
      <c r="L107" t="s">
        <v>270</v>
      </c>
      <c r="M107" s="24">
        <v>0.04</v>
      </c>
      <c r="N107">
        <f t="shared" si="3"/>
        <v>4.0000000000000003E-5</v>
      </c>
      <c r="O107" s="102">
        <f t="shared" si="2"/>
        <v>8.9405453732677693E-5</v>
      </c>
    </row>
    <row r="108" spans="2:15" x14ac:dyDescent="0.35">
      <c r="B108" s="193">
        <v>49</v>
      </c>
      <c r="C108" s="166" t="s">
        <v>269</v>
      </c>
      <c r="D108" s="194">
        <v>0.02</v>
      </c>
      <c r="E108" s="194">
        <v>0.03</v>
      </c>
      <c r="F108" s="194">
        <v>70.48</v>
      </c>
      <c r="G108" s="194">
        <v>0.02</v>
      </c>
      <c r="H108" s="194">
        <v>0.24</v>
      </c>
      <c r="I108" s="197">
        <v>1090</v>
      </c>
      <c r="L108" t="s">
        <v>269</v>
      </c>
      <c r="M108" s="24">
        <v>0.03</v>
      </c>
      <c r="N108">
        <f t="shared" si="3"/>
        <v>2.9999999999999997E-5</v>
      </c>
      <c r="O108" s="102">
        <f t="shared" si="2"/>
        <v>6.7054090299508267E-5</v>
      </c>
    </row>
    <row r="109" spans="2:15" x14ac:dyDescent="0.35">
      <c r="B109" s="193">
        <v>50</v>
      </c>
      <c r="C109" s="166" t="s">
        <v>254</v>
      </c>
      <c r="D109" s="194">
        <v>0.05</v>
      </c>
      <c r="E109" s="194">
        <v>0.02</v>
      </c>
      <c r="F109" s="194">
        <v>-54.28</v>
      </c>
      <c r="G109" s="194">
        <v>13.92</v>
      </c>
      <c r="H109" s="194">
        <v>0.16</v>
      </c>
      <c r="I109" s="196">
        <v>-98.89</v>
      </c>
      <c r="L109" t="s">
        <v>254</v>
      </c>
      <c r="M109" s="24">
        <v>0.02</v>
      </c>
      <c r="N109">
        <f t="shared" si="3"/>
        <v>2.0000000000000002E-5</v>
      </c>
      <c r="O109" s="102">
        <f t="shared" si="2"/>
        <v>4.4702726866338847E-5</v>
      </c>
    </row>
    <row r="110" spans="2:15" x14ac:dyDescent="0.35">
      <c r="B110" s="193">
        <v>51</v>
      </c>
      <c r="C110" s="166" t="s">
        <v>297</v>
      </c>
      <c r="D110" s="194">
        <v>0.01</v>
      </c>
      <c r="E110" s="194">
        <v>0.02</v>
      </c>
      <c r="F110" s="194">
        <v>128.38</v>
      </c>
      <c r="G110" s="194">
        <v>0.01</v>
      </c>
      <c r="H110" s="194">
        <v>0.01</v>
      </c>
      <c r="I110" s="196">
        <v>87.5</v>
      </c>
      <c r="L110" t="s">
        <v>297</v>
      </c>
      <c r="M110" s="24">
        <v>0.02</v>
      </c>
      <c r="N110">
        <f t="shared" si="3"/>
        <v>2.0000000000000002E-5</v>
      </c>
      <c r="O110" s="102">
        <f t="shared" si="2"/>
        <v>4.4702726866338847E-5</v>
      </c>
    </row>
    <row r="111" spans="2:15" x14ac:dyDescent="0.35">
      <c r="B111" s="193">
        <v>52</v>
      </c>
      <c r="C111" s="166" t="s">
        <v>298</v>
      </c>
      <c r="D111" s="194">
        <v>0</v>
      </c>
      <c r="E111" s="194">
        <v>0.01</v>
      </c>
      <c r="F111" s="194">
        <v>172.73</v>
      </c>
      <c r="G111" s="194">
        <v>0.06</v>
      </c>
      <c r="H111" s="194">
        <v>0.08</v>
      </c>
      <c r="I111" s="196">
        <v>32.79</v>
      </c>
      <c r="L111" t="s">
        <v>298</v>
      </c>
      <c r="M111" s="24">
        <v>0.01</v>
      </c>
      <c r="N111">
        <f t="shared" si="3"/>
        <v>1.0000000000000001E-5</v>
      </c>
      <c r="O111" s="102">
        <f t="shared" si="2"/>
        <v>2.2351363433169423E-5</v>
      </c>
    </row>
    <row r="112" spans="2:15" x14ac:dyDescent="0.35">
      <c r="B112" s="193">
        <v>53</v>
      </c>
      <c r="C112" s="166" t="s">
        <v>299</v>
      </c>
      <c r="D112" s="194"/>
      <c r="E112" s="194">
        <v>0.01</v>
      </c>
      <c r="F112" s="194"/>
      <c r="G112" s="194"/>
      <c r="H112" s="194">
        <v>0.01</v>
      </c>
      <c r="I112" s="196"/>
      <c r="L112" t="s">
        <v>299</v>
      </c>
      <c r="M112" s="24">
        <v>0.01</v>
      </c>
      <c r="N112">
        <f t="shared" si="3"/>
        <v>1.0000000000000001E-5</v>
      </c>
      <c r="O112" s="102">
        <f t="shared" si="2"/>
        <v>2.2351363433169423E-5</v>
      </c>
    </row>
    <row r="113" spans="2:15" x14ac:dyDescent="0.35">
      <c r="B113" s="193">
        <v>54</v>
      </c>
      <c r="C113" s="166" t="s">
        <v>300</v>
      </c>
      <c r="D113" s="194">
        <v>0.14000000000000001</v>
      </c>
      <c r="E113" s="194">
        <v>0.01</v>
      </c>
      <c r="F113" s="194">
        <v>-92.15</v>
      </c>
      <c r="G113" s="194">
        <v>15.69</v>
      </c>
      <c r="H113" s="194">
        <v>0.01</v>
      </c>
      <c r="I113" s="196">
        <v>-99.96</v>
      </c>
      <c r="L113" t="s">
        <v>300</v>
      </c>
      <c r="M113" s="24">
        <v>0.01</v>
      </c>
      <c r="N113">
        <f t="shared" si="3"/>
        <v>1.0000000000000001E-5</v>
      </c>
      <c r="O113" s="102">
        <f t="shared" si="2"/>
        <v>2.2351363433169423E-5</v>
      </c>
    </row>
    <row r="114" spans="2:15" x14ac:dyDescent="0.35">
      <c r="B114" s="193">
        <v>55</v>
      </c>
      <c r="C114" s="166" t="s">
        <v>301</v>
      </c>
      <c r="D114" s="194"/>
      <c r="E114" s="194">
        <v>0.01</v>
      </c>
      <c r="F114" s="194"/>
      <c r="G114" s="194">
        <v>0</v>
      </c>
      <c r="H114" s="194">
        <v>0.02</v>
      </c>
      <c r="I114" s="197">
        <v>1000</v>
      </c>
      <c r="L114" t="s">
        <v>301</v>
      </c>
      <c r="M114" s="24">
        <v>0.01</v>
      </c>
      <c r="N114">
        <f t="shared" si="3"/>
        <v>1.0000000000000001E-5</v>
      </c>
      <c r="O114" s="102">
        <f t="shared" si="2"/>
        <v>2.2351363433169423E-5</v>
      </c>
    </row>
    <row r="115" spans="2:15" x14ac:dyDescent="0.35">
      <c r="B115" s="193">
        <v>56</v>
      </c>
      <c r="C115" s="166" t="s">
        <v>302</v>
      </c>
      <c r="D115" s="194">
        <v>0</v>
      </c>
      <c r="E115" s="194">
        <v>0.01</v>
      </c>
      <c r="F115" s="194">
        <v>427.27</v>
      </c>
      <c r="G115" s="194">
        <v>0</v>
      </c>
      <c r="H115" s="194">
        <v>0</v>
      </c>
      <c r="I115" s="196">
        <v>0</v>
      </c>
      <c r="L115" t="s">
        <v>302</v>
      </c>
      <c r="M115" s="24">
        <v>0.01</v>
      </c>
      <c r="N115">
        <f t="shared" si="3"/>
        <v>1.0000000000000001E-5</v>
      </c>
      <c r="O115" s="102">
        <f t="shared" si="2"/>
        <v>2.2351363433169423E-5</v>
      </c>
    </row>
    <row r="116" spans="2:15" x14ac:dyDescent="0.35">
      <c r="B116" s="193">
        <v>57</v>
      </c>
      <c r="C116" s="166" t="s">
        <v>303</v>
      </c>
      <c r="D116" s="194"/>
      <c r="E116" s="194">
        <v>0.01</v>
      </c>
      <c r="F116" s="194"/>
      <c r="G116" s="194">
        <v>0</v>
      </c>
      <c r="H116" s="194">
        <v>0</v>
      </c>
      <c r="I116" s="196">
        <v>300</v>
      </c>
      <c r="L116" t="s">
        <v>303</v>
      </c>
      <c r="M116" s="24">
        <v>0.01</v>
      </c>
      <c r="N116">
        <f t="shared" si="3"/>
        <v>1.0000000000000001E-5</v>
      </c>
      <c r="O116" s="102">
        <f t="shared" si="2"/>
        <v>2.2351363433169423E-5</v>
      </c>
    </row>
    <row r="117" spans="2:15" x14ac:dyDescent="0.35">
      <c r="B117" s="193">
        <v>58</v>
      </c>
      <c r="C117" s="166" t="s">
        <v>304</v>
      </c>
      <c r="D117" s="194">
        <v>0.01</v>
      </c>
      <c r="E117" s="194">
        <v>0</v>
      </c>
      <c r="F117" s="194">
        <v>-75.510000000000005</v>
      </c>
      <c r="G117" s="194">
        <v>0.01</v>
      </c>
      <c r="H117" s="194">
        <v>0</v>
      </c>
      <c r="I117" s="196">
        <v>-33.33</v>
      </c>
    </row>
    <row r="118" spans="2:15" x14ac:dyDescent="0.35">
      <c r="B118" s="193">
        <v>59</v>
      </c>
      <c r="C118" s="166" t="s">
        <v>305</v>
      </c>
      <c r="D118" s="194"/>
      <c r="E118" s="194">
        <v>0</v>
      </c>
      <c r="F118" s="194"/>
      <c r="G118" s="194"/>
      <c r="H118" s="194">
        <v>0</v>
      </c>
      <c r="I118" s="196"/>
      <c r="M118">
        <f>SUM(M60:M117)</f>
        <v>447.39</v>
      </c>
    </row>
    <row r="119" spans="2:15" x14ac:dyDescent="0.35">
      <c r="B119" s="193">
        <v>60</v>
      </c>
      <c r="C119" s="166" t="s">
        <v>306</v>
      </c>
      <c r="D119" s="194"/>
      <c r="E119" s="194">
        <v>0</v>
      </c>
      <c r="F119" s="194"/>
      <c r="G119" s="194"/>
      <c r="H119" s="194">
        <v>0.2</v>
      </c>
      <c r="I119" s="196"/>
      <c r="L119" t="s">
        <v>165</v>
      </c>
      <c r="M119">
        <f>M121-M118</f>
        <v>9.9999999999909051E-3</v>
      </c>
    </row>
    <row r="120" spans="2:15" x14ac:dyDescent="0.35">
      <c r="B120" s="193">
        <v>61</v>
      </c>
      <c r="C120" s="166" t="s">
        <v>307</v>
      </c>
      <c r="D120" s="194">
        <v>0</v>
      </c>
      <c r="E120" s="194">
        <v>0</v>
      </c>
      <c r="F120" s="194">
        <v>-55.56</v>
      </c>
      <c r="G120" s="194">
        <v>0</v>
      </c>
      <c r="H120" s="194">
        <v>0</v>
      </c>
      <c r="I120" s="196">
        <v>-50</v>
      </c>
    </row>
    <row r="121" spans="2:15" x14ac:dyDescent="0.35">
      <c r="B121" s="193">
        <v>62</v>
      </c>
      <c r="C121" s="166" t="s">
        <v>308</v>
      </c>
      <c r="D121" s="194">
        <v>0</v>
      </c>
      <c r="E121" s="194">
        <v>0</v>
      </c>
      <c r="F121" s="194">
        <v>350</v>
      </c>
      <c r="G121" s="194">
        <v>0</v>
      </c>
      <c r="H121" s="194">
        <v>0</v>
      </c>
      <c r="I121" s="196">
        <v>-66.67</v>
      </c>
      <c r="L121" t="s">
        <v>35</v>
      </c>
      <c r="M121">
        <v>447.4</v>
      </c>
    </row>
    <row r="122" spans="2:15" x14ac:dyDescent="0.35">
      <c r="B122" s="193">
        <v>63</v>
      </c>
      <c r="C122" s="166" t="s">
        <v>309</v>
      </c>
      <c r="D122" s="194">
        <v>0</v>
      </c>
      <c r="E122" s="194">
        <v>0</v>
      </c>
      <c r="F122" s="194">
        <v>14.29</v>
      </c>
      <c r="G122" s="194">
        <v>0.01</v>
      </c>
      <c r="H122" s="194">
        <v>0.03</v>
      </c>
      <c r="I122" s="196">
        <v>92.31</v>
      </c>
    </row>
    <row r="123" spans="2:15" x14ac:dyDescent="0.35">
      <c r="B123" s="193">
        <v>64</v>
      </c>
      <c r="C123" s="166" t="s">
        <v>217</v>
      </c>
      <c r="D123" s="194">
        <v>0.03</v>
      </c>
      <c r="E123" s="194">
        <v>0</v>
      </c>
      <c r="F123" s="194">
        <v>-95.45</v>
      </c>
      <c r="G123" s="194">
        <v>0.52</v>
      </c>
      <c r="H123" s="194">
        <v>0.01</v>
      </c>
      <c r="I123" s="196">
        <v>-98.46</v>
      </c>
    </row>
    <row r="124" spans="2:15" x14ac:dyDescent="0.35">
      <c r="B124" s="193">
        <v>65</v>
      </c>
      <c r="C124" s="166" t="s">
        <v>310</v>
      </c>
      <c r="D124" s="194">
        <v>0.01</v>
      </c>
      <c r="E124" s="194">
        <v>0</v>
      </c>
      <c r="F124" s="194">
        <v>-98.6</v>
      </c>
      <c r="G124" s="194">
        <v>0.03</v>
      </c>
      <c r="H124" s="194">
        <v>0</v>
      </c>
      <c r="I124" s="196">
        <v>-96.55</v>
      </c>
    </row>
    <row r="125" spans="2:15" x14ac:dyDescent="0.35">
      <c r="B125" s="193">
        <v>66</v>
      </c>
      <c r="C125" s="166" t="s">
        <v>276</v>
      </c>
      <c r="D125" s="194">
        <v>0</v>
      </c>
      <c r="E125" s="194">
        <v>0</v>
      </c>
      <c r="F125" s="194">
        <v>-84.62</v>
      </c>
      <c r="G125" s="194">
        <v>0</v>
      </c>
      <c r="H125" s="194">
        <v>0</v>
      </c>
      <c r="I125" s="196">
        <v>-50</v>
      </c>
    </row>
    <row r="126" spans="2:15" x14ac:dyDescent="0.35">
      <c r="B126" s="193">
        <v>67</v>
      </c>
      <c r="C126" s="166" t="s">
        <v>311</v>
      </c>
      <c r="D126" s="194"/>
      <c r="E126" s="194">
        <v>0</v>
      </c>
      <c r="F126" s="194"/>
      <c r="G126" s="194"/>
      <c r="H126" s="194">
        <v>0</v>
      </c>
      <c r="I126" s="196"/>
    </row>
    <row r="127" spans="2:15" x14ac:dyDescent="0.35">
      <c r="B127" s="193">
        <v>68</v>
      </c>
      <c r="C127" s="166" t="s">
        <v>268</v>
      </c>
      <c r="D127" s="194">
        <v>0</v>
      </c>
      <c r="E127" s="194">
        <v>0</v>
      </c>
      <c r="F127" s="194">
        <v>-97.96</v>
      </c>
      <c r="G127" s="194">
        <v>0</v>
      </c>
      <c r="H127" s="194">
        <v>0.01</v>
      </c>
      <c r="I127" s="196">
        <v>50</v>
      </c>
    </row>
    <row r="128" spans="2:15" x14ac:dyDescent="0.35">
      <c r="B128" s="193">
        <v>69</v>
      </c>
      <c r="C128" s="166" t="s">
        <v>312</v>
      </c>
      <c r="D128" s="194">
        <v>0.01</v>
      </c>
      <c r="E128" s="194"/>
      <c r="F128" s="194"/>
      <c r="G128" s="194">
        <v>1.73</v>
      </c>
      <c r="H128" s="194"/>
      <c r="I128" s="196"/>
    </row>
    <row r="129" spans="2:9" x14ac:dyDescent="0.35">
      <c r="B129" s="193">
        <v>70</v>
      </c>
      <c r="C129" s="166" t="s">
        <v>313</v>
      </c>
      <c r="D129" s="194"/>
      <c r="E129" s="194"/>
      <c r="F129" s="194"/>
      <c r="G129" s="194">
        <v>0</v>
      </c>
      <c r="H129" s="194"/>
      <c r="I129" s="196"/>
    </row>
    <row r="130" spans="2:9" x14ac:dyDescent="0.35">
      <c r="B130" s="193">
        <v>71</v>
      </c>
      <c r="C130" s="166" t="s">
        <v>314</v>
      </c>
      <c r="D130" s="194"/>
      <c r="E130" s="194"/>
      <c r="F130" s="194"/>
      <c r="G130" s="194"/>
      <c r="H130" s="194">
        <v>0</v>
      </c>
      <c r="I130" s="196"/>
    </row>
    <row r="131" spans="2:9" x14ac:dyDescent="0.35">
      <c r="B131" s="193">
        <v>72</v>
      </c>
      <c r="C131" s="166" t="s">
        <v>315</v>
      </c>
      <c r="D131" s="194">
        <v>0</v>
      </c>
      <c r="E131" s="194"/>
      <c r="F131" s="194"/>
      <c r="G131" s="194">
        <v>0</v>
      </c>
      <c r="H131" s="194"/>
      <c r="I131" s="196"/>
    </row>
    <row r="132" spans="2:9" x14ac:dyDescent="0.35">
      <c r="B132" s="193">
        <v>73</v>
      </c>
      <c r="C132" s="166" t="s">
        <v>316</v>
      </c>
      <c r="D132" s="194">
        <v>0</v>
      </c>
      <c r="E132" s="194"/>
      <c r="F132" s="194"/>
      <c r="G132" s="194">
        <v>0</v>
      </c>
      <c r="H132" s="194">
        <v>0.08</v>
      </c>
      <c r="I132" s="197">
        <v>3700</v>
      </c>
    </row>
    <row r="133" spans="2:9" x14ac:dyDescent="0.35">
      <c r="B133" s="193">
        <v>74</v>
      </c>
      <c r="C133" s="166" t="s">
        <v>317</v>
      </c>
      <c r="D133" s="194">
        <v>0.01</v>
      </c>
      <c r="E133" s="194"/>
      <c r="F133" s="194"/>
      <c r="G133" s="194">
        <v>0.03</v>
      </c>
      <c r="H133" s="194"/>
      <c r="I133" s="196"/>
    </row>
    <row r="134" spans="2:9" x14ac:dyDescent="0.35">
      <c r="B134" s="193">
        <v>75</v>
      </c>
      <c r="C134" s="166" t="s">
        <v>318</v>
      </c>
      <c r="D134" s="194"/>
      <c r="E134" s="194"/>
      <c r="F134" s="194"/>
      <c r="G134" s="194"/>
      <c r="H134" s="194">
        <v>0.03</v>
      </c>
      <c r="I134" s="196"/>
    </row>
    <row r="135" spans="2:9" x14ac:dyDescent="0.35">
      <c r="B135" s="193">
        <v>76</v>
      </c>
      <c r="C135" s="166" t="s">
        <v>319</v>
      </c>
      <c r="D135" s="194">
        <v>0</v>
      </c>
      <c r="E135" s="194"/>
      <c r="F135" s="194"/>
      <c r="G135" s="194">
        <v>0</v>
      </c>
      <c r="H135" s="194"/>
      <c r="I135" s="196"/>
    </row>
    <row r="136" spans="2:9" x14ac:dyDescent="0.35">
      <c r="B136" s="193">
        <v>77</v>
      </c>
      <c r="C136" s="166" t="s">
        <v>320</v>
      </c>
      <c r="D136" s="194">
        <v>0.01</v>
      </c>
      <c r="E136" s="194"/>
      <c r="F136" s="194"/>
      <c r="G136" s="194">
        <v>0.03</v>
      </c>
      <c r="H136" s="194"/>
      <c r="I136" s="196"/>
    </row>
    <row r="137" spans="2:9" x14ac:dyDescent="0.35">
      <c r="B137" s="193">
        <v>78</v>
      </c>
      <c r="C137" s="166" t="s">
        <v>321</v>
      </c>
      <c r="D137" s="194">
        <v>0</v>
      </c>
      <c r="E137" s="194"/>
      <c r="F137" s="194"/>
      <c r="G137" s="194">
        <v>0.01</v>
      </c>
      <c r="H137" s="194"/>
      <c r="I137" s="196"/>
    </row>
    <row r="138" spans="2:9" x14ac:dyDescent="0.35">
      <c r="B138" s="193">
        <v>79</v>
      </c>
      <c r="C138" s="166" t="s">
        <v>322</v>
      </c>
      <c r="D138" s="194">
        <v>0</v>
      </c>
      <c r="E138" s="194"/>
      <c r="F138" s="194"/>
      <c r="G138" s="194">
        <v>0</v>
      </c>
      <c r="H138" s="194"/>
      <c r="I138" s="196"/>
    </row>
    <row r="139" spans="2:9" x14ac:dyDescent="0.35">
      <c r="B139" s="193">
        <v>80</v>
      </c>
      <c r="C139" s="166" t="s">
        <v>323</v>
      </c>
      <c r="D139" s="194">
        <v>0.23</v>
      </c>
      <c r="E139" s="194"/>
      <c r="F139" s="194"/>
      <c r="G139" s="194">
        <v>0.22</v>
      </c>
      <c r="H139" s="194"/>
      <c r="I139" s="196"/>
    </row>
    <row r="140" spans="2:9" x14ac:dyDescent="0.35">
      <c r="B140" s="193">
        <v>81</v>
      </c>
      <c r="C140" s="166" t="s">
        <v>324</v>
      </c>
      <c r="D140" s="194">
        <v>0</v>
      </c>
      <c r="E140" s="194"/>
      <c r="F140" s="194"/>
      <c r="G140" s="194">
        <v>0</v>
      </c>
      <c r="H140" s="194"/>
      <c r="I140" s="196"/>
    </row>
    <row r="141" spans="2:9" x14ac:dyDescent="0.35">
      <c r="B141" s="193">
        <v>82</v>
      </c>
      <c r="C141" s="166" t="s">
        <v>325</v>
      </c>
      <c r="D141" s="194">
        <v>0.03</v>
      </c>
      <c r="E141" s="194"/>
      <c r="F141" s="194"/>
      <c r="G141" s="194">
        <v>0.04</v>
      </c>
      <c r="H141" s="194"/>
      <c r="I141" s="196"/>
    </row>
    <row r="142" spans="2:9" x14ac:dyDescent="0.35">
      <c r="B142" s="193">
        <v>83</v>
      </c>
      <c r="C142" s="166" t="s">
        <v>326</v>
      </c>
      <c r="D142" s="194">
        <v>7.0000000000000007E-2</v>
      </c>
      <c r="E142" s="194"/>
      <c r="F142" s="194"/>
      <c r="G142" s="194">
        <v>0.96</v>
      </c>
      <c r="H142" s="194"/>
      <c r="I142" s="196"/>
    </row>
    <row r="143" spans="2:9" x14ac:dyDescent="0.35">
      <c r="B143" s="193">
        <v>84</v>
      </c>
      <c r="C143" s="166" t="s">
        <v>327</v>
      </c>
      <c r="D143" s="194">
        <v>0.01</v>
      </c>
      <c r="E143" s="194"/>
      <c r="F143" s="194"/>
      <c r="G143" s="194">
        <v>0.5</v>
      </c>
      <c r="H143" s="194"/>
      <c r="I143" s="196"/>
    </row>
    <row r="144" spans="2:9" x14ac:dyDescent="0.35">
      <c r="B144" s="198"/>
      <c r="C144" s="172" t="s">
        <v>35</v>
      </c>
      <c r="D144" s="199">
        <v>491.14</v>
      </c>
      <c r="E144" s="199">
        <v>447.4</v>
      </c>
      <c r="F144" s="199">
        <v>-8.9</v>
      </c>
      <c r="G144" s="200"/>
      <c r="H144" s="200"/>
      <c r="I144" s="201"/>
    </row>
    <row r="145" spans="2:9" x14ac:dyDescent="0.35">
      <c r="B145" s="202" t="s">
        <v>279</v>
      </c>
      <c r="C145" s="203"/>
      <c r="D145" s="204">
        <v>474709.28</v>
      </c>
      <c r="E145" s="204">
        <v>394435.88</v>
      </c>
      <c r="F145" s="205">
        <v>-16.91</v>
      </c>
      <c r="G145" s="194"/>
      <c r="H145" s="194"/>
      <c r="I145" s="196"/>
    </row>
    <row r="146" spans="2:9" ht="15" thickBot="1" x14ac:dyDescent="0.4">
      <c r="B146" s="206" t="s">
        <v>280</v>
      </c>
      <c r="C146" s="207"/>
      <c r="D146" s="208">
        <v>0.10349999999999999</v>
      </c>
      <c r="E146" s="208">
        <v>0.1134</v>
      </c>
      <c r="F146" s="208"/>
      <c r="G146" s="209"/>
      <c r="H146" s="209"/>
      <c r="I146" s="210"/>
    </row>
  </sheetData>
  <mergeCells count="6">
    <mergeCell ref="D5:F5"/>
    <mergeCell ref="G5:I5"/>
    <mergeCell ref="D58:F58"/>
    <mergeCell ref="G58:I58"/>
    <mergeCell ref="B145:C145"/>
    <mergeCell ref="B146:C1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68E5-A7CE-4FE2-8C8E-434A866B39C1}">
  <dimension ref="B3:R178"/>
  <sheetViews>
    <sheetView topLeftCell="A111" workbookViewId="0">
      <selection activeCell="U16" sqref="U16"/>
    </sheetView>
  </sheetViews>
  <sheetFormatPr defaultRowHeight="14.5" x14ac:dyDescent="0.35"/>
  <cols>
    <col min="3" max="3" width="8.7265625" style="107"/>
    <col min="4" max="4" width="7.453125" style="111" bestFit="1" customWidth="1"/>
    <col min="5" max="5" width="10.7265625" style="111" bestFit="1" customWidth="1"/>
    <col min="6" max="6" width="8.81640625" style="111" customWidth="1"/>
    <col min="7" max="7" width="8.7265625" style="148"/>
    <col min="8" max="8" width="16.453125" style="111" bestFit="1" customWidth="1"/>
    <col min="9" max="9" width="16.81640625" style="111" bestFit="1" customWidth="1"/>
    <col min="10" max="11" width="16.81640625" style="111" customWidth="1"/>
    <col min="12" max="12" width="14.453125" style="111" bestFit="1" customWidth="1"/>
    <col min="13" max="13" width="16.1796875" style="111" bestFit="1" customWidth="1"/>
    <col min="14" max="14" width="8.7265625" style="111"/>
    <col min="15" max="15" width="9.1796875" style="111" customWidth="1"/>
  </cols>
  <sheetData>
    <row r="3" spans="2:6" x14ac:dyDescent="0.35">
      <c r="B3" s="146"/>
      <c r="C3" s="147"/>
    </row>
    <row r="4" spans="2:6" x14ac:dyDescent="0.35">
      <c r="B4" s="109"/>
      <c r="C4" s="110"/>
    </row>
    <row r="5" spans="2:6" x14ac:dyDescent="0.35">
      <c r="B5" s="109"/>
      <c r="C5" s="110"/>
      <c r="F5" s="111" t="s">
        <v>219</v>
      </c>
    </row>
    <row r="6" spans="2:6" x14ac:dyDescent="0.35">
      <c r="B6" s="109"/>
      <c r="C6" s="107" t="s">
        <v>20</v>
      </c>
      <c r="D6" s="111" t="s">
        <v>143</v>
      </c>
      <c r="F6" s="111">
        <v>13.41</v>
      </c>
    </row>
    <row r="7" spans="2:6" x14ac:dyDescent="0.35">
      <c r="B7" s="109"/>
    </row>
    <row r="8" spans="2:6" x14ac:dyDescent="0.35">
      <c r="B8" s="109"/>
      <c r="C8" s="107" t="s">
        <v>148</v>
      </c>
      <c r="D8" s="114">
        <v>0.18965517241379309</v>
      </c>
      <c r="F8" s="112">
        <f>$F$6*D8</f>
        <v>2.5432758620689655</v>
      </c>
    </row>
    <row r="9" spans="2:6" x14ac:dyDescent="0.35">
      <c r="B9" s="109"/>
      <c r="C9" s="107" t="s">
        <v>149</v>
      </c>
      <c r="D9" s="114">
        <v>0.14106583072100315</v>
      </c>
      <c r="F9" s="112">
        <f t="shared" ref="F9:F18" si="0">$F$6*D9</f>
        <v>1.8916927899686522</v>
      </c>
    </row>
    <row r="10" spans="2:6" x14ac:dyDescent="0.35">
      <c r="B10" s="111"/>
      <c r="C10" s="107" t="s">
        <v>150</v>
      </c>
      <c r="D10" s="114">
        <v>8.9341692789968646E-2</v>
      </c>
      <c r="F10" s="112">
        <f t="shared" si="0"/>
        <v>1.1980721003134795</v>
      </c>
    </row>
    <row r="11" spans="2:6" x14ac:dyDescent="0.35">
      <c r="B11" s="111"/>
      <c r="C11" s="107" t="s">
        <v>151</v>
      </c>
      <c r="D11" s="114">
        <v>3.4482758620689655E-2</v>
      </c>
      <c r="F11" s="112">
        <f t="shared" si="0"/>
        <v>0.46241379310344827</v>
      </c>
    </row>
    <row r="12" spans="2:6" x14ac:dyDescent="0.35">
      <c r="B12" s="111"/>
      <c r="C12" s="107" t="s">
        <v>152</v>
      </c>
      <c r="D12" s="114">
        <v>2.8213166144200625E-2</v>
      </c>
      <c r="F12" s="112">
        <f t="shared" si="0"/>
        <v>0.3783385579937304</v>
      </c>
    </row>
    <row r="13" spans="2:6" x14ac:dyDescent="0.35">
      <c r="B13" s="111"/>
      <c r="C13" s="107" t="s">
        <v>154</v>
      </c>
      <c r="D13" s="114">
        <v>1.5673981191222573E-2</v>
      </c>
      <c r="F13" s="112">
        <f t="shared" si="0"/>
        <v>0.21018808777429471</v>
      </c>
    </row>
    <row r="14" spans="2:6" x14ac:dyDescent="0.35">
      <c r="B14" s="111"/>
      <c r="C14" s="107" t="s">
        <v>156</v>
      </c>
      <c r="D14" s="114">
        <v>1.3322884012539187E-2</v>
      </c>
      <c r="F14" s="112">
        <f t="shared" si="0"/>
        <v>0.1786598746081505</v>
      </c>
    </row>
    <row r="15" spans="2:6" x14ac:dyDescent="0.35">
      <c r="C15" s="107" t="s">
        <v>157</v>
      </c>
      <c r="D15" s="114">
        <v>1.0971786833855801E-2</v>
      </c>
      <c r="F15" s="112">
        <f t="shared" si="0"/>
        <v>0.14713166144200629</v>
      </c>
    </row>
    <row r="16" spans="2:6" x14ac:dyDescent="0.35">
      <c r="C16" s="107" t="s">
        <v>159</v>
      </c>
      <c r="D16" s="114">
        <v>9.4043887147335428E-3</v>
      </c>
      <c r="F16" s="112">
        <f t="shared" si="0"/>
        <v>0.12611285266457681</v>
      </c>
    </row>
    <row r="17" spans="2:15" x14ac:dyDescent="0.35">
      <c r="C17" s="107" t="s">
        <v>160</v>
      </c>
      <c r="D17" s="114">
        <v>6.2695924764890288E-3</v>
      </c>
      <c r="F17" s="112">
        <f t="shared" si="0"/>
        <v>8.4075235109717872E-2</v>
      </c>
    </row>
    <row r="18" spans="2:15" x14ac:dyDescent="0.35">
      <c r="C18" s="107" t="s">
        <v>161</v>
      </c>
      <c r="D18" s="114">
        <v>0.4615987460815047</v>
      </c>
      <c r="F18" s="112">
        <f t="shared" si="0"/>
        <v>6.1900391849529779</v>
      </c>
    </row>
    <row r="21" spans="2:15" x14ac:dyDescent="0.35">
      <c r="C21" s="107" t="s">
        <v>141</v>
      </c>
      <c r="D21" s="128">
        <v>0.31309999999999999</v>
      </c>
      <c r="F21" s="112">
        <f>F6*D21</f>
        <v>4.198671</v>
      </c>
    </row>
    <row r="26" spans="2:15" ht="15.5" x14ac:dyDescent="0.35">
      <c r="B26" s="211" t="s">
        <v>148</v>
      </c>
      <c r="D26" s="151" t="s">
        <v>221</v>
      </c>
      <c r="E26" s="151" t="s">
        <v>222</v>
      </c>
      <c r="F26" s="151" t="s">
        <v>223</v>
      </c>
      <c r="G26" s="152" t="s">
        <v>224</v>
      </c>
      <c r="H26" s="151" t="s">
        <v>225</v>
      </c>
      <c r="I26" s="151" t="s">
        <v>226</v>
      </c>
      <c r="J26" s="151" t="s">
        <v>147</v>
      </c>
      <c r="K26" s="151" t="s">
        <v>227</v>
      </c>
      <c r="L26" s="151" t="s">
        <v>228</v>
      </c>
      <c r="M26" s="151" t="s">
        <v>229</v>
      </c>
      <c r="N26" s="151" t="s">
        <v>230</v>
      </c>
      <c r="O26" s="151" t="s">
        <v>231</v>
      </c>
    </row>
    <row r="27" spans="2:15" x14ac:dyDescent="0.35">
      <c r="B27" s="107"/>
    </row>
    <row r="28" spans="2:15" x14ac:dyDescent="0.35">
      <c r="D28" s="111">
        <v>2021</v>
      </c>
      <c r="E28" s="111" t="s">
        <v>141</v>
      </c>
      <c r="F28" s="111" t="s">
        <v>78</v>
      </c>
      <c r="G28" s="148" t="s">
        <v>232</v>
      </c>
      <c r="H28" s="111">
        <v>4011</v>
      </c>
      <c r="I28" s="154">
        <v>229047050</v>
      </c>
      <c r="J28" s="149">
        <f>I28/10^9</f>
        <v>0.22904705</v>
      </c>
      <c r="K28" s="114">
        <f>J28/$F$21</f>
        <v>5.4552273802829516E-2</v>
      </c>
      <c r="L28" s="154">
        <v>47147367</v>
      </c>
      <c r="M28" s="111" t="s">
        <v>233</v>
      </c>
      <c r="N28" s="154">
        <v>2719865</v>
      </c>
      <c r="O28" s="111">
        <v>4</v>
      </c>
    </row>
    <row r="29" spans="2:15" x14ac:dyDescent="0.35">
      <c r="J29" s="149"/>
    </row>
    <row r="30" spans="2:15" x14ac:dyDescent="0.35">
      <c r="D30" s="111">
        <v>2021</v>
      </c>
      <c r="E30" s="111" t="s">
        <v>141</v>
      </c>
      <c r="F30" s="111" t="s">
        <v>78</v>
      </c>
      <c r="G30" s="148" t="s">
        <v>172</v>
      </c>
      <c r="H30" s="111">
        <v>4011</v>
      </c>
      <c r="I30" s="154">
        <v>5258844</v>
      </c>
      <c r="J30" s="149">
        <f>I30/10^9</f>
        <v>5.2588440000000004E-3</v>
      </c>
      <c r="K30" s="114">
        <f>J30/$J$28</f>
        <v>2.2959667020378566E-2</v>
      </c>
      <c r="L30" s="154">
        <v>1045296</v>
      </c>
      <c r="M30" s="111" t="s">
        <v>233</v>
      </c>
      <c r="N30" s="154">
        <v>20026</v>
      </c>
      <c r="O30" s="111">
        <v>4</v>
      </c>
    </row>
    <row r="31" spans="2:15" x14ac:dyDescent="0.35">
      <c r="J31" s="149"/>
    </row>
    <row r="32" spans="2:15" x14ac:dyDescent="0.35">
      <c r="D32" s="111">
        <v>2021</v>
      </c>
      <c r="E32" s="111" t="s">
        <v>141</v>
      </c>
      <c r="F32" s="111" t="s">
        <v>78</v>
      </c>
      <c r="G32" s="148" t="s">
        <v>167</v>
      </c>
      <c r="H32" s="111">
        <v>4011</v>
      </c>
      <c r="I32" s="154">
        <v>44444544</v>
      </c>
      <c r="J32" s="149">
        <f>I32/10^9</f>
        <v>4.4444544000000002E-2</v>
      </c>
      <c r="K32" s="114">
        <f>J32/$J$28</f>
        <v>0.19404111076741656</v>
      </c>
      <c r="L32" s="149">
        <v>9553684</v>
      </c>
      <c r="M32" s="111" t="s">
        <v>233</v>
      </c>
      <c r="N32" s="154">
        <v>727254</v>
      </c>
      <c r="O32" s="111">
        <v>4</v>
      </c>
    </row>
    <row r="33" spans="3:18" x14ac:dyDescent="0.35">
      <c r="J33" s="149"/>
    </row>
    <row r="34" spans="3:18" x14ac:dyDescent="0.35">
      <c r="D34" s="111">
        <v>2021</v>
      </c>
      <c r="E34" s="111" t="s">
        <v>141</v>
      </c>
      <c r="F34" s="111" t="s">
        <v>78</v>
      </c>
      <c r="G34" s="148" t="s">
        <v>174</v>
      </c>
      <c r="H34" s="111">
        <v>4011</v>
      </c>
      <c r="I34" s="154">
        <v>55897299</v>
      </c>
      <c r="J34" s="149">
        <f>I34/10^9</f>
        <v>5.5897298999999998E-2</v>
      </c>
      <c r="K34" s="114">
        <f>J34/$J$28</f>
        <v>0.24404286804828962</v>
      </c>
      <c r="L34" s="149">
        <v>10126531</v>
      </c>
      <c r="M34" s="111" t="s">
        <v>233</v>
      </c>
      <c r="N34" s="154">
        <v>989902</v>
      </c>
      <c r="O34" s="111">
        <v>4</v>
      </c>
    </row>
    <row r="35" spans="3:18" x14ac:dyDescent="0.35">
      <c r="J35" s="149"/>
    </row>
    <row r="36" spans="3:18" x14ac:dyDescent="0.35">
      <c r="D36" s="111">
        <v>2021</v>
      </c>
      <c r="E36" s="111" t="s">
        <v>141</v>
      </c>
      <c r="F36" s="111" t="s">
        <v>78</v>
      </c>
      <c r="G36" s="148" t="s">
        <v>328</v>
      </c>
      <c r="H36" s="111">
        <v>4011</v>
      </c>
      <c r="I36" s="154">
        <v>3463371</v>
      </c>
      <c r="J36" s="149">
        <f>I36/10^9</f>
        <v>3.4633709999999998E-3</v>
      </c>
      <c r="K36" s="114">
        <f>J36/$J$28</f>
        <v>1.5120784135835846E-2</v>
      </c>
      <c r="L36" s="154">
        <v>574199</v>
      </c>
      <c r="M36" s="111" t="s">
        <v>233</v>
      </c>
      <c r="N36" s="154">
        <v>107132</v>
      </c>
      <c r="O36" s="111">
        <v>4</v>
      </c>
    </row>
    <row r="38" spans="3:18" x14ac:dyDescent="0.35">
      <c r="D38" s="111">
        <v>2021</v>
      </c>
      <c r="E38" s="111" t="s">
        <v>141</v>
      </c>
      <c r="F38" s="111" t="s">
        <v>78</v>
      </c>
      <c r="G38" s="148" t="s">
        <v>329</v>
      </c>
      <c r="H38" s="111">
        <v>4011</v>
      </c>
      <c r="I38" s="154">
        <v>1258615</v>
      </c>
      <c r="J38" s="149">
        <f>I38/10^9</f>
        <v>1.258615E-3</v>
      </c>
      <c r="K38" s="114">
        <f>J38/$J$28</f>
        <v>5.4950063753276893E-3</v>
      </c>
      <c r="L38" s="154">
        <v>198232</v>
      </c>
      <c r="M38" s="111" t="s">
        <v>233</v>
      </c>
      <c r="N38" s="154">
        <v>29241</v>
      </c>
      <c r="O38" s="111">
        <v>4</v>
      </c>
    </row>
    <row r="42" spans="3:18" x14ac:dyDescent="0.35">
      <c r="C42" s="107" t="s">
        <v>232</v>
      </c>
      <c r="D42" s="111">
        <v>2021</v>
      </c>
      <c r="E42" s="111" t="s">
        <v>141</v>
      </c>
      <c r="F42" s="111" t="s">
        <v>78</v>
      </c>
      <c r="G42" s="148" t="s">
        <v>232</v>
      </c>
      <c r="H42" s="111">
        <v>4011</v>
      </c>
      <c r="I42" s="154">
        <v>229047050</v>
      </c>
      <c r="L42" s="154">
        <v>47147367</v>
      </c>
      <c r="M42" s="111" t="s">
        <v>233</v>
      </c>
      <c r="N42" s="154">
        <v>2719865</v>
      </c>
      <c r="O42" s="111">
        <v>4</v>
      </c>
    </row>
    <row r="43" spans="3:18" x14ac:dyDescent="0.35">
      <c r="D43" s="111">
        <v>2021</v>
      </c>
      <c r="E43" s="111" t="s">
        <v>141</v>
      </c>
      <c r="F43" s="111" t="s">
        <v>78</v>
      </c>
      <c r="G43" s="148" t="s">
        <v>232</v>
      </c>
      <c r="H43" s="111">
        <v>401110</v>
      </c>
      <c r="I43" s="154">
        <v>88832579</v>
      </c>
      <c r="L43" s="154">
        <v>16437792</v>
      </c>
      <c r="M43" s="111" t="s">
        <v>233</v>
      </c>
      <c r="N43" s="154">
        <v>1884193</v>
      </c>
      <c r="O43" s="111">
        <v>4</v>
      </c>
      <c r="Q43" s="111">
        <v>401110</v>
      </c>
      <c r="R43" t="s">
        <v>330</v>
      </c>
    </row>
    <row r="44" spans="3:18" x14ac:dyDescent="0.35">
      <c r="D44" s="111">
        <v>2021</v>
      </c>
      <c r="E44" s="111" t="s">
        <v>141</v>
      </c>
      <c r="F44" s="111" t="s">
        <v>78</v>
      </c>
      <c r="G44" s="148" t="s">
        <v>232</v>
      </c>
      <c r="H44" s="111">
        <v>401120</v>
      </c>
      <c r="I44" s="154">
        <v>18339183</v>
      </c>
      <c r="L44" s="154">
        <v>4608958</v>
      </c>
      <c r="M44" s="111" t="s">
        <v>233</v>
      </c>
      <c r="N44" s="154">
        <v>128567</v>
      </c>
      <c r="O44" s="111">
        <v>4</v>
      </c>
      <c r="Q44" s="111">
        <v>401120</v>
      </c>
      <c r="R44" t="s">
        <v>331</v>
      </c>
    </row>
    <row r="45" spans="3:18" x14ac:dyDescent="0.35">
      <c r="D45" s="111">
        <v>2021</v>
      </c>
      <c r="E45" s="111" t="s">
        <v>141</v>
      </c>
      <c r="F45" s="111" t="s">
        <v>78</v>
      </c>
      <c r="G45" s="148" t="s">
        <v>232</v>
      </c>
      <c r="H45" s="111">
        <v>401130</v>
      </c>
      <c r="I45" s="154">
        <v>10099254</v>
      </c>
      <c r="L45" s="154">
        <v>373298</v>
      </c>
      <c r="M45" s="111" t="s">
        <v>233</v>
      </c>
      <c r="N45" s="154">
        <v>10904</v>
      </c>
      <c r="O45" s="111">
        <v>4</v>
      </c>
      <c r="Q45" s="212">
        <v>401130</v>
      </c>
      <c r="R45" t="s">
        <v>332</v>
      </c>
    </row>
    <row r="46" spans="3:18" x14ac:dyDescent="0.35">
      <c r="D46" s="111">
        <v>2021</v>
      </c>
      <c r="E46" s="111" t="s">
        <v>141</v>
      </c>
      <c r="F46" s="111" t="s">
        <v>78</v>
      </c>
      <c r="G46" s="148" t="s">
        <v>232</v>
      </c>
      <c r="H46" s="111">
        <v>401140</v>
      </c>
      <c r="I46" s="154">
        <v>8670208</v>
      </c>
      <c r="L46" s="154">
        <v>1211397</v>
      </c>
      <c r="M46" s="111" t="s">
        <v>233</v>
      </c>
      <c r="N46" s="154">
        <v>246304</v>
      </c>
      <c r="O46" s="111">
        <v>4</v>
      </c>
      <c r="Q46" s="111">
        <v>401140</v>
      </c>
      <c r="R46" t="s">
        <v>333</v>
      </c>
    </row>
    <row r="47" spans="3:18" x14ac:dyDescent="0.35">
      <c r="D47" s="111">
        <v>2021</v>
      </c>
      <c r="E47" s="111" t="s">
        <v>141</v>
      </c>
      <c r="F47" s="111" t="s">
        <v>78</v>
      </c>
      <c r="G47" s="148" t="s">
        <v>232</v>
      </c>
      <c r="H47" s="111">
        <v>401150</v>
      </c>
      <c r="I47" s="154">
        <v>514918</v>
      </c>
      <c r="L47" s="154">
        <v>60949</v>
      </c>
      <c r="M47" s="111" t="s">
        <v>233</v>
      </c>
      <c r="N47" s="154">
        <v>179350</v>
      </c>
      <c r="O47" s="111">
        <v>4</v>
      </c>
      <c r="Q47" s="212">
        <v>401150</v>
      </c>
      <c r="R47" t="s">
        <v>334</v>
      </c>
    </row>
    <row r="48" spans="3:18" x14ac:dyDescent="0.35">
      <c r="D48" s="111">
        <v>2021</v>
      </c>
      <c r="E48" s="111" t="s">
        <v>141</v>
      </c>
      <c r="F48" s="111" t="s">
        <v>78</v>
      </c>
      <c r="G48" s="148" t="s">
        <v>232</v>
      </c>
      <c r="H48" s="111">
        <v>401170</v>
      </c>
      <c r="I48" s="154">
        <v>1288033</v>
      </c>
      <c r="L48" s="154">
        <v>319923</v>
      </c>
      <c r="M48" s="111" t="s">
        <v>233</v>
      </c>
      <c r="N48" s="154">
        <v>12119</v>
      </c>
      <c r="O48" s="111">
        <v>4</v>
      </c>
      <c r="Q48" s="111">
        <v>401170</v>
      </c>
      <c r="R48" t="s">
        <v>335</v>
      </c>
    </row>
    <row r="49" spans="3:18" x14ac:dyDescent="0.35">
      <c r="D49" s="111">
        <v>2021</v>
      </c>
      <c r="E49" s="111" t="s">
        <v>141</v>
      </c>
      <c r="F49" s="111" t="s">
        <v>78</v>
      </c>
      <c r="G49" s="148" t="s">
        <v>232</v>
      </c>
      <c r="H49" s="111">
        <v>401180</v>
      </c>
      <c r="I49" s="154">
        <v>93897222</v>
      </c>
      <c r="L49" s="154">
        <v>22251963</v>
      </c>
      <c r="M49" s="111" t="s">
        <v>233</v>
      </c>
      <c r="N49" s="154">
        <v>237930</v>
      </c>
      <c r="O49" s="111">
        <v>4</v>
      </c>
      <c r="Q49" s="111">
        <v>401180</v>
      </c>
      <c r="R49" t="s">
        <v>336</v>
      </c>
    </row>
    <row r="50" spans="3:18" x14ac:dyDescent="0.35">
      <c r="D50" s="111">
        <v>2021</v>
      </c>
      <c r="E50" s="111" t="s">
        <v>141</v>
      </c>
      <c r="F50" s="111" t="s">
        <v>78</v>
      </c>
      <c r="G50" s="148" t="s">
        <v>232</v>
      </c>
      <c r="H50" s="111">
        <v>401190</v>
      </c>
      <c r="I50" s="154">
        <v>7405649</v>
      </c>
      <c r="L50" s="111">
        <v>0</v>
      </c>
      <c r="M50" s="111" t="s">
        <v>233</v>
      </c>
      <c r="N50" s="154">
        <v>20498</v>
      </c>
      <c r="O50" s="111">
        <v>4</v>
      </c>
      <c r="Q50" s="111">
        <v>401190</v>
      </c>
      <c r="R50" t="s">
        <v>337</v>
      </c>
    </row>
    <row r="52" spans="3:18" x14ac:dyDescent="0.35">
      <c r="D52" s="111">
        <v>2021</v>
      </c>
      <c r="E52" s="111" t="s">
        <v>141</v>
      </c>
      <c r="F52" s="111" t="s">
        <v>78</v>
      </c>
      <c r="G52" s="148" t="s">
        <v>232</v>
      </c>
      <c r="H52" s="111">
        <v>4011</v>
      </c>
      <c r="I52" s="154">
        <f>I42-SUM(I45,I47)</f>
        <v>218432878</v>
      </c>
      <c r="J52" s="149">
        <f>I52/10^9</f>
        <v>0.218432878</v>
      </c>
      <c r="K52" s="114">
        <f>J52/$F$21</f>
        <v>5.2024290067023589E-2</v>
      </c>
    </row>
    <row r="56" spans="3:18" x14ac:dyDescent="0.35">
      <c r="C56" s="107" t="s">
        <v>172</v>
      </c>
      <c r="D56" s="111">
        <v>2021</v>
      </c>
      <c r="E56" s="111" t="s">
        <v>141</v>
      </c>
      <c r="F56" s="111" t="s">
        <v>78</v>
      </c>
      <c r="G56" s="148" t="s">
        <v>172</v>
      </c>
      <c r="H56" s="111">
        <v>401110</v>
      </c>
      <c r="I56" s="154">
        <v>1690665</v>
      </c>
      <c r="L56" s="154">
        <v>312844</v>
      </c>
      <c r="M56" s="111" t="s">
        <v>233</v>
      </c>
      <c r="N56" s="154">
        <v>12299</v>
      </c>
      <c r="O56" s="111">
        <v>4</v>
      </c>
    </row>
    <row r="57" spans="3:18" x14ac:dyDescent="0.35">
      <c r="D57" s="111">
        <v>2021</v>
      </c>
      <c r="E57" s="111" t="s">
        <v>141</v>
      </c>
      <c r="F57" s="111" t="s">
        <v>78</v>
      </c>
      <c r="G57" s="148" t="s">
        <v>172</v>
      </c>
      <c r="H57" s="111">
        <v>401120</v>
      </c>
      <c r="I57" s="154">
        <v>405185</v>
      </c>
      <c r="L57" s="154">
        <v>101830</v>
      </c>
      <c r="M57" s="111" t="s">
        <v>233</v>
      </c>
      <c r="N57" s="154">
        <v>2283</v>
      </c>
      <c r="O57" s="111">
        <v>4</v>
      </c>
    </row>
    <row r="58" spans="3:18" x14ac:dyDescent="0.35">
      <c r="D58" s="111">
        <v>2021</v>
      </c>
      <c r="E58" s="111" t="s">
        <v>141</v>
      </c>
      <c r="F58" s="111" t="s">
        <v>78</v>
      </c>
      <c r="G58" s="148" t="s">
        <v>172</v>
      </c>
      <c r="H58" s="111">
        <v>401140</v>
      </c>
      <c r="I58" s="154">
        <v>69459</v>
      </c>
      <c r="L58" s="154">
        <v>9704</v>
      </c>
      <c r="M58" s="111" t="s">
        <v>233</v>
      </c>
      <c r="N58" s="154">
        <v>2001</v>
      </c>
      <c r="O58" s="111">
        <v>4</v>
      </c>
    </row>
    <row r="59" spans="3:18" x14ac:dyDescent="0.35">
      <c r="D59" s="111">
        <v>2021</v>
      </c>
      <c r="E59" s="111" t="s">
        <v>141</v>
      </c>
      <c r="F59" s="111" t="s">
        <v>78</v>
      </c>
      <c r="G59" s="148" t="s">
        <v>172</v>
      </c>
      <c r="H59" s="111">
        <v>401170</v>
      </c>
      <c r="I59" s="154">
        <v>165276</v>
      </c>
      <c r="L59" s="154">
        <v>41051</v>
      </c>
      <c r="M59" s="111" t="s">
        <v>233</v>
      </c>
      <c r="N59" s="111">
        <v>380</v>
      </c>
      <c r="O59" s="111">
        <v>4</v>
      </c>
    </row>
    <row r="60" spans="3:18" x14ac:dyDescent="0.35">
      <c r="D60" s="111">
        <v>2021</v>
      </c>
      <c r="E60" s="111" t="s">
        <v>141</v>
      </c>
      <c r="F60" s="111" t="s">
        <v>78</v>
      </c>
      <c r="G60" s="148" t="s">
        <v>172</v>
      </c>
      <c r="H60" s="111">
        <v>401180</v>
      </c>
      <c r="I60" s="154">
        <v>2227435</v>
      </c>
      <c r="L60" s="154">
        <v>527862</v>
      </c>
      <c r="M60" s="111" t="s">
        <v>233</v>
      </c>
      <c r="N60" s="111">
        <v>252</v>
      </c>
      <c r="O60" s="111">
        <v>4</v>
      </c>
    </row>
    <row r="61" spans="3:18" x14ac:dyDescent="0.35">
      <c r="D61" s="111">
        <v>2021</v>
      </c>
      <c r="E61" s="111" t="s">
        <v>141</v>
      </c>
      <c r="F61" s="111" t="s">
        <v>78</v>
      </c>
      <c r="G61" s="148" t="s">
        <v>172</v>
      </c>
      <c r="H61" s="111">
        <v>401190</v>
      </c>
      <c r="I61" s="154">
        <v>120041</v>
      </c>
      <c r="L61" s="111">
        <v>0</v>
      </c>
      <c r="M61" s="111" t="s">
        <v>233</v>
      </c>
      <c r="N61" s="154">
        <v>1502</v>
      </c>
      <c r="O61" s="111">
        <v>4</v>
      </c>
    </row>
    <row r="63" spans="3:18" x14ac:dyDescent="0.35">
      <c r="D63" s="111">
        <v>2021</v>
      </c>
      <c r="E63" s="111" t="s">
        <v>141</v>
      </c>
      <c r="F63" s="111" t="s">
        <v>78</v>
      </c>
      <c r="G63" s="148" t="s">
        <v>172</v>
      </c>
      <c r="H63" s="111">
        <v>4011</v>
      </c>
      <c r="I63" s="154">
        <f>SUM(I56:I61)</f>
        <v>4678061</v>
      </c>
    </row>
    <row r="65" spans="3:15" x14ac:dyDescent="0.35">
      <c r="C65" s="107" t="s">
        <v>167</v>
      </c>
      <c r="D65" s="111" t="s">
        <v>221</v>
      </c>
      <c r="E65" s="111" t="s">
        <v>222</v>
      </c>
      <c r="F65" s="111" t="s">
        <v>223</v>
      </c>
      <c r="G65" s="148" t="s">
        <v>224</v>
      </c>
      <c r="H65" s="111" t="s">
        <v>225</v>
      </c>
      <c r="I65" s="111" t="s">
        <v>226</v>
      </c>
      <c r="L65" s="111" t="s">
        <v>228</v>
      </c>
      <c r="M65" s="111" t="s">
        <v>229</v>
      </c>
      <c r="N65" s="111" t="s">
        <v>230</v>
      </c>
      <c r="O65" s="111" t="s">
        <v>231</v>
      </c>
    </row>
    <row r="66" spans="3:15" x14ac:dyDescent="0.35">
      <c r="D66" s="111">
        <v>2021</v>
      </c>
      <c r="E66" s="111" t="s">
        <v>141</v>
      </c>
      <c r="F66" s="111" t="s">
        <v>78</v>
      </c>
      <c r="G66" s="148" t="s">
        <v>167</v>
      </c>
      <c r="H66" s="111">
        <v>401110</v>
      </c>
      <c r="I66" s="154">
        <v>15092113</v>
      </c>
      <c r="L66" s="154">
        <v>2792680</v>
      </c>
      <c r="M66" s="111" t="s">
        <v>233</v>
      </c>
      <c r="N66" s="154">
        <v>472426</v>
      </c>
      <c r="O66" s="111">
        <v>4</v>
      </c>
    </row>
    <row r="67" spans="3:15" x14ac:dyDescent="0.35">
      <c r="D67" s="111">
        <v>2021</v>
      </c>
      <c r="E67" s="111" t="s">
        <v>141</v>
      </c>
      <c r="F67" s="111" t="s">
        <v>78</v>
      </c>
      <c r="G67" s="148" t="s">
        <v>167</v>
      </c>
      <c r="H67" s="111">
        <v>401120</v>
      </c>
      <c r="I67" s="154">
        <v>556111</v>
      </c>
      <c r="L67" s="154">
        <v>139760</v>
      </c>
      <c r="M67" s="111" t="s">
        <v>233</v>
      </c>
      <c r="N67" s="154">
        <v>4539</v>
      </c>
      <c r="O67" s="111">
        <v>4</v>
      </c>
    </row>
    <row r="68" spans="3:15" x14ac:dyDescent="0.35">
      <c r="D68" s="111">
        <v>2021</v>
      </c>
      <c r="E68" s="111" t="s">
        <v>141</v>
      </c>
      <c r="F68" s="111" t="s">
        <v>78</v>
      </c>
      <c r="G68" s="148" t="s">
        <v>167</v>
      </c>
      <c r="H68" s="111">
        <v>401140</v>
      </c>
      <c r="I68" s="154">
        <v>1818092</v>
      </c>
      <c r="L68" s="154">
        <v>254023</v>
      </c>
      <c r="M68" s="111" t="s">
        <v>233</v>
      </c>
      <c r="N68" s="154">
        <v>52886</v>
      </c>
      <c r="O68" s="111">
        <v>4</v>
      </c>
    </row>
    <row r="69" spans="3:15" x14ac:dyDescent="0.35">
      <c r="D69" s="111">
        <v>2021</v>
      </c>
      <c r="E69" s="111" t="s">
        <v>141</v>
      </c>
      <c r="F69" s="111" t="s">
        <v>78</v>
      </c>
      <c r="G69" s="148" t="s">
        <v>167</v>
      </c>
      <c r="H69" s="111">
        <v>401170</v>
      </c>
      <c r="I69" s="154">
        <v>177297</v>
      </c>
      <c r="L69" s="154">
        <v>44037</v>
      </c>
      <c r="M69" s="111" t="s">
        <v>233</v>
      </c>
      <c r="N69" s="154">
        <v>3619</v>
      </c>
      <c r="O69" s="111">
        <v>4</v>
      </c>
    </row>
    <row r="70" spans="3:15" x14ac:dyDescent="0.35">
      <c r="D70" s="111">
        <v>2021</v>
      </c>
      <c r="E70" s="111" t="s">
        <v>141</v>
      </c>
      <c r="F70" s="111" t="s">
        <v>78</v>
      </c>
      <c r="G70" s="148" t="s">
        <v>167</v>
      </c>
      <c r="H70" s="111">
        <v>401180</v>
      </c>
      <c r="I70" s="154">
        <v>26376110</v>
      </c>
      <c r="L70" s="154">
        <v>6250666</v>
      </c>
      <c r="M70" s="111" t="s">
        <v>233</v>
      </c>
      <c r="N70" s="154">
        <v>173473</v>
      </c>
      <c r="O70" s="111">
        <v>4</v>
      </c>
    </row>
    <row r="71" spans="3:15" x14ac:dyDescent="0.35">
      <c r="D71" s="111">
        <v>2021</v>
      </c>
      <c r="E71" s="111" t="s">
        <v>141</v>
      </c>
      <c r="F71" s="111" t="s">
        <v>78</v>
      </c>
      <c r="G71" s="148" t="s">
        <v>167</v>
      </c>
      <c r="H71" s="111">
        <v>401190</v>
      </c>
      <c r="I71" s="154">
        <v>239575</v>
      </c>
      <c r="L71" s="111">
        <v>0</v>
      </c>
      <c r="M71" s="111" t="s">
        <v>233</v>
      </c>
      <c r="N71" s="154">
        <v>4982</v>
      </c>
      <c r="O71" s="111">
        <v>4</v>
      </c>
    </row>
    <row r="73" spans="3:15" x14ac:dyDescent="0.35">
      <c r="D73" s="111">
        <v>2021</v>
      </c>
      <c r="E73" s="111" t="s">
        <v>141</v>
      </c>
      <c r="F73" s="111" t="s">
        <v>78</v>
      </c>
      <c r="G73" s="148" t="s">
        <v>167</v>
      </c>
      <c r="H73" s="111">
        <v>4011</v>
      </c>
      <c r="I73" s="154">
        <f>SUM(I66:I71)</f>
        <v>44259298</v>
      </c>
    </row>
    <row r="75" spans="3:15" x14ac:dyDescent="0.35">
      <c r="C75" s="107" t="s">
        <v>328</v>
      </c>
      <c r="D75" s="111" t="s">
        <v>221</v>
      </c>
      <c r="E75" s="111" t="s">
        <v>222</v>
      </c>
      <c r="F75" s="111" t="s">
        <v>223</v>
      </c>
      <c r="G75" s="148" t="s">
        <v>224</v>
      </c>
      <c r="H75" s="111" t="s">
        <v>225</v>
      </c>
      <c r="I75" s="111" t="s">
        <v>226</v>
      </c>
      <c r="L75" s="111" t="s">
        <v>228</v>
      </c>
      <c r="M75" s="111" t="s">
        <v>229</v>
      </c>
      <c r="N75" s="111" t="s">
        <v>230</v>
      </c>
      <c r="O75" s="111" t="s">
        <v>231</v>
      </c>
    </row>
    <row r="76" spans="3:15" x14ac:dyDescent="0.35">
      <c r="D76" s="111">
        <v>2021</v>
      </c>
      <c r="E76" s="111" t="s">
        <v>141</v>
      </c>
      <c r="F76" s="111" t="s">
        <v>78</v>
      </c>
      <c r="G76" s="148" t="s">
        <v>328</v>
      </c>
      <c r="H76" s="111">
        <v>401110</v>
      </c>
      <c r="I76" s="154">
        <v>1828709</v>
      </c>
      <c r="L76" s="154">
        <v>338388</v>
      </c>
      <c r="M76" s="111" t="s">
        <v>233</v>
      </c>
      <c r="N76" s="154">
        <v>61125</v>
      </c>
      <c r="O76" s="111">
        <v>4</v>
      </c>
    </row>
    <row r="77" spans="3:15" x14ac:dyDescent="0.35">
      <c r="D77" s="111">
        <v>2021</v>
      </c>
      <c r="E77" s="111" t="s">
        <v>141</v>
      </c>
      <c r="F77" s="111" t="s">
        <v>78</v>
      </c>
      <c r="G77" s="148" t="s">
        <v>328</v>
      </c>
      <c r="H77" s="111">
        <v>401120</v>
      </c>
      <c r="I77" s="154">
        <v>1896</v>
      </c>
      <c r="L77" s="111">
        <v>476</v>
      </c>
      <c r="M77" s="111" t="s">
        <v>233</v>
      </c>
      <c r="N77" s="111">
        <v>5</v>
      </c>
      <c r="O77" s="111">
        <v>4</v>
      </c>
    </row>
    <row r="78" spans="3:15" x14ac:dyDescent="0.35">
      <c r="D78" s="111">
        <v>2021</v>
      </c>
      <c r="E78" s="111" t="s">
        <v>141</v>
      </c>
      <c r="F78" s="111" t="s">
        <v>78</v>
      </c>
      <c r="G78" s="148" t="s">
        <v>328</v>
      </c>
      <c r="H78" s="111">
        <v>401140</v>
      </c>
      <c r="I78" s="154">
        <v>1569875</v>
      </c>
      <c r="L78" s="154">
        <v>219342</v>
      </c>
      <c r="M78" s="111" t="s">
        <v>233</v>
      </c>
      <c r="N78" s="154">
        <v>44272</v>
      </c>
      <c r="O78" s="111">
        <v>4</v>
      </c>
    </row>
    <row r="79" spans="3:15" x14ac:dyDescent="0.35">
      <c r="D79" s="111">
        <v>2021</v>
      </c>
      <c r="E79" s="111" t="s">
        <v>141</v>
      </c>
      <c r="F79" s="111" t="s">
        <v>78</v>
      </c>
      <c r="G79" s="148" t="s">
        <v>328</v>
      </c>
      <c r="H79" s="111">
        <v>401190</v>
      </c>
      <c r="I79" s="154">
        <v>62890</v>
      </c>
      <c r="L79" s="111">
        <v>0</v>
      </c>
      <c r="M79" s="111" t="s">
        <v>233</v>
      </c>
      <c r="N79" s="154">
        <v>1730</v>
      </c>
      <c r="O79" s="111">
        <v>4</v>
      </c>
    </row>
    <row r="81" spans="3:15" x14ac:dyDescent="0.35">
      <c r="D81" s="111">
        <v>2021</v>
      </c>
      <c r="E81" s="111" t="s">
        <v>141</v>
      </c>
      <c r="F81" s="111" t="s">
        <v>78</v>
      </c>
      <c r="G81" s="148" t="s">
        <v>328</v>
      </c>
      <c r="H81" s="111">
        <v>4011</v>
      </c>
      <c r="I81" s="154">
        <f>SUM(I76:I79)</f>
        <v>3463370</v>
      </c>
    </row>
    <row r="83" spans="3:15" x14ac:dyDescent="0.35">
      <c r="C83" s="107" t="s">
        <v>329</v>
      </c>
      <c r="D83" s="111" t="s">
        <v>221</v>
      </c>
      <c r="E83" s="111" t="s">
        <v>222</v>
      </c>
      <c r="F83" s="111" t="s">
        <v>223</v>
      </c>
      <c r="G83" s="148" t="s">
        <v>224</v>
      </c>
      <c r="H83" s="111" t="s">
        <v>225</v>
      </c>
      <c r="I83" s="111" t="s">
        <v>226</v>
      </c>
      <c r="L83" s="111" t="s">
        <v>228</v>
      </c>
      <c r="M83" s="111" t="s">
        <v>229</v>
      </c>
      <c r="N83" s="111" t="s">
        <v>230</v>
      </c>
      <c r="O83" s="111" t="s">
        <v>231</v>
      </c>
    </row>
    <row r="84" spans="3:15" x14ac:dyDescent="0.35">
      <c r="D84" s="111">
        <v>2021</v>
      </c>
      <c r="E84" s="111" t="s">
        <v>141</v>
      </c>
      <c r="F84" s="111" t="s">
        <v>78</v>
      </c>
      <c r="G84" s="148" t="s">
        <v>329</v>
      </c>
      <c r="H84" s="111">
        <v>401110</v>
      </c>
      <c r="I84" s="154">
        <v>376738</v>
      </c>
      <c r="L84" s="154">
        <v>69712</v>
      </c>
      <c r="M84" s="111" t="s">
        <v>233</v>
      </c>
      <c r="N84" s="154">
        <v>3356</v>
      </c>
      <c r="O84" s="111">
        <v>4</v>
      </c>
    </row>
    <row r="85" spans="3:15" x14ac:dyDescent="0.35">
      <c r="D85" s="111">
        <v>2021</v>
      </c>
      <c r="E85" s="111" t="s">
        <v>141</v>
      </c>
      <c r="F85" s="111" t="s">
        <v>78</v>
      </c>
      <c r="G85" s="148" t="s">
        <v>329</v>
      </c>
      <c r="H85" s="111">
        <v>401140</v>
      </c>
      <c r="I85" s="154">
        <v>816433</v>
      </c>
      <c r="L85" s="154">
        <v>114071</v>
      </c>
      <c r="M85" s="111" t="s">
        <v>233</v>
      </c>
      <c r="N85" s="154">
        <v>25846</v>
      </c>
      <c r="O85" s="111">
        <v>4</v>
      </c>
    </row>
    <row r="86" spans="3:15" x14ac:dyDescent="0.35">
      <c r="D86" s="111">
        <v>2021</v>
      </c>
      <c r="E86" s="111" t="s">
        <v>141</v>
      </c>
      <c r="F86" s="111" t="s">
        <v>78</v>
      </c>
      <c r="G86" s="148" t="s">
        <v>329</v>
      </c>
      <c r="H86" s="111">
        <v>401180</v>
      </c>
      <c r="I86" s="154">
        <v>36067</v>
      </c>
      <c r="L86" s="154">
        <v>8547</v>
      </c>
      <c r="M86" s="111" t="s">
        <v>233</v>
      </c>
      <c r="N86" s="111">
        <v>21</v>
      </c>
      <c r="O86" s="111">
        <v>4</v>
      </c>
    </row>
    <row r="87" spans="3:15" x14ac:dyDescent="0.35">
      <c r="D87" s="111">
        <v>2021</v>
      </c>
      <c r="E87" s="111" t="s">
        <v>141</v>
      </c>
      <c r="F87" s="111" t="s">
        <v>78</v>
      </c>
      <c r="G87" s="148" t="s">
        <v>329</v>
      </c>
      <c r="H87" s="111">
        <v>401190</v>
      </c>
      <c r="I87" s="154">
        <v>22157</v>
      </c>
      <c r="L87" s="111">
        <v>0</v>
      </c>
      <c r="M87" s="111" t="s">
        <v>233</v>
      </c>
      <c r="N87" s="111">
        <v>13</v>
      </c>
      <c r="O87" s="111">
        <v>4</v>
      </c>
    </row>
    <row r="89" spans="3:15" x14ac:dyDescent="0.35">
      <c r="D89" s="111">
        <v>2021</v>
      </c>
      <c r="E89" s="111" t="s">
        <v>141</v>
      </c>
      <c r="F89" s="111" t="s">
        <v>78</v>
      </c>
      <c r="G89" s="148" t="s">
        <v>329</v>
      </c>
      <c r="H89" s="111">
        <v>4011</v>
      </c>
      <c r="I89" s="154">
        <f>SUM(I84:I87)</f>
        <v>1251395</v>
      </c>
    </row>
    <row r="91" spans="3:15" x14ac:dyDescent="0.35">
      <c r="C91" s="107" t="s">
        <v>174</v>
      </c>
      <c r="D91" s="111" t="s">
        <v>221</v>
      </c>
      <c r="E91" s="111" t="s">
        <v>222</v>
      </c>
      <c r="F91" s="111" t="s">
        <v>223</v>
      </c>
      <c r="G91" s="148" t="s">
        <v>224</v>
      </c>
      <c r="H91" s="111" t="s">
        <v>225</v>
      </c>
      <c r="I91" s="111" t="s">
        <v>226</v>
      </c>
      <c r="L91" s="111" t="s">
        <v>228</v>
      </c>
      <c r="M91" s="111" t="s">
        <v>229</v>
      </c>
      <c r="N91" s="111" t="s">
        <v>230</v>
      </c>
      <c r="O91" s="111" t="s">
        <v>231</v>
      </c>
    </row>
    <row r="92" spans="3:15" x14ac:dyDescent="0.35">
      <c r="D92" s="111">
        <v>2021</v>
      </c>
      <c r="E92" s="111" t="s">
        <v>141</v>
      </c>
      <c r="F92" s="111" t="s">
        <v>78</v>
      </c>
      <c r="G92" s="148" t="s">
        <v>174</v>
      </c>
      <c r="H92" s="111">
        <v>401110</v>
      </c>
      <c r="I92" s="154">
        <v>36895284</v>
      </c>
      <c r="L92" s="154">
        <v>6827191</v>
      </c>
      <c r="M92" s="111" t="s">
        <v>233</v>
      </c>
      <c r="N92" s="154">
        <v>831246</v>
      </c>
      <c r="O92" s="111">
        <v>4</v>
      </c>
    </row>
    <row r="93" spans="3:15" x14ac:dyDescent="0.35">
      <c r="D93" s="111">
        <v>2021</v>
      </c>
      <c r="E93" s="111" t="s">
        <v>141</v>
      </c>
      <c r="F93" s="111" t="s">
        <v>78</v>
      </c>
      <c r="G93" s="148" t="s">
        <v>174</v>
      </c>
      <c r="H93" s="111">
        <v>401120</v>
      </c>
      <c r="I93" s="154">
        <v>10027486</v>
      </c>
      <c r="L93" s="154">
        <v>2520083</v>
      </c>
      <c r="M93" s="111" t="s">
        <v>233</v>
      </c>
      <c r="N93" s="154">
        <v>80015</v>
      </c>
      <c r="O93" s="111">
        <v>4</v>
      </c>
    </row>
    <row r="94" spans="3:15" x14ac:dyDescent="0.35">
      <c r="D94" s="111">
        <v>2021</v>
      </c>
      <c r="E94" s="111" t="s">
        <v>141</v>
      </c>
      <c r="F94" s="111" t="s">
        <v>78</v>
      </c>
      <c r="G94" s="148" t="s">
        <v>174</v>
      </c>
      <c r="H94" s="111">
        <v>401140</v>
      </c>
      <c r="I94" s="154">
        <v>1915547</v>
      </c>
      <c r="L94" s="154">
        <v>267639</v>
      </c>
      <c r="M94" s="111" t="s">
        <v>233</v>
      </c>
      <c r="N94" s="154">
        <v>61591</v>
      </c>
      <c r="O94" s="111">
        <v>4</v>
      </c>
    </row>
    <row r="95" spans="3:15" x14ac:dyDescent="0.35">
      <c r="D95" s="111">
        <v>2021</v>
      </c>
      <c r="E95" s="111" t="s">
        <v>141</v>
      </c>
      <c r="F95" s="111" t="s">
        <v>78</v>
      </c>
      <c r="G95" s="148" t="s">
        <v>174</v>
      </c>
      <c r="H95" s="111">
        <v>401180</v>
      </c>
      <c r="I95" s="154">
        <v>1171930</v>
      </c>
      <c r="L95" s="154">
        <v>277726</v>
      </c>
      <c r="M95" s="111" t="s">
        <v>233</v>
      </c>
      <c r="N95" s="154">
        <v>9018</v>
      </c>
      <c r="O95" s="111">
        <v>4</v>
      </c>
    </row>
    <row r="96" spans="3:15" x14ac:dyDescent="0.35">
      <c r="D96" s="111">
        <v>2021</v>
      </c>
      <c r="E96" s="111" t="s">
        <v>141</v>
      </c>
      <c r="F96" s="111" t="s">
        <v>78</v>
      </c>
      <c r="G96" s="148" t="s">
        <v>174</v>
      </c>
      <c r="H96" s="111">
        <v>401190</v>
      </c>
      <c r="I96" s="154">
        <v>74391</v>
      </c>
      <c r="L96" s="111">
        <v>0</v>
      </c>
      <c r="M96" s="111" t="s">
        <v>233</v>
      </c>
      <c r="N96" s="154">
        <v>1763</v>
      </c>
      <c r="O96" s="111">
        <v>4</v>
      </c>
    </row>
    <row r="98" spans="2:15" x14ac:dyDescent="0.35">
      <c r="D98" s="111">
        <v>2021</v>
      </c>
      <c r="E98" s="111" t="s">
        <v>141</v>
      </c>
      <c r="F98" s="111" t="s">
        <v>78</v>
      </c>
      <c r="G98" s="148" t="s">
        <v>174</v>
      </c>
      <c r="H98" s="111">
        <v>4011</v>
      </c>
      <c r="I98" s="154">
        <f>SUM(I92:I96)</f>
        <v>50084638</v>
      </c>
    </row>
    <row r="100" spans="2:15" x14ac:dyDescent="0.35">
      <c r="C100" s="107" t="s">
        <v>169</v>
      </c>
      <c r="D100" s="111" t="s">
        <v>221</v>
      </c>
      <c r="E100" s="111" t="s">
        <v>222</v>
      </c>
      <c r="F100" s="111" t="s">
        <v>223</v>
      </c>
      <c r="G100" s="148" t="s">
        <v>224</v>
      </c>
      <c r="H100" s="111" t="s">
        <v>225</v>
      </c>
      <c r="I100" s="111" t="s">
        <v>226</v>
      </c>
      <c r="L100" s="111" t="s">
        <v>228</v>
      </c>
      <c r="M100" s="111" t="s">
        <v>229</v>
      </c>
      <c r="N100" s="111" t="s">
        <v>230</v>
      </c>
      <c r="O100" s="111" t="s">
        <v>231</v>
      </c>
    </row>
    <row r="101" spans="2:15" x14ac:dyDescent="0.35">
      <c r="D101" s="111">
        <v>2021</v>
      </c>
      <c r="E101" s="111" t="s">
        <v>141</v>
      </c>
      <c r="F101" s="111" t="s">
        <v>78</v>
      </c>
      <c r="G101" s="148" t="s">
        <v>169</v>
      </c>
      <c r="H101" s="111">
        <v>401110</v>
      </c>
      <c r="I101" s="154">
        <v>2793650</v>
      </c>
      <c r="L101" s="154">
        <v>516943</v>
      </c>
      <c r="M101" s="111" t="s">
        <v>233</v>
      </c>
      <c r="N101" s="154">
        <v>30934</v>
      </c>
      <c r="O101" s="111">
        <v>4</v>
      </c>
    </row>
    <row r="102" spans="2:15" x14ac:dyDescent="0.35">
      <c r="D102" s="111">
        <v>2021</v>
      </c>
      <c r="E102" s="111" t="s">
        <v>141</v>
      </c>
      <c r="F102" s="111" t="s">
        <v>78</v>
      </c>
      <c r="G102" s="148" t="s">
        <v>169</v>
      </c>
      <c r="H102" s="111">
        <v>401120</v>
      </c>
      <c r="I102" s="154">
        <v>1035960</v>
      </c>
      <c r="L102" s="154">
        <v>260355</v>
      </c>
      <c r="M102" s="111" t="s">
        <v>233</v>
      </c>
      <c r="N102" s="154">
        <v>10054</v>
      </c>
      <c r="O102" s="111">
        <v>4</v>
      </c>
    </row>
    <row r="103" spans="2:15" x14ac:dyDescent="0.35">
      <c r="D103" s="111">
        <v>2021</v>
      </c>
      <c r="E103" s="111" t="s">
        <v>141</v>
      </c>
      <c r="F103" s="111" t="s">
        <v>78</v>
      </c>
      <c r="G103" s="148" t="s">
        <v>169</v>
      </c>
      <c r="H103" s="111">
        <v>401140</v>
      </c>
      <c r="I103" s="154">
        <v>633382</v>
      </c>
      <c r="L103" s="154">
        <v>88495</v>
      </c>
      <c r="M103" s="111" t="s">
        <v>233</v>
      </c>
      <c r="N103" s="154">
        <v>13873</v>
      </c>
      <c r="O103" s="111">
        <v>4</v>
      </c>
    </row>
    <row r="104" spans="2:15" x14ac:dyDescent="0.35">
      <c r="D104" s="111">
        <v>2021</v>
      </c>
      <c r="E104" s="111" t="s">
        <v>141</v>
      </c>
      <c r="F104" s="111" t="s">
        <v>78</v>
      </c>
      <c r="G104" s="148" t="s">
        <v>169</v>
      </c>
      <c r="H104" s="111">
        <v>401170</v>
      </c>
      <c r="I104" s="111">
        <v>229</v>
      </c>
      <c r="L104" s="111">
        <v>56</v>
      </c>
      <c r="M104" s="111" t="s">
        <v>233</v>
      </c>
      <c r="N104" s="111">
        <v>8</v>
      </c>
      <c r="O104" s="111">
        <v>4</v>
      </c>
    </row>
    <row r="105" spans="2:15" x14ac:dyDescent="0.35">
      <c r="D105" s="111">
        <v>2021</v>
      </c>
      <c r="E105" s="111" t="s">
        <v>141</v>
      </c>
      <c r="F105" s="111" t="s">
        <v>78</v>
      </c>
      <c r="G105" s="148" t="s">
        <v>169</v>
      </c>
      <c r="H105" s="111">
        <v>401180</v>
      </c>
      <c r="I105" s="154">
        <v>48399351</v>
      </c>
      <c r="L105" s="154">
        <v>11469781</v>
      </c>
      <c r="M105" s="111" t="s">
        <v>233</v>
      </c>
      <c r="N105" s="154">
        <v>9162</v>
      </c>
      <c r="O105" s="111">
        <v>4</v>
      </c>
    </row>
    <row r="106" spans="2:15" x14ac:dyDescent="0.35">
      <c r="D106" s="111">
        <v>2021</v>
      </c>
      <c r="E106" s="111" t="s">
        <v>141</v>
      </c>
      <c r="F106" s="111" t="s">
        <v>78</v>
      </c>
      <c r="G106" s="148" t="s">
        <v>169</v>
      </c>
      <c r="H106" s="111">
        <v>401190</v>
      </c>
      <c r="I106" s="154">
        <v>5479351</v>
      </c>
      <c r="L106" s="111">
        <v>0</v>
      </c>
      <c r="M106" s="111" t="s">
        <v>233</v>
      </c>
      <c r="N106" s="154">
        <v>1126</v>
      </c>
      <c r="O106" s="111">
        <v>4</v>
      </c>
    </row>
    <row r="108" spans="2:15" x14ac:dyDescent="0.35">
      <c r="D108" s="111">
        <v>2021</v>
      </c>
      <c r="E108" s="111" t="s">
        <v>141</v>
      </c>
      <c r="F108" s="111" t="s">
        <v>78</v>
      </c>
      <c r="G108" s="148" t="s">
        <v>169</v>
      </c>
      <c r="H108" s="111">
        <v>4011</v>
      </c>
      <c r="I108" s="154">
        <f>SUM(I101:I106)</f>
        <v>58341923</v>
      </c>
    </row>
    <row r="111" spans="2:15" x14ac:dyDescent="0.35">
      <c r="B111" t="s">
        <v>148</v>
      </c>
      <c r="D111" s="111">
        <v>2021</v>
      </c>
      <c r="E111" s="111" t="s">
        <v>141</v>
      </c>
      <c r="F111" s="111" t="s">
        <v>78</v>
      </c>
      <c r="G111" s="148" t="s">
        <v>232</v>
      </c>
      <c r="H111" s="111">
        <v>4011</v>
      </c>
      <c r="I111" s="111">
        <v>218432878</v>
      </c>
      <c r="J111" s="213">
        <f>I111/10^9</f>
        <v>0.218432878</v>
      </c>
      <c r="K111" s="214">
        <f>J111/$F$21</f>
        <v>5.2024290067023589E-2</v>
      </c>
    </row>
    <row r="112" spans="2:15" x14ac:dyDescent="0.35">
      <c r="D112" s="111">
        <v>2021</v>
      </c>
      <c r="E112" s="111" t="s">
        <v>141</v>
      </c>
      <c r="F112" s="111" t="s">
        <v>78</v>
      </c>
      <c r="G112" s="148" t="s">
        <v>172</v>
      </c>
      <c r="H112" s="111">
        <v>4011</v>
      </c>
      <c r="I112" s="111">
        <v>4678061</v>
      </c>
      <c r="J112" s="213">
        <f t="shared" ref="J112:J117" si="1">I112/10^9</f>
        <v>4.6780609999999999E-3</v>
      </c>
      <c r="K112" s="114">
        <f>J112/$J$111</f>
        <v>2.1416469181896693E-2</v>
      </c>
    </row>
    <row r="113" spans="4:11" x14ac:dyDescent="0.35">
      <c r="D113" s="111">
        <v>2021</v>
      </c>
      <c r="E113" s="111" t="s">
        <v>141</v>
      </c>
      <c r="F113" s="111" t="s">
        <v>78</v>
      </c>
      <c r="G113" s="148" t="s">
        <v>167</v>
      </c>
      <c r="H113" s="111">
        <v>4011</v>
      </c>
      <c r="I113" s="111">
        <v>44259298</v>
      </c>
      <c r="J113" s="213">
        <f t="shared" si="1"/>
        <v>4.4259298000000002E-2</v>
      </c>
      <c r="K113" s="114">
        <f t="shared" ref="K113:K117" si="2">J113/$J$111</f>
        <v>0.20262196060063817</v>
      </c>
    </row>
    <row r="114" spans="4:11" x14ac:dyDescent="0.35">
      <c r="D114" s="111">
        <v>2021</v>
      </c>
      <c r="E114" s="111" t="s">
        <v>141</v>
      </c>
      <c r="F114" s="111" t="s">
        <v>78</v>
      </c>
      <c r="G114" s="148" t="s">
        <v>328</v>
      </c>
      <c r="H114" s="111">
        <v>4011</v>
      </c>
      <c r="I114" s="111">
        <v>3463370</v>
      </c>
      <c r="J114" s="213">
        <f t="shared" si="1"/>
        <v>3.4633699999999999E-3</v>
      </c>
      <c r="K114" s="114">
        <f t="shared" si="2"/>
        <v>1.5855534348634091E-2</v>
      </c>
    </row>
    <row r="115" spans="4:11" x14ac:dyDescent="0.35">
      <c r="D115" s="111">
        <v>2021</v>
      </c>
      <c r="E115" s="111" t="s">
        <v>141</v>
      </c>
      <c r="F115" s="111" t="s">
        <v>78</v>
      </c>
      <c r="G115" s="148" t="s">
        <v>329</v>
      </c>
      <c r="H115" s="111">
        <v>4011</v>
      </c>
      <c r="I115" s="111">
        <v>1251395</v>
      </c>
      <c r="J115" s="213">
        <f t="shared" si="1"/>
        <v>1.251395E-3</v>
      </c>
      <c r="K115" s="114">
        <f t="shared" si="2"/>
        <v>5.728968145537138E-3</v>
      </c>
    </row>
    <row r="116" spans="4:11" x14ac:dyDescent="0.35">
      <c r="D116" s="111">
        <v>2021</v>
      </c>
      <c r="E116" s="111" t="s">
        <v>141</v>
      </c>
      <c r="F116" s="111" t="s">
        <v>78</v>
      </c>
      <c r="G116" s="148" t="s">
        <v>174</v>
      </c>
      <c r="H116" s="111">
        <v>4011</v>
      </c>
      <c r="I116" s="111">
        <v>50084638</v>
      </c>
      <c r="J116" s="213">
        <f t="shared" si="1"/>
        <v>5.0084638000000001E-2</v>
      </c>
      <c r="K116" s="114">
        <f t="shared" si="2"/>
        <v>0.22929074807135949</v>
      </c>
    </row>
    <row r="117" spans="4:11" x14ac:dyDescent="0.35">
      <c r="D117" s="111">
        <v>2021</v>
      </c>
      <c r="E117" s="111" t="s">
        <v>141</v>
      </c>
      <c r="F117" s="111" t="s">
        <v>78</v>
      </c>
      <c r="G117" s="148" t="s">
        <v>169</v>
      </c>
      <c r="H117" s="111">
        <v>4011</v>
      </c>
      <c r="I117" s="111">
        <v>58341923</v>
      </c>
      <c r="J117" s="213">
        <f t="shared" si="1"/>
        <v>5.8341922999999997E-2</v>
      </c>
      <c r="K117" s="114">
        <f t="shared" si="2"/>
        <v>0.26709313879021451</v>
      </c>
    </row>
    <row r="121" spans="4:11" x14ac:dyDescent="0.35">
      <c r="F121" s="107" t="s">
        <v>221</v>
      </c>
      <c r="G121" s="111" t="s">
        <v>223</v>
      </c>
      <c r="H121" s="111" t="s">
        <v>224</v>
      </c>
      <c r="I121" s="111" t="s">
        <v>226</v>
      </c>
      <c r="J121" s="111" t="s">
        <v>147</v>
      </c>
    </row>
    <row r="122" spans="4:11" x14ac:dyDescent="0.35">
      <c r="F122" s="107"/>
      <c r="G122" s="111"/>
    </row>
    <row r="123" spans="4:11" x14ac:dyDescent="0.35">
      <c r="F123" s="107">
        <v>2021</v>
      </c>
      <c r="G123" s="108" t="s">
        <v>241</v>
      </c>
      <c r="J123" s="111">
        <v>4.2</v>
      </c>
    </row>
    <row r="124" spans="4:11" x14ac:dyDescent="0.35">
      <c r="E124" s="111" t="s">
        <v>148</v>
      </c>
      <c r="F124" s="107">
        <v>2021</v>
      </c>
      <c r="G124" s="111" t="s">
        <v>78</v>
      </c>
      <c r="H124" s="111" t="s">
        <v>232</v>
      </c>
      <c r="I124" s="111">
        <v>218432874</v>
      </c>
      <c r="J124" s="213">
        <f>I124/10^9</f>
        <v>0.218432874</v>
      </c>
      <c r="K124" s="114">
        <f>J124/J123</f>
        <v>5.2007827142857142E-2</v>
      </c>
    </row>
    <row r="125" spans="4:11" x14ac:dyDescent="0.35">
      <c r="F125" s="107"/>
      <c r="G125" s="111"/>
      <c r="J125" s="213"/>
      <c r="K125" s="114"/>
    </row>
    <row r="126" spans="4:11" x14ac:dyDescent="0.35">
      <c r="F126" s="215">
        <v>2021</v>
      </c>
      <c r="G126" s="216" t="s">
        <v>78</v>
      </c>
      <c r="H126" s="216" t="s">
        <v>169</v>
      </c>
      <c r="I126" s="216">
        <v>58341923</v>
      </c>
      <c r="J126" s="217">
        <f t="shared" ref="J126:J178" si="3">I126/10^9</f>
        <v>5.8341922999999997E-2</v>
      </c>
      <c r="K126" s="218">
        <f>J126/$J$124</f>
        <v>0.26709314368129405</v>
      </c>
    </row>
    <row r="127" spans="4:11" x14ac:dyDescent="0.35">
      <c r="F127" s="215">
        <v>2021</v>
      </c>
      <c r="G127" s="216" t="s">
        <v>78</v>
      </c>
      <c r="H127" s="216" t="s">
        <v>174</v>
      </c>
      <c r="I127" s="216">
        <v>50084638</v>
      </c>
      <c r="J127" s="217">
        <f t="shared" si="3"/>
        <v>5.0084638000000001E-2</v>
      </c>
      <c r="K127" s="218">
        <f t="shared" ref="K127:K178" si="4">J127/$J$124</f>
        <v>0.22929075227019172</v>
      </c>
    </row>
    <row r="128" spans="4:11" x14ac:dyDescent="0.35">
      <c r="F128" s="215">
        <v>2021</v>
      </c>
      <c r="G128" s="216" t="s">
        <v>78</v>
      </c>
      <c r="H128" s="216" t="s">
        <v>167</v>
      </c>
      <c r="I128" s="216">
        <v>44259298</v>
      </c>
      <c r="J128" s="217">
        <f t="shared" si="3"/>
        <v>4.4259298000000002E-2</v>
      </c>
      <c r="K128" s="218">
        <f t="shared" si="4"/>
        <v>0.20262196431110457</v>
      </c>
    </row>
    <row r="129" spans="6:11" x14ac:dyDescent="0.35">
      <c r="F129" s="215">
        <v>2021</v>
      </c>
      <c r="G129" s="216" t="s">
        <v>78</v>
      </c>
      <c r="H129" s="216" t="s">
        <v>170</v>
      </c>
      <c r="I129" s="216">
        <v>10864700</v>
      </c>
      <c r="J129" s="217">
        <f t="shared" si="3"/>
        <v>1.08647E-2</v>
      </c>
      <c r="K129" s="218">
        <f t="shared" si="4"/>
        <v>4.9739308012767346E-2</v>
      </c>
    </row>
    <row r="130" spans="6:11" x14ac:dyDescent="0.35">
      <c r="F130" s="215">
        <v>2021</v>
      </c>
      <c r="G130" s="216" t="s">
        <v>78</v>
      </c>
      <c r="H130" s="216" t="s">
        <v>198</v>
      </c>
      <c r="I130" s="216">
        <v>9807245</v>
      </c>
      <c r="J130" s="217">
        <f t="shared" si="3"/>
        <v>9.8072449999999992E-3</v>
      </c>
      <c r="K130" s="218">
        <f t="shared" si="4"/>
        <v>4.489820978137201E-2</v>
      </c>
    </row>
    <row r="131" spans="6:11" x14ac:dyDescent="0.35">
      <c r="F131" s="215">
        <v>2021</v>
      </c>
      <c r="G131" s="216" t="s">
        <v>78</v>
      </c>
      <c r="H131" s="216" t="s">
        <v>175</v>
      </c>
      <c r="I131" s="216">
        <v>5193197</v>
      </c>
      <c r="J131" s="217">
        <f t="shared" si="3"/>
        <v>5.1931970000000001E-3</v>
      </c>
      <c r="K131" s="218">
        <f t="shared" si="4"/>
        <v>2.3774795912816678E-2</v>
      </c>
    </row>
    <row r="132" spans="6:11" x14ac:dyDescent="0.35">
      <c r="F132" s="215">
        <v>2021</v>
      </c>
      <c r="G132" s="216" t="s">
        <v>78</v>
      </c>
      <c r="H132" s="216" t="s">
        <v>200</v>
      </c>
      <c r="I132" s="216">
        <v>4813222</v>
      </c>
      <c r="J132" s="217">
        <f t="shared" si="3"/>
        <v>4.8132219999999998E-3</v>
      </c>
      <c r="K132" s="218">
        <f t="shared" si="4"/>
        <v>2.203524548232607E-2</v>
      </c>
    </row>
    <row r="133" spans="6:11" x14ac:dyDescent="0.35">
      <c r="F133" s="215">
        <v>2021</v>
      </c>
      <c r="G133" s="216" t="s">
        <v>78</v>
      </c>
      <c r="H133" s="216" t="s">
        <v>201</v>
      </c>
      <c r="I133" s="216">
        <v>4703413</v>
      </c>
      <c r="J133" s="217">
        <f t="shared" si="3"/>
        <v>4.703413E-3</v>
      </c>
      <c r="K133" s="218">
        <f t="shared" si="4"/>
        <v>2.1532532690111472E-2</v>
      </c>
    </row>
    <row r="134" spans="6:11" x14ac:dyDescent="0.35">
      <c r="F134" s="215">
        <v>2021</v>
      </c>
      <c r="G134" s="216" t="s">
        <v>78</v>
      </c>
      <c r="H134" s="216" t="s">
        <v>172</v>
      </c>
      <c r="I134" s="216">
        <v>4678061</v>
      </c>
      <c r="J134" s="217">
        <f t="shared" si="3"/>
        <v>4.6780609999999999E-3</v>
      </c>
      <c r="K134" s="218">
        <f t="shared" si="4"/>
        <v>2.1416469574080686E-2</v>
      </c>
    </row>
    <row r="135" spans="6:11" x14ac:dyDescent="0.35">
      <c r="F135" s="215">
        <v>2021</v>
      </c>
      <c r="G135" s="216" t="s">
        <v>78</v>
      </c>
      <c r="H135" s="216" t="s">
        <v>203</v>
      </c>
      <c r="I135" s="216">
        <v>3469107</v>
      </c>
      <c r="J135" s="217">
        <f t="shared" si="3"/>
        <v>3.4691069999999999E-3</v>
      </c>
      <c r="K135" s="218">
        <f t="shared" si="4"/>
        <v>1.5881799000639435E-2</v>
      </c>
    </row>
    <row r="136" spans="6:11" x14ac:dyDescent="0.35">
      <c r="F136" s="215">
        <v>2021</v>
      </c>
      <c r="G136" s="216" t="s">
        <v>78</v>
      </c>
      <c r="H136" s="216" t="s">
        <v>328</v>
      </c>
      <c r="I136" s="216">
        <v>3463370</v>
      </c>
      <c r="J136" s="217">
        <f t="shared" si="3"/>
        <v>3.4633699999999999E-3</v>
      </c>
      <c r="K136" s="218">
        <f t="shared" si="4"/>
        <v>1.585553463898479E-2</v>
      </c>
    </row>
    <row r="137" spans="6:11" x14ac:dyDescent="0.35">
      <c r="F137" s="215">
        <v>2021</v>
      </c>
      <c r="G137" s="216" t="s">
        <v>78</v>
      </c>
      <c r="H137" s="216" t="s">
        <v>338</v>
      </c>
      <c r="I137" s="216">
        <v>2319679</v>
      </c>
      <c r="J137" s="217">
        <f t="shared" si="3"/>
        <v>2.3196789999999998E-3</v>
      </c>
      <c r="K137" s="218">
        <f t="shared" si="4"/>
        <v>1.0619642352917994E-2</v>
      </c>
    </row>
    <row r="138" spans="6:11" x14ac:dyDescent="0.35">
      <c r="F138" s="215">
        <v>2021</v>
      </c>
      <c r="G138" s="216" t="s">
        <v>78</v>
      </c>
      <c r="H138" s="216" t="s">
        <v>234</v>
      </c>
      <c r="I138" s="216">
        <v>1983182</v>
      </c>
      <c r="J138" s="217">
        <f t="shared" si="3"/>
        <v>1.983182E-3</v>
      </c>
      <c r="K138" s="218">
        <f t="shared" si="4"/>
        <v>9.0791370533356616E-3</v>
      </c>
    </row>
    <row r="139" spans="6:11" x14ac:dyDescent="0.35">
      <c r="F139" s="215">
        <v>2021</v>
      </c>
      <c r="G139" s="216" t="s">
        <v>78</v>
      </c>
      <c r="H139" s="216" t="s">
        <v>339</v>
      </c>
      <c r="I139" s="216">
        <v>1826083</v>
      </c>
      <c r="J139" s="217">
        <f t="shared" si="3"/>
        <v>1.826083E-3</v>
      </c>
      <c r="K139" s="218">
        <f t="shared" si="4"/>
        <v>8.3599275446057629E-3</v>
      </c>
    </row>
    <row r="140" spans="6:11" x14ac:dyDescent="0.35">
      <c r="F140" s="215">
        <v>2021</v>
      </c>
      <c r="G140" s="216" t="s">
        <v>78</v>
      </c>
      <c r="H140" s="216" t="s">
        <v>239</v>
      </c>
      <c r="I140" s="216">
        <v>1607366</v>
      </c>
      <c r="J140" s="217">
        <f t="shared" si="3"/>
        <v>1.607366E-3</v>
      </c>
      <c r="K140" s="218">
        <f t="shared" si="4"/>
        <v>7.3586267971733968E-3</v>
      </c>
    </row>
    <row r="141" spans="6:11" x14ac:dyDescent="0.35">
      <c r="F141" s="215">
        <v>2021</v>
      </c>
      <c r="G141" s="216" t="s">
        <v>78</v>
      </c>
      <c r="H141" s="216" t="s">
        <v>340</v>
      </c>
      <c r="I141" s="216">
        <v>1254136</v>
      </c>
      <c r="J141" s="217">
        <f t="shared" si="3"/>
        <v>1.2541360000000001E-3</v>
      </c>
      <c r="K141" s="218">
        <f t="shared" si="4"/>
        <v>5.7415167279262188E-3</v>
      </c>
    </row>
    <row r="142" spans="6:11" x14ac:dyDescent="0.35">
      <c r="F142" s="215">
        <v>2021</v>
      </c>
      <c r="G142" s="216" t="s">
        <v>78</v>
      </c>
      <c r="H142" s="216" t="s">
        <v>329</v>
      </c>
      <c r="I142" s="216">
        <v>1251395</v>
      </c>
      <c r="J142" s="217">
        <f t="shared" si="3"/>
        <v>1.251395E-3</v>
      </c>
      <c r="K142" s="218">
        <f t="shared" si="4"/>
        <v>5.728968250447504E-3</v>
      </c>
    </row>
    <row r="143" spans="6:11" x14ac:dyDescent="0.35">
      <c r="F143" s="215">
        <v>2021</v>
      </c>
      <c r="G143" s="216" t="s">
        <v>78</v>
      </c>
      <c r="H143" s="216" t="s">
        <v>341</v>
      </c>
      <c r="I143" s="216">
        <v>1194631</v>
      </c>
      <c r="J143" s="217">
        <f t="shared" si="3"/>
        <v>1.194631E-3</v>
      </c>
      <c r="K143" s="218">
        <f t="shared" si="4"/>
        <v>5.4690989415814763E-3</v>
      </c>
    </row>
    <row r="144" spans="6:11" x14ac:dyDescent="0.35">
      <c r="F144" s="215">
        <v>2021</v>
      </c>
      <c r="G144" s="216" t="s">
        <v>78</v>
      </c>
      <c r="H144" s="216" t="s">
        <v>342</v>
      </c>
      <c r="I144" s="216">
        <v>1126279</v>
      </c>
      <c r="J144" s="217">
        <f t="shared" si="3"/>
        <v>1.126279E-3</v>
      </c>
      <c r="K144" s="218">
        <f t="shared" si="4"/>
        <v>5.1561790099415167E-3</v>
      </c>
    </row>
    <row r="145" spans="6:11" x14ac:dyDescent="0.35">
      <c r="F145" s="215">
        <v>2021</v>
      </c>
      <c r="G145" s="216" t="s">
        <v>78</v>
      </c>
      <c r="H145" s="216" t="s">
        <v>176</v>
      </c>
      <c r="I145" s="216">
        <v>896265</v>
      </c>
      <c r="J145" s="217">
        <f t="shared" si="3"/>
        <v>8.9626500000000004E-4</v>
      </c>
      <c r="K145" s="218">
        <f t="shared" si="4"/>
        <v>4.1031598567896881E-3</v>
      </c>
    </row>
    <row r="146" spans="6:11" x14ac:dyDescent="0.35">
      <c r="F146" s="215">
        <v>2021</v>
      </c>
      <c r="G146" s="216" t="s">
        <v>78</v>
      </c>
      <c r="H146" s="216" t="s">
        <v>343</v>
      </c>
      <c r="I146" s="216">
        <v>868703</v>
      </c>
      <c r="J146" s="217">
        <f t="shared" si="3"/>
        <v>8.6870299999999997E-4</v>
      </c>
      <c r="K146" s="218">
        <f t="shared" si="4"/>
        <v>3.9769792160496862E-3</v>
      </c>
    </row>
    <row r="147" spans="6:11" x14ac:dyDescent="0.35">
      <c r="F147" s="215">
        <v>2021</v>
      </c>
      <c r="G147" s="216" t="s">
        <v>78</v>
      </c>
      <c r="H147" s="216" t="s">
        <v>240</v>
      </c>
      <c r="I147" s="216">
        <v>615189</v>
      </c>
      <c r="J147" s="217">
        <f t="shared" si="3"/>
        <v>6.1518900000000004E-4</v>
      </c>
      <c r="K147" s="218">
        <f t="shared" si="4"/>
        <v>2.8163755241347051E-3</v>
      </c>
    </row>
    <row r="148" spans="6:11" x14ac:dyDescent="0.35">
      <c r="F148" s="215">
        <v>2021</v>
      </c>
      <c r="G148" s="216" t="s">
        <v>78</v>
      </c>
      <c r="H148" s="216" t="s">
        <v>344</v>
      </c>
      <c r="I148" s="216">
        <v>612888</v>
      </c>
      <c r="J148" s="217">
        <f t="shared" si="3"/>
        <v>6.1288800000000002E-4</v>
      </c>
      <c r="K148" s="218">
        <f t="shared" si="4"/>
        <v>2.8058413954668748E-3</v>
      </c>
    </row>
    <row r="149" spans="6:11" x14ac:dyDescent="0.35">
      <c r="F149" s="215">
        <v>2021</v>
      </c>
      <c r="G149" s="216" t="s">
        <v>78</v>
      </c>
      <c r="H149" s="216" t="s">
        <v>345</v>
      </c>
      <c r="I149" s="216">
        <v>564365</v>
      </c>
      <c r="J149" s="217">
        <f t="shared" si="3"/>
        <v>5.6436500000000005E-4</v>
      </c>
      <c r="K149" s="218">
        <f t="shared" si="4"/>
        <v>2.5836999242156199E-3</v>
      </c>
    </row>
    <row r="150" spans="6:11" x14ac:dyDescent="0.35">
      <c r="F150" s="215">
        <v>2021</v>
      </c>
      <c r="G150" s="216" t="s">
        <v>78</v>
      </c>
      <c r="H150" s="216" t="s">
        <v>235</v>
      </c>
      <c r="I150" s="216">
        <v>360320</v>
      </c>
      <c r="J150" s="217">
        <f t="shared" si="3"/>
        <v>3.6032000000000002E-4</v>
      </c>
      <c r="K150" s="218">
        <f t="shared" si="4"/>
        <v>1.6495685534952949E-3</v>
      </c>
    </row>
    <row r="151" spans="6:11" x14ac:dyDescent="0.35">
      <c r="F151" s="215">
        <v>2021</v>
      </c>
      <c r="G151" s="216" t="s">
        <v>78</v>
      </c>
      <c r="H151" s="216" t="s">
        <v>171</v>
      </c>
      <c r="I151" s="216">
        <v>319523</v>
      </c>
      <c r="J151" s="217">
        <f t="shared" si="3"/>
        <v>3.19523E-4</v>
      </c>
      <c r="K151" s="218">
        <f t="shared" si="4"/>
        <v>1.4627972161369812E-3</v>
      </c>
    </row>
    <row r="152" spans="6:11" x14ac:dyDescent="0.35">
      <c r="F152" s="107">
        <v>2021</v>
      </c>
      <c r="G152" s="111" t="s">
        <v>78</v>
      </c>
      <c r="H152" s="111" t="s">
        <v>346</v>
      </c>
      <c r="I152" s="111">
        <v>317604</v>
      </c>
      <c r="J152" s="213">
        <f t="shared" si="3"/>
        <v>3.1760399999999998E-4</v>
      </c>
      <c r="K152" s="114">
        <f t="shared" si="4"/>
        <v>1.4540119084822368E-3</v>
      </c>
    </row>
    <row r="153" spans="6:11" x14ac:dyDescent="0.35">
      <c r="F153" s="107">
        <v>2021</v>
      </c>
      <c r="G153" s="111" t="s">
        <v>78</v>
      </c>
      <c r="H153" s="111" t="s">
        <v>347</v>
      </c>
      <c r="I153" s="111">
        <v>247890</v>
      </c>
      <c r="J153" s="213">
        <f t="shared" si="3"/>
        <v>2.4789000000000001E-4</v>
      </c>
      <c r="K153" s="114">
        <f t="shared" si="4"/>
        <v>1.1348566516594934E-3</v>
      </c>
    </row>
    <row r="154" spans="6:11" x14ac:dyDescent="0.35">
      <c r="F154" s="107">
        <v>2021</v>
      </c>
      <c r="G154" s="111" t="s">
        <v>78</v>
      </c>
      <c r="H154" s="111" t="s">
        <v>348</v>
      </c>
      <c r="I154" s="111">
        <v>235992</v>
      </c>
      <c r="J154" s="213">
        <f t="shared" si="3"/>
        <v>2.35992E-4</v>
      </c>
      <c r="K154" s="114">
        <f t="shared" si="4"/>
        <v>1.0803868285869827E-3</v>
      </c>
    </row>
    <row r="155" spans="6:11" x14ac:dyDescent="0.35">
      <c r="F155" s="107">
        <v>2021</v>
      </c>
      <c r="G155" s="111" t="s">
        <v>78</v>
      </c>
      <c r="H155" s="111" t="s">
        <v>349</v>
      </c>
      <c r="I155" s="111">
        <v>138779</v>
      </c>
      <c r="J155" s="213">
        <f t="shared" si="3"/>
        <v>1.3877900000000001E-4</v>
      </c>
      <c r="K155" s="114">
        <f t="shared" si="4"/>
        <v>6.3533934914943252E-4</v>
      </c>
    </row>
    <row r="156" spans="6:11" x14ac:dyDescent="0.35">
      <c r="F156" s="107">
        <v>2021</v>
      </c>
      <c r="G156" s="111" t="s">
        <v>78</v>
      </c>
      <c r="H156" s="111" t="s">
        <v>350</v>
      </c>
      <c r="I156" s="111">
        <v>129439</v>
      </c>
      <c r="J156" s="213">
        <f t="shared" si="3"/>
        <v>1.2943899999999999E-4</v>
      </c>
      <c r="K156" s="114">
        <f t="shared" si="4"/>
        <v>5.9258021757292809E-4</v>
      </c>
    </row>
    <row r="157" spans="6:11" x14ac:dyDescent="0.35">
      <c r="F157" s="107">
        <v>2021</v>
      </c>
      <c r="G157" s="111" t="s">
        <v>78</v>
      </c>
      <c r="H157" s="111" t="s">
        <v>351</v>
      </c>
      <c r="I157" s="111">
        <v>128359</v>
      </c>
      <c r="J157" s="213">
        <f t="shared" si="3"/>
        <v>1.2835900000000001E-4</v>
      </c>
      <c r="K157" s="114">
        <f t="shared" si="4"/>
        <v>5.8763590685530242E-4</v>
      </c>
    </row>
    <row r="158" spans="6:11" x14ac:dyDescent="0.35">
      <c r="F158" s="107">
        <v>2021</v>
      </c>
      <c r="G158" s="111" t="s">
        <v>78</v>
      </c>
      <c r="H158" s="111" t="s">
        <v>352</v>
      </c>
      <c r="I158" s="111">
        <v>117664</v>
      </c>
      <c r="J158" s="213">
        <f t="shared" si="3"/>
        <v>1.17664E-4</v>
      </c>
      <c r="K158" s="114">
        <f t="shared" si="4"/>
        <v>5.3867349655436938E-4</v>
      </c>
    </row>
    <row r="159" spans="6:11" x14ac:dyDescent="0.35">
      <c r="F159" s="107">
        <v>2021</v>
      </c>
      <c r="G159" s="111" t="s">
        <v>78</v>
      </c>
      <c r="H159" s="111" t="s">
        <v>353</v>
      </c>
      <c r="I159" s="111">
        <v>33998</v>
      </c>
      <c r="J159" s="213">
        <f t="shared" si="3"/>
        <v>3.3998000000000002E-5</v>
      </c>
      <c r="K159" s="114">
        <f t="shared" si="4"/>
        <v>1.5564507016466763E-4</v>
      </c>
    </row>
    <row r="160" spans="6:11" x14ac:dyDescent="0.35">
      <c r="F160" s="107">
        <v>2021</v>
      </c>
      <c r="G160" s="111" t="s">
        <v>78</v>
      </c>
      <c r="H160" s="111" t="s">
        <v>354</v>
      </c>
      <c r="I160" s="111">
        <v>28388</v>
      </c>
      <c r="J160" s="213">
        <f t="shared" si="3"/>
        <v>2.8388E-5</v>
      </c>
      <c r="K160" s="114">
        <f t="shared" si="4"/>
        <v>1.2996212282588928E-4</v>
      </c>
    </row>
    <row r="161" spans="6:11" x14ac:dyDescent="0.35">
      <c r="F161" s="107">
        <v>2021</v>
      </c>
      <c r="G161" s="111" t="s">
        <v>78</v>
      </c>
      <c r="H161" s="111" t="s">
        <v>355</v>
      </c>
      <c r="I161" s="111">
        <v>19343</v>
      </c>
      <c r="J161" s="213">
        <f t="shared" si="3"/>
        <v>1.9343000000000001E-5</v>
      </c>
      <c r="K161" s="114">
        <f t="shared" si="4"/>
        <v>8.8553520565773448E-5</v>
      </c>
    </row>
    <row r="162" spans="6:11" x14ac:dyDescent="0.35">
      <c r="F162" s="107">
        <v>2021</v>
      </c>
      <c r="G162" s="111" t="s">
        <v>78</v>
      </c>
      <c r="H162" s="111" t="s">
        <v>356</v>
      </c>
      <c r="I162" s="111">
        <v>15839</v>
      </c>
      <c r="J162" s="213">
        <f t="shared" si="3"/>
        <v>1.5838999999999999E-5</v>
      </c>
      <c r="K162" s="114">
        <f t="shared" si="4"/>
        <v>7.2511979126365378E-5</v>
      </c>
    </row>
    <row r="163" spans="6:11" x14ac:dyDescent="0.35">
      <c r="F163" s="107">
        <v>2021</v>
      </c>
      <c r="G163" s="111" t="s">
        <v>78</v>
      </c>
      <c r="H163" s="111" t="s">
        <v>357</v>
      </c>
      <c r="I163" s="111">
        <v>15131</v>
      </c>
      <c r="J163" s="213">
        <f t="shared" si="3"/>
        <v>1.5131E-5</v>
      </c>
      <c r="K163" s="114">
        <f t="shared" si="4"/>
        <v>6.9270708767032931E-5</v>
      </c>
    </row>
    <row r="164" spans="6:11" x14ac:dyDescent="0.35">
      <c r="F164" s="107">
        <v>2021</v>
      </c>
      <c r="G164" s="111" t="s">
        <v>78</v>
      </c>
      <c r="H164" s="111" t="s">
        <v>358</v>
      </c>
      <c r="I164" s="111">
        <v>8775</v>
      </c>
      <c r="J164" s="213">
        <f t="shared" si="3"/>
        <v>8.7749999999999998E-6</v>
      </c>
      <c r="K164" s="114">
        <f t="shared" si="4"/>
        <v>4.0172524580709405E-5</v>
      </c>
    </row>
    <row r="165" spans="6:11" x14ac:dyDescent="0.35">
      <c r="F165" s="107">
        <v>2021</v>
      </c>
      <c r="G165" s="111" t="s">
        <v>78</v>
      </c>
      <c r="H165" s="111" t="s">
        <v>359</v>
      </c>
      <c r="I165" s="111">
        <v>4813</v>
      </c>
      <c r="J165" s="213">
        <f t="shared" si="3"/>
        <v>4.8130000000000003E-6</v>
      </c>
      <c r="K165" s="114">
        <f t="shared" si="4"/>
        <v>2.2034229151789672E-5</v>
      </c>
    </row>
    <row r="166" spans="6:11" x14ac:dyDescent="0.35">
      <c r="F166" s="107">
        <v>2021</v>
      </c>
      <c r="G166" s="111" t="s">
        <v>78</v>
      </c>
      <c r="H166" s="111" t="s">
        <v>360</v>
      </c>
      <c r="I166" s="111">
        <v>4808</v>
      </c>
      <c r="J166" s="213">
        <f t="shared" si="3"/>
        <v>4.8080000000000004E-6</v>
      </c>
      <c r="K166" s="114">
        <f t="shared" si="4"/>
        <v>2.2011338824393255E-5</v>
      </c>
    </row>
    <row r="167" spans="6:11" x14ac:dyDescent="0.35">
      <c r="F167" s="107">
        <v>2021</v>
      </c>
      <c r="G167" s="111" t="s">
        <v>78</v>
      </c>
      <c r="H167" s="111" t="s">
        <v>361</v>
      </c>
      <c r="I167" s="111">
        <v>3551</v>
      </c>
      <c r="J167" s="213">
        <f t="shared" si="3"/>
        <v>3.551E-6</v>
      </c>
      <c r="K167" s="114">
        <f t="shared" si="4"/>
        <v>1.6256710516934369E-5</v>
      </c>
    </row>
    <row r="168" spans="6:11" x14ac:dyDescent="0.35">
      <c r="F168" s="107">
        <v>2021</v>
      </c>
      <c r="G168" s="111" t="s">
        <v>78</v>
      </c>
      <c r="H168" s="111" t="s">
        <v>362</v>
      </c>
      <c r="I168" s="111">
        <v>2406</v>
      </c>
      <c r="J168" s="213">
        <f t="shared" si="3"/>
        <v>2.4059999999999999E-6</v>
      </c>
      <c r="K168" s="114">
        <f t="shared" si="4"/>
        <v>1.1014825543155193E-5</v>
      </c>
    </row>
    <row r="169" spans="6:11" x14ac:dyDescent="0.35">
      <c r="F169" s="107">
        <v>2021</v>
      </c>
      <c r="G169" s="111" t="s">
        <v>78</v>
      </c>
      <c r="H169" s="111" t="s">
        <v>363</v>
      </c>
      <c r="I169" s="111">
        <v>1438</v>
      </c>
      <c r="J169" s="213">
        <f t="shared" si="3"/>
        <v>1.438E-6</v>
      </c>
      <c r="K169" s="114">
        <f t="shared" si="4"/>
        <v>6.5832581592091313E-6</v>
      </c>
    </row>
    <row r="170" spans="6:11" x14ac:dyDescent="0.35">
      <c r="F170" s="107">
        <v>2021</v>
      </c>
      <c r="G170" s="111" t="s">
        <v>78</v>
      </c>
      <c r="H170" s="111" t="s">
        <v>364</v>
      </c>
      <c r="I170" s="111">
        <v>1005</v>
      </c>
      <c r="J170" s="213">
        <f t="shared" si="3"/>
        <v>1.0049999999999999E-6</v>
      </c>
      <c r="K170" s="114">
        <f t="shared" si="4"/>
        <v>4.6009558066795378E-6</v>
      </c>
    </row>
    <row r="171" spans="6:11" x14ac:dyDescent="0.35">
      <c r="F171" s="107">
        <v>2021</v>
      </c>
      <c r="G171" s="111" t="s">
        <v>78</v>
      </c>
      <c r="H171" s="111" t="s">
        <v>365</v>
      </c>
      <c r="I171" s="111">
        <v>811</v>
      </c>
      <c r="J171" s="213">
        <f t="shared" si="3"/>
        <v>8.1100000000000005E-7</v>
      </c>
      <c r="K171" s="114">
        <f t="shared" si="4"/>
        <v>3.7128111036986129E-6</v>
      </c>
    </row>
    <row r="172" spans="6:11" x14ac:dyDescent="0.35">
      <c r="F172" s="107">
        <v>2021</v>
      </c>
      <c r="G172" s="111" t="s">
        <v>78</v>
      </c>
      <c r="H172" s="111" t="s">
        <v>366</v>
      </c>
      <c r="I172" s="111">
        <v>763</v>
      </c>
      <c r="J172" s="213">
        <f t="shared" si="3"/>
        <v>7.6300000000000004E-7</v>
      </c>
      <c r="K172" s="114">
        <f t="shared" si="4"/>
        <v>3.4930639606930231E-6</v>
      </c>
    </row>
    <row r="173" spans="6:11" x14ac:dyDescent="0.35">
      <c r="F173" s="107">
        <v>2021</v>
      </c>
      <c r="G173" s="111" t="s">
        <v>78</v>
      </c>
      <c r="H173" s="111" t="s">
        <v>367</v>
      </c>
      <c r="I173" s="111">
        <v>651</v>
      </c>
      <c r="J173" s="213">
        <f t="shared" si="3"/>
        <v>6.5099999999999999E-7</v>
      </c>
      <c r="K173" s="114">
        <f t="shared" si="4"/>
        <v>2.9803206270133129E-6</v>
      </c>
    </row>
    <row r="174" spans="6:11" x14ac:dyDescent="0.35">
      <c r="F174" s="107">
        <v>2021</v>
      </c>
      <c r="G174" s="111" t="s">
        <v>78</v>
      </c>
      <c r="H174" s="111" t="s">
        <v>368</v>
      </c>
      <c r="I174" s="111">
        <v>297</v>
      </c>
      <c r="J174" s="213">
        <f t="shared" si="3"/>
        <v>2.9700000000000003E-7</v>
      </c>
      <c r="K174" s="114">
        <f t="shared" si="4"/>
        <v>1.3596854473470875E-6</v>
      </c>
    </row>
    <row r="175" spans="6:11" x14ac:dyDescent="0.35">
      <c r="F175" s="107">
        <v>2021</v>
      </c>
      <c r="G175" s="111" t="s">
        <v>78</v>
      </c>
      <c r="H175" s="111" t="s">
        <v>369</v>
      </c>
      <c r="I175" s="111">
        <v>285</v>
      </c>
      <c r="J175" s="213">
        <f t="shared" si="3"/>
        <v>2.8500000000000002E-7</v>
      </c>
      <c r="K175" s="114">
        <f t="shared" si="4"/>
        <v>1.3047486615956901E-6</v>
      </c>
    </row>
    <row r="176" spans="6:11" x14ac:dyDescent="0.35">
      <c r="F176" s="107">
        <v>2021</v>
      </c>
      <c r="G176" s="111" t="s">
        <v>78</v>
      </c>
      <c r="H176" s="111" t="s">
        <v>370</v>
      </c>
      <c r="I176" s="111">
        <v>174</v>
      </c>
      <c r="J176" s="213">
        <f t="shared" si="3"/>
        <v>1.74E-7</v>
      </c>
      <c r="K176" s="114">
        <f t="shared" si="4"/>
        <v>7.965833933952634E-7</v>
      </c>
    </row>
    <row r="177" spans="6:11" x14ac:dyDescent="0.35">
      <c r="F177" s="107">
        <v>2021</v>
      </c>
      <c r="G177" s="111" t="s">
        <v>78</v>
      </c>
      <c r="H177" s="111" t="s">
        <v>371</v>
      </c>
      <c r="I177" s="111">
        <v>53</v>
      </c>
      <c r="J177" s="213">
        <f t="shared" si="3"/>
        <v>5.2999999999999998E-8</v>
      </c>
      <c r="K177" s="114">
        <f t="shared" si="4"/>
        <v>2.4263747040200553E-7</v>
      </c>
    </row>
    <row r="178" spans="6:11" x14ac:dyDescent="0.35">
      <c r="F178" s="107">
        <v>2021</v>
      </c>
      <c r="G178" s="111" t="s">
        <v>78</v>
      </c>
      <c r="H178" s="111" t="s">
        <v>372</v>
      </c>
      <c r="I178" s="111">
        <v>51</v>
      </c>
      <c r="J178" s="213">
        <f t="shared" si="3"/>
        <v>5.1E-8</v>
      </c>
      <c r="K178" s="114">
        <f t="shared" si="4"/>
        <v>2.3348133944343928E-7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49F2-3BF7-4D5E-A779-8FC384990CCF}">
  <dimension ref="A3:F62"/>
  <sheetViews>
    <sheetView workbookViewId="0">
      <selection activeCell="U16" sqref="U16"/>
    </sheetView>
  </sheetViews>
  <sheetFormatPr defaultRowHeight="14.5" x14ac:dyDescent="0.35"/>
  <cols>
    <col min="3" max="3" width="18.1796875" bestFit="1" customWidth="1"/>
    <col min="4" max="4" width="11.26953125" bestFit="1" customWidth="1"/>
    <col min="5" max="5" width="10.7265625" bestFit="1" customWidth="1"/>
  </cols>
  <sheetData>
    <row r="3" spans="1:6" ht="15" customHeight="1" x14ac:dyDescent="0.35">
      <c r="C3" t="s">
        <v>245</v>
      </c>
      <c r="D3" s="219" t="s">
        <v>243</v>
      </c>
      <c r="E3" s="220" t="s">
        <v>147</v>
      </c>
      <c r="F3" s="220"/>
    </row>
    <row r="4" spans="1:6" x14ac:dyDescent="0.35">
      <c r="D4" t="s">
        <v>248</v>
      </c>
    </row>
    <row r="6" spans="1:6" x14ac:dyDescent="0.35">
      <c r="A6" s="108" t="s">
        <v>241</v>
      </c>
      <c r="B6" s="107"/>
      <c r="D6" s="111"/>
      <c r="E6" s="111">
        <v>4.2</v>
      </c>
    </row>
    <row r="7" spans="1:6" x14ac:dyDescent="0.35">
      <c r="C7" t="s">
        <v>35</v>
      </c>
      <c r="D7">
        <v>71.239999999999995</v>
      </c>
      <c r="E7" s="116">
        <f>D7/10^3</f>
        <v>7.1239999999999998E-2</v>
      </c>
      <c r="F7" s="102">
        <f>E7/$E$6</f>
        <v>1.6961904761904761E-2</v>
      </c>
    </row>
    <row r="8" spans="1:6" x14ac:dyDescent="0.35">
      <c r="E8" s="116"/>
    </row>
    <row r="9" spans="1:6" x14ac:dyDescent="0.35">
      <c r="C9" s="1" t="s">
        <v>252</v>
      </c>
      <c r="D9" s="1">
        <v>11.34</v>
      </c>
      <c r="E9" s="221">
        <f t="shared" ref="E9:E62" si="0">D9/10^3</f>
        <v>1.1339999999999999E-2</v>
      </c>
      <c r="F9" s="222">
        <f>E9/$E$7</f>
        <v>0.1591802358225716</v>
      </c>
    </row>
    <row r="10" spans="1:6" x14ac:dyDescent="0.35">
      <c r="C10" s="1" t="s">
        <v>197</v>
      </c>
      <c r="D10" s="1">
        <v>9.8800000000000008</v>
      </c>
      <c r="E10" s="221">
        <f t="shared" si="0"/>
        <v>9.8800000000000016E-3</v>
      </c>
      <c r="F10" s="222">
        <f t="shared" ref="F10:F62" si="1">E10/$E$7</f>
        <v>0.13868613138686134</v>
      </c>
    </row>
    <row r="11" spans="1:6" x14ac:dyDescent="0.35">
      <c r="C11" s="1" t="s">
        <v>261</v>
      </c>
      <c r="D11" s="1">
        <v>8.74</v>
      </c>
      <c r="E11" s="221">
        <f t="shared" si="0"/>
        <v>8.7399999999999995E-3</v>
      </c>
      <c r="F11" s="222">
        <f t="shared" si="1"/>
        <v>0.12268388545760808</v>
      </c>
    </row>
    <row r="12" spans="1:6" x14ac:dyDescent="0.35">
      <c r="C12" s="1" t="s">
        <v>199</v>
      </c>
      <c r="D12" s="1">
        <v>7.32</v>
      </c>
      <c r="E12" s="221">
        <f t="shared" si="0"/>
        <v>7.3200000000000001E-3</v>
      </c>
      <c r="F12" s="222">
        <f t="shared" si="1"/>
        <v>0.10275126333520494</v>
      </c>
    </row>
    <row r="13" spans="1:6" x14ac:dyDescent="0.35">
      <c r="C13" s="1" t="s">
        <v>211</v>
      </c>
      <c r="D13" s="1">
        <v>7.01</v>
      </c>
      <c r="E13" s="221">
        <f t="shared" si="0"/>
        <v>7.0099999999999997E-3</v>
      </c>
      <c r="F13" s="222">
        <f t="shared" si="1"/>
        <v>9.8399775407074674E-2</v>
      </c>
    </row>
    <row r="14" spans="1:6" x14ac:dyDescent="0.35">
      <c r="C14" s="1" t="s">
        <v>204</v>
      </c>
      <c r="D14" s="1">
        <v>4.2699999999999996</v>
      </c>
      <c r="E14" s="221">
        <f t="shared" si="0"/>
        <v>4.2699999999999995E-3</v>
      </c>
      <c r="F14" s="222">
        <f t="shared" si="1"/>
        <v>5.9938236945536211E-2</v>
      </c>
    </row>
    <row r="15" spans="1:6" x14ac:dyDescent="0.35">
      <c r="C15" s="1" t="s">
        <v>253</v>
      </c>
      <c r="D15" s="1">
        <v>4.22</v>
      </c>
      <c r="E15" s="221">
        <f t="shared" si="0"/>
        <v>4.2199999999999998E-3</v>
      </c>
      <c r="F15" s="222">
        <f t="shared" si="1"/>
        <v>5.9236384053902302E-2</v>
      </c>
    </row>
    <row r="16" spans="1:6" x14ac:dyDescent="0.35">
      <c r="C16" s="1" t="s">
        <v>256</v>
      </c>
      <c r="D16" s="1">
        <v>1.56</v>
      </c>
      <c r="E16" s="221">
        <f t="shared" si="0"/>
        <v>1.56E-3</v>
      </c>
      <c r="F16" s="222">
        <f t="shared" si="1"/>
        <v>2.1897810218978103E-2</v>
      </c>
    </row>
    <row r="17" spans="3:6" x14ac:dyDescent="0.35">
      <c r="C17" s="1" t="s">
        <v>216</v>
      </c>
      <c r="D17" s="1">
        <v>1.46</v>
      </c>
      <c r="E17" s="221">
        <f t="shared" si="0"/>
        <v>1.4599999999999999E-3</v>
      </c>
      <c r="F17" s="222">
        <f t="shared" si="1"/>
        <v>2.0494104435710276E-2</v>
      </c>
    </row>
    <row r="18" spans="3:6" x14ac:dyDescent="0.35">
      <c r="C18" s="1" t="s">
        <v>208</v>
      </c>
      <c r="D18" s="1">
        <v>1.36</v>
      </c>
      <c r="E18" s="221">
        <f t="shared" si="0"/>
        <v>1.3600000000000001E-3</v>
      </c>
      <c r="F18" s="222">
        <f t="shared" si="1"/>
        <v>1.9090398652442449E-2</v>
      </c>
    </row>
    <row r="19" spans="3:6" x14ac:dyDescent="0.35">
      <c r="C19" s="1" t="s">
        <v>257</v>
      </c>
      <c r="D19" s="1">
        <v>1.31</v>
      </c>
      <c r="E19" s="221">
        <f t="shared" si="0"/>
        <v>1.31E-3</v>
      </c>
      <c r="F19" s="222">
        <f t="shared" si="1"/>
        <v>1.8388545760808533E-2</v>
      </c>
    </row>
    <row r="20" spans="3:6" x14ac:dyDescent="0.35">
      <c r="C20" s="1" t="s">
        <v>202</v>
      </c>
      <c r="D20" s="1">
        <v>1.24</v>
      </c>
      <c r="E20" s="221">
        <f t="shared" si="0"/>
        <v>1.24E-3</v>
      </c>
      <c r="F20" s="222">
        <f t="shared" si="1"/>
        <v>1.7405951712521055E-2</v>
      </c>
    </row>
    <row r="21" spans="3:6" x14ac:dyDescent="0.35">
      <c r="C21" s="1" t="s">
        <v>271</v>
      </c>
      <c r="D21" s="1">
        <v>1.19</v>
      </c>
      <c r="E21" s="221">
        <f t="shared" si="0"/>
        <v>1.1899999999999999E-3</v>
      </c>
      <c r="F21" s="222">
        <f t="shared" si="1"/>
        <v>1.670409882088714E-2</v>
      </c>
    </row>
    <row r="22" spans="3:6" x14ac:dyDescent="0.35">
      <c r="C22" s="1" t="s">
        <v>258</v>
      </c>
      <c r="D22" s="1">
        <v>1.1399999999999999</v>
      </c>
      <c r="E22" s="221">
        <f t="shared" si="0"/>
        <v>1.14E-3</v>
      </c>
      <c r="F22" s="222">
        <f t="shared" si="1"/>
        <v>1.6002245929253228E-2</v>
      </c>
    </row>
    <row r="23" spans="3:6" x14ac:dyDescent="0.35">
      <c r="C23" s="1" t="s">
        <v>251</v>
      </c>
      <c r="D23" s="1">
        <v>1.1299999999999999</v>
      </c>
      <c r="E23" s="221">
        <f t="shared" si="0"/>
        <v>1.1299999999999999E-3</v>
      </c>
      <c r="F23" s="222">
        <f t="shared" si="1"/>
        <v>1.5861875350926445E-2</v>
      </c>
    </row>
    <row r="24" spans="3:6" x14ac:dyDescent="0.35">
      <c r="C24" s="1" t="s">
        <v>259</v>
      </c>
      <c r="D24" s="1">
        <v>0.77</v>
      </c>
      <c r="E24" s="221">
        <f t="shared" si="0"/>
        <v>7.7000000000000007E-4</v>
      </c>
      <c r="F24" s="222">
        <f t="shared" si="1"/>
        <v>1.080853453116227E-2</v>
      </c>
    </row>
    <row r="25" spans="3:6" x14ac:dyDescent="0.35">
      <c r="C25" s="1" t="s">
        <v>289</v>
      </c>
      <c r="D25" s="1">
        <v>0.72</v>
      </c>
      <c r="E25" s="221">
        <f t="shared" si="0"/>
        <v>7.1999999999999994E-4</v>
      </c>
      <c r="F25" s="222">
        <f t="shared" si="1"/>
        <v>1.0106681639528355E-2</v>
      </c>
    </row>
    <row r="26" spans="3:6" x14ac:dyDescent="0.35">
      <c r="C26" s="1" t="s">
        <v>260</v>
      </c>
      <c r="D26" s="1">
        <v>0.71</v>
      </c>
      <c r="E26" s="221">
        <f t="shared" si="0"/>
        <v>7.0999999999999991E-4</v>
      </c>
      <c r="F26" s="222">
        <f t="shared" si="1"/>
        <v>9.9663110612015719E-3</v>
      </c>
    </row>
    <row r="27" spans="3:6" x14ac:dyDescent="0.35">
      <c r="C27" s="1" t="s">
        <v>278</v>
      </c>
      <c r="D27" s="1">
        <v>0.67</v>
      </c>
      <c r="E27" s="221">
        <f t="shared" si="0"/>
        <v>6.7000000000000002E-4</v>
      </c>
      <c r="F27" s="222">
        <f t="shared" si="1"/>
        <v>9.4048287478944413E-3</v>
      </c>
    </row>
    <row r="28" spans="3:6" x14ac:dyDescent="0.35">
      <c r="C28" s="1" t="s">
        <v>269</v>
      </c>
      <c r="D28" s="1">
        <v>0.56000000000000005</v>
      </c>
      <c r="E28" s="221">
        <f t="shared" si="0"/>
        <v>5.6000000000000006E-4</v>
      </c>
      <c r="F28" s="222">
        <f t="shared" si="1"/>
        <v>7.8607523862998328E-3</v>
      </c>
    </row>
    <row r="29" spans="3:6" x14ac:dyDescent="0.35">
      <c r="C29" s="1" t="s">
        <v>213</v>
      </c>
      <c r="D29" s="1">
        <v>0.53</v>
      </c>
      <c r="E29" s="221">
        <f t="shared" si="0"/>
        <v>5.2999999999999998E-4</v>
      </c>
      <c r="F29" s="222">
        <f t="shared" si="1"/>
        <v>7.4396406513194836E-3</v>
      </c>
    </row>
    <row r="30" spans="3:6" x14ac:dyDescent="0.35">
      <c r="C30" s="1" t="s">
        <v>288</v>
      </c>
      <c r="D30" s="1">
        <v>0.48</v>
      </c>
      <c r="E30" s="221">
        <f t="shared" si="0"/>
        <v>4.7999999999999996E-4</v>
      </c>
      <c r="F30" s="222">
        <f t="shared" si="1"/>
        <v>6.7377877596855699E-3</v>
      </c>
    </row>
    <row r="31" spans="3:6" x14ac:dyDescent="0.35">
      <c r="C31" s="1" t="s">
        <v>283</v>
      </c>
      <c r="D31" s="1">
        <v>0.42</v>
      </c>
      <c r="E31" s="221">
        <f t="shared" si="0"/>
        <v>4.1999999999999996E-4</v>
      </c>
      <c r="F31" s="222">
        <f t="shared" si="1"/>
        <v>5.8955642897248733E-3</v>
      </c>
    </row>
    <row r="32" spans="3:6" x14ac:dyDescent="0.35">
      <c r="C32" s="1" t="s">
        <v>255</v>
      </c>
      <c r="D32" s="1">
        <v>0.33</v>
      </c>
      <c r="E32" s="221">
        <f t="shared" si="0"/>
        <v>3.3E-4</v>
      </c>
      <c r="F32" s="222">
        <f t="shared" si="1"/>
        <v>4.6322290847838291E-3</v>
      </c>
    </row>
    <row r="33" spans="3:6" x14ac:dyDescent="0.35">
      <c r="C33" s="1" t="s">
        <v>212</v>
      </c>
      <c r="D33" s="1">
        <v>0.33</v>
      </c>
      <c r="E33" s="221">
        <f t="shared" si="0"/>
        <v>3.3E-4</v>
      </c>
      <c r="F33" s="222">
        <f t="shared" si="1"/>
        <v>4.6322290847838291E-3</v>
      </c>
    </row>
    <row r="34" spans="3:6" x14ac:dyDescent="0.35">
      <c r="C34" s="1" t="s">
        <v>210</v>
      </c>
      <c r="D34" s="1">
        <v>0.28999999999999998</v>
      </c>
      <c r="E34" s="221">
        <f t="shared" si="0"/>
        <v>2.9E-4</v>
      </c>
      <c r="F34" s="222">
        <f t="shared" si="1"/>
        <v>4.0707467714766986E-3</v>
      </c>
    </row>
    <row r="35" spans="3:6" x14ac:dyDescent="0.35">
      <c r="C35" s="1" t="s">
        <v>276</v>
      </c>
      <c r="D35" s="1">
        <v>0.28999999999999998</v>
      </c>
      <c r="E35" s="221">
        <f t="shared" si="0"/>
        <v>2.9E-4</v>
      </c>
      <c r="F35" s="222">
        <f t="shared" si="1"/>
        <v>4.0707467714766986E-3</v>
      </c>
    </row>
    <row r="36" spans="3:6" x14ac:dyDescent="0.35">
      <c r="C36" s="1" t="s">
        <v>270</v>
      </c>
      <c r="D36" s="1">
        <v>0.28999999999999998</v>
      </c>
      <c r="E36" s="221">
        <f t="shared" si="0"/>
        <v>2.9E-4</v>
      </c>
      <c r="F36" s="222">
        <f t="shared" si="1"/>
        <v>4.0707467714766986E-3</v>
      </c>
    </row>
    <row r="37" spans="3:6" x14ac:dyDescent="0.35">
      <c r="C37" s="1" t="s">
        <v>266</v>
      </c>
      <c r="D37" s="1">
        <v>0.2</v>
      </c>
      <c r="E37" s="221">
        <f t="shared" si="0"/>
        <v>2.0000000000000001E-4</v>
      </c>
      <c r="F37" s="222">
        <f t="shared" si="1"/>
        <v>2.8074115665356544E-3</v>
      </c>
    </row>
    <row r="38" spans="3:6" x14ac:dyDescent="0.35">
      <c r="C38" s="1" t="s">
        <v>297</v>
      </c>
      <c r="D38" s="1">
        <v>0.18</v>
      </c>
      <c r="E38" s="221">
        <f t="shared" si="0"/>
        <v>1.7999999999999998E-4</v>
      </c>
      <c r="F38" s="222">
        <f t="shared" si="1"/>
        <v>2.5266704098820887E-3</v>
      </c>
    </row>
    <row r="39" spans="3:6" x14ac:dyDescent="0.35">
      <c r="C39" s="1" t="s">
        <v>298</v>
      </c>
      <c r="D39" s="1">
        <v>0.17</v>
      </c>
      <c r="E39" s="221">
        <f t="shared" si="0"/>
        <v>1.7000000000000001E-4</v>
      </c>
      <c r="F39" s="222">
        <f t="shared" si="1"/>
        <v>2.3862998315553061E-3</v>
      </c>
    </row>
    <row r="40" spans="3:6" x14ac:dyDescent="0.35">
      <c r="C40" s="1" t="s">
        <v>215</v>
      </c>
      <c r="D40" s="1">
        <v>0.16</v>
      </c>
      <c r="E40" s="221">
        <f t="shared" si="0"/>
        <v>1.6000000000000001E-4</v>
      </c>
      <c r="F40" s="222">
        <f t="shared" si="1"/>
        <v>2.2459292532285235E-3</v>
      </c>
    </row>
    <row r="41" spans="3:6" x14ac:dyDescent="0.35">
      <c r="C41" s="1" t="s">
        <v>206</v>
      </c>
      <c r="D41" s="1">
        <v>0.13</v>
      </c>
      <c r="E41" s="221">
        <f t="shared" si="0"/>
        <v>1.3000000000000002E-4</v>
      </c>
      <c r="F41" s="222">
        <f t="shared" si="1"/>
        <v>1.8248175182481756E-3</v>
      </c>
    </row>
    <row r="42" spans="3:6" x14ac:dyDescent="0.35">
      <c r="C42" s="1" t="s">
        <v>262</v>
      </c>
      <c r="D42" s="1">
        <v>0.12</v>
      </c>
      <c r="E42" s="221">
        <f t="shared" si="0"/>
        <v>1.1999999999999999E-4</v>
      </c>
      <c r="F42" s="222">
        <f t="shared" si="1"/>
        <v>1.6844469399213925E-3</v>
      </c>
    </row>
    <row r="43" spans="3:6" x14ac:dyDescent="0.35">
      <c r="C43" s="1" t="s">
        <v>301</v>
      </c>
      <c r="D43" s="1">
        <v>0.11</v>
      </c>
      <c r="E43" s="221">
        <f t="shared" si="0"/>
        <v>1.1E-4</v>
      </c>
      <c r="F43" s="222">
        <f t="shared" si="1"/>
        <v>1.5440763615946099E-3</v>
      </c>
    </row>
    <row r="44" spans="3:6" x14ac:dyDescent="0.35">
      <c r="C44" t="s">
        <v>296</v>
      </c>
      <c r="D44">
        <v>0.11</v>
      </c>
      <c r="E44" s="116">
        <f t="shared" si="0"/>
        <v>1.1E-4</v>
      </c>
      <c r="F44" s="102">
        <f t="shared" si="1"/>
        <v>1.5440763615946099E-3</v>
      </c>
    </row>
    <row r="45" spans="3:6" x14ac:dyDescent="0.35">
      <c r="C45" t="s">
        <v>303</v>
      </c>
      <c r="D45">
        <v>0.1</v>
      </c>
      <c r="E45" s="116">
        <f t="shared" si="0"/>
        <v>1E-4</v>
      </c>
      <c r="F45" s="102">
        <f t="shared" si="1"/>
        <v>1.4037057832678272E-3</v>
      </c>
    </row>
    <row r="46" spans="3:6" x14ac:dyDescent="0.35">
      <c r="C46" t="s">
        <v>300</v>
      </c>
      <c r="D46">
        <v>0.08</v>
      </c>
      <c r="E46" s="116">
        <f t="shared" si="0"/>
        <v>8.0000000000000007E-5</v>
      </c>
      <c r="F46" s="102">
        <f t="shared" si="1"/>
        <v>1.1229646266142617E-3</v>
      </c>
    </row>
    <row r="47" spans="3:6" x14ac:dyDescent="0.35">
      <c r="C47" t="s">
        <v>308</v>
      </c>
      <c r="D47">
        <v>7.0000000000000007E-2</v>
      </c>
      <c r="E47" s="116">
        <f t="shared" si="0"/>
        <v>7.0000000000000007E-5</v>
      </c>
      <c r="F47" s="102">
        <f t="shared" si="1"/>
        <v>9.825940482874791E-4</v>
      </c>
    </row>
    <row r="48" spans="3:6" x14ac:dyDescent="0.35">
      <c r="C48" t="s">
        <v>265</v>
      </c>
      <c r="D48">
        <v>0.06</v>
      </c>
      <c r="E48" s="116">
        <f t="shared" si="0"/>
        <v>5.9999999999999995E-5</v>
      </c>
      <c r="F48" s="102">
        <f t="shared" si="1"/>
        <v>8.4222346996069624E-4</v>
      </c>
    </row>
    <row r="49" spans="3:6" x14ac:dyDescent="0.35">
      <c r="C49" t="s">
        <v>263</v>
      </c>
      <c r="D49">
        <v>0.05</v>
      </c>
      <c r="E49" s="116">
        <f t="shared" si="0"/>
        <v>5.0000000000000002E-5</v>
      </c>
      <c r="F49" s="102">
        <f t="shared" si="1"/>
        <v>7.0185289163391361E-4</v>
      </c>
    </row>
    <row r="50" spans="3:6" x14ac:dyDescent="0.35">
      <c r="C50" t="s">
        <v>302</v>
      </c>
      <c r="D50">
        <v>0.03</v>
      </c>
      <c r="E50" s="116">
        <f t="shared" si="0"/>
        <v>2.9999999999999997E-5</v>
      </c>
      <c r="F50" s="102">
        <f t="shared" si="1"/>
        <v>4.2111173498034812E-4</v>
      </c>
    </row>
    <row r="51" spans="3:6" x14ac:dyDescent="0.35">
      <c r="C51" t="s">
        <v>325</v>
      </c>
      <c r="D51">
        <v>0.03</v>
      </c>
      <c r="E51" s="116">
        <f t="shared" si="0"/>
        <v>2.9999999999999997E-5</v>
      </c>
      <c r="F51" s="102">
        <f t="shared" si="1"/>
        <v>4.2111173498034812E-4</v>
      </c>
    </row>
    <row r="52" spans="3:6" x14ac:dyDescent="0.35">
      <c r="C52" t="s">
        <v>275</v>
      </c>
      <c r="D52">
        <v>0.03</v>
      </c>
      <c r="E52" s="116">
        <f t="shared" si="0"/>
        <v>2.9999999999999997E-5</v>
      </c>
      <c r="F52" s="102">
        <f t="shared" si="1"/>
        <v>4.2111173498034812E-4</v>
      </c>
    </row>
    <row r="53" spans="3:6" x14ac:dyDescent="0.35">
      <c r="C53" t="s">
        <v>373</v>
      </c>
      <c r="D53">
        <v>0.02</v>
      </c>
      <c r="E53" s="116">
        <f t="shared" si="0"/>
        <v>2.0000000000000002E-5</v>
      </c>
      <c r="F53" s="102">
        <f t="shared" si="1"/>
        <v>2.8074115665356543E-4</v>
      </c>
    </row>
    <row r="54" spans="3:6" x14ac:dyDescent="0.35">
      <c r="C54" t="s">
        <v>286</v>
      </c>
      <c r="D54">
        <v>0.01</v>
      </c>
      <c r="E54" s="116">
        <f t="shared" si="0"/>
        <v>1.0000000000000001E-5</v>
      </c>
      <c r="F54" s="102">
        <f t="shared" si="1"/>
        <v>1.4037057832678272E-4</v>
      </c>
    </row>
    <row r="55" spans="3:6" x14ac:dyDescent="0.35">
      <c r="C55" t="s">
        <v>309</v>
      </c>
      <c r="D55">
        <v>0.01</v>
      </c>
      <c r="E55" s="116">
        <f t="shared" si="0"/>
        <v>1.0000000000000001E-5</v>
      </c>
      <c r="F55" s="102">
        <f t="shared" si="1"/>
        <v>1.4037057832678272E-4</v>
      </c>
    </row>
    <row r="56" spans="3:6" x14ac:dyDescent="0.35">
      <c r="C56" t="s">
        <v>319</v>
      </c>
      <c r="D56">
        <v>0.01</v>
      </c>
      <c r="E56" s="116">
        <f t="shared" si="0"/>
        <v>1.0000000000000001E-5</v>
      </c>
      <c r="F56" s="102">
        <f t="shared" si="1"/>
        <v>1.4037057832678272E-4</v>
      </c>
    </row>
    <row r="57" spans="3:6" x14ac:dyDescent="0.35">
      <c r="C57" t="s">
        <v>323</v>
      </c>
      <c r="D57">
        <v>0.01</v>
      </c>
      <c r="E57" s="116">
        <f t="shared" si="0"/>
        <v>1.0000000000000001E-5</v>
      </c>
      <c r="F57" s="102">
        <f t="shared" si="1"/>
        <v>1.4037057832678272E-4</v>
      </c>
    </row>
    <row r="58" spans="3:6" x14ac:dyDescent="0.35">
      <c r="C58" t="s">
        <v>374</v>
      </c>
      <c r="D58">
        <v>0.01</v>
      </c>
      <c r="E58" s="116">
        <f t="shared" si="0"/>
        <v>1.0000000000000001E-5</v>
      </c>
      <c r="F58" s="102">
        <f t="shared" si="1"/>
        <v>1.4037057832678272E-4</v>
      </c>
    </row>
    <row r="59" spans="3:6" x14ac:dyDescent="0.35">
      <c r="C59" t="s">
        <v>207</v>
      </c>
      <c r="D59">
        <v>0</v>
      </c>
      <c r="E59" s="116">
        <f t="shared" si="0"/>
        <v>0</v>
      </c>
      <c r="F59" s="102">
        <f t="shared" si="1"/>
        <v>0</v>
      </c>
    </row>
    <row r="60" spans="3:6" x14ac:dyDescent="0.35">
      <c r="C60" t="s">
        <v>375</v>
      </c>
      <c r="D60">
        <v>0</v>
      </c>
      <c r="E60" s="116">
        <f t="shared" si="0"/>
        <v>0</v>
      </c>
      <c r="F60" s="102">
        <f t="shared" si="1"/>
        <v>0</v>
      </c>
    </row>
    <row r="61" spans="3:6" x14ac:dyDescent="0.35">
      <c r="C61" t="s">
        <v>277</v>
      </c>
      <c r="D61">
        <v>0</v>
      </c>
      <c r="E61" s="116">
        <f t="shared" si="0"/>
        <v>0</v>
      </c>
      <c r="F61" s="102">
        <f t="shared" si="1"/>
        <v>0</v>
      </c>
    </row>
    <row r="62" spans="3:6" x14ac:dyDescent="0.35">
      <c r="C62" t="s">
        <v>376</v>
      </c>
      <c r="E62" s="116">
        <f t="shared" si="0"/>
        <v>0</v>
      </c>
      <c r="F62" s="10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A55A-B93D-4CC5-A798-2355AB1BDE5B}">
  <dimension ref="A1:F32"/>
  <sheetViews>
    <sheetView workbookViewId="0">
      <selection activeCell="U16" sqref="U16"/>
    </sheetView>
  </sheetViews>
  <sheetFormatPr defaultRowHeight="14.5" x14ac:dyDescent="0.35"/>
  <cols>
    <col min="2" max="2" width="17.26953125" bestFit="1" customWidth="1"/>
    <col min="3" max="3" width="10.81640625" customWidth="1"/>
  </cols>
  <sheetData>
    <row r="1" spans="1:6" x14ac:dyDescent="0.35">
      <c r="E1" t="s">
        <v>147</v>
      </c>
    </row>
    <row r="2" spans="1:6" x14ac:dyDescent="0.35">
      <c r="A2" s="108" t="s">
        <v>241</v>
      </c>
      <c r="B2" s="107"/>
      <c r="D2" s="111"/>
      <c r="E2" s="111">
        <v>4.2</v>
      </c>
    </row>
    <row r="3" spans="1:6" x14ac:dyDescent="0.35">
      <c r="B3" t="s">
        <v>377</v>
      </c>
      <c r="D3">
        <f>SUM(C5:C32)</f>
        <v>46.680000000000007</v>
      </c>
      <c r="E3">
        <f>D3/1000</f>
        <v>4.6680000000000006E-2</v>
      </c>
      <c r="F3" s="102">
        <f>E3/$E$2</f>
        <v>1.1114285714285715E-2</v>
      </c>
    </row>
    <row r="4" spans="1:6" ht="15" thickBot="1" x14ac:dyDescent="0.4"/>
    <row r="5" spans="1:6" x14ac:dyDescent="0.35">
      <c r="B5" s="95" t="s">
        <v>251</v>
      </c>
      <c r="C5" s="96">
        <v>16.09</v>
      </c>
      <c r="E5">
        <f>C5/10^3</f>
        <v>1.609E-2</v>
      </c>
      <c r="F5" s="102">
        <f>E5/$E$3</f>
        <v>0.34468723221936587</v>
      </c>
    </row>
    <row r="6" spans="1:6" x14ac:dyDescent="0.35">
      <c r="B6" s="223" t="s">
        <v>216</v>
      </c>
      <c r="C6" s="224">
        <v>6.1899999999999995</v>
      </c>
      <c r="E6">
        <f t="shared" ref="E6:E32" si="0">C6/10^3</f>
        <v>6.1899999999999993E-3</v>
      </c>
      <c r="F6" s="102">
        <f t="shared" ref="F6:F32" si="1">E6/$E$3</f>
        <v>0.13260497000856894</v>
      </c>
    </row>
    <row r="7" spans="1:6" x14ac:dyDescent="0.35">
      <c r="B7" s="223" t="s">
        <v>253</v>
      </c>
      <c r="C7" s="224">
        <v>4.59</v>
      </c>
      <c r="E7">
        <f t="shared" si="0"/>
        <v>4.5899999999999995E-3</v>
      </c>
      <c r="F7" s="102">
        <f t="shared" si="1"/>
        <v>9.8329048843187633E-2</v>
      </c>
    </row>
    <row r="8" spans="1:6" x14ac:dyDescent="0.35">
      <c r="B8" s="223" t="s">
        <v>197</v>
      </c>
      <c r="C8" s="224">
        <v>3.67</v>
      </c>
      <c r="E8">
        <f t="shared" si="0"/>
        <v>3.6700000000000001E-3</v>
      </c>
      <c r="F8" s="102">
        <f t="shared" si="1"/>
        <v>7.8620394173093397E-2</v>
      </c>
    </row>
    <row r="9" spans="1:6" x14ac:dyDescent="0.35">
      <c r="B9" s="223" t="s">
        <v>269</v>
      </c>
      <c r="C9" s="224">
        <v>3.2199999999999998</v>
      </c>
      <c r="E9">
        <f t="shared" si="0"/>
        <v>3.2199999999999998E-3</v>
      </c>
      <c r="F9" s="102">
        <f t="shared" si="1"/>
        <v>6.8980291345329889E-2</v>
      </c>
    </row>
    <row r="10" spans="1:6" x14ac:dyDescent="0.35">
      <c r="B10" s="223" t="s">
        <v>211</v>
      </c>
      <c r="C10" s="224">
        <v>2.58</v>
      </c>
      <c r="E10">
        <f t="shared" si="0"/>
        <v>2.5800000000000003E-3</v>
      </c>
      <c r="F10" s="102">
        <f t="shared" si="1"/>
        <v>5.5269922879177376E-2</v>
      </c>
    </row>
    <row r="11" spans="1:6" x14ac:dyDescent="0.35">
      <c r="B11" s="223" t="s">
        <v>199</v>
      </c>
      <c r="C11" s="224">
        <v>2.0699999999999998</v>
      </c>
      <c r="E11">
        <f t="shared" si="0"/>
        <v>2.0699999999999998E-3</v>
      </c>
      <c r="F11" s="102">
        <f t="shared" si="1"/>
        <v>4.4344473007712069E-2</v>
      </c>
    </row>
    <row r="12" spans="1:6" x14ac:dyDescent="0.35">
      <c r="B12" s="223" t="s">
        <v>252</v>
      </c>
      <c r="C12" s="224">
        <v>2.0499999999999998</v>
      </c>
      <c r="E12">
        <f t="shared" si="0"/>
        <v>2.0499999999999997E-3</v>
      </c>
      <c r="F12" s="102">
        <f t="shared" si="1"/>
        <v>4.3916023993144801E-2</v>
      </c>
    </row>
    <row r="13" spans="1:6" x14ac:dyDescent="0.35">
      <c r="B13" s="223" t="s">
        <v>210</v>
      </c>
      <c r="C13" s="224">
        <v>1.3900000000000001</v>
      </c>
      <c r="E13">
        <f t="shared" si="0"/>
        <v>1.3900000000000002E-3</v>
      </c>
      <c r="F13" s="102">
        <f t="shared" si="1"/>
        <v>2.977720651242502E-2</v>
      </c>
    </row>
    <row r="14" spans="1:6" x14ac:dyDescent="0.35">
      <c r="B14" s="223" t="s">
        <v>202</v>
      </c>
      <c r="C14" s="224">
        <v>1.18</v>
      </c>
      <c r="E14">
        <f t="shared" si="0"/>
        <v>1.1799999999999998E-3</v>
      </c>
      <c r="F14" s="102">
        <f t="shared" si="1"/>
        <v>2.5278491859468715E-2</v>
      </c>
    </row>
    <row r="15" spans="1:6" x14ac:dyDescent="0.35">
      <c r="B15" s="223" t="s">
        <v>208</v>
      </c>
      <c r="C15" s="224">
        <v>0.77</v>
      </c>
      <c r="E15">
        <f t="shared" si="0"/>
        <v>7.7000000000000007E-4</v>
      </c>
      <c r="F15" s="102">
        <f t="shared" si="1"/>
        <v>1.6495287060839758E-2</v>
      </c>
    </row>
    <row r="16" spans="1:6" x14ac:dyDescent="0.35">
      <c r="B16" s="223" t="s">
        <v>212</v>
      </c>
      <c r="C16" s="224">
        <v>0.6</v>
      </c>
      <c r="E16">
        <f t="shared" si="0"/>
        <v>5.9999999999999995E-4</v>
      </c>
      <c r="F16" s="102">
        <f t="shared" si="1"/>
        <v>1.2853470437017992E-2</v>
      </c>
    </row>
    <row r="17" spans="2:6" x14ac:dyDescent="0.35">
      <c r="B17" s="223" t="s">
        <v>206</v>
      </c>
      <c r="C17" s="224">
        <v>0.51</v>
      </c>
      <c r="E17">
        <f t="shared" si="0"/>
        <v>5.1000000000000004E-4</v>
      </c>
      <c r="F17" s="102">
        <f t="shared" si="1"/>
        <v>1.0925449871465294E-2</v>
      </c>
    </row>
    <row r="18" spans="2:6" x14ac:dyDescent="0.35">
      <c r="B18" s="223" t="s">
        <v>215</v>
      </c>
      <c r="C18" s="224">
        <v>0.46</v>
      </c>
      <c r="E18">
        <f t="shared" si="0"/>
        <v>4.6000000000000001E-4</v>
      </c>
      <c r="F18" s="102">
        <f t="shared" si="1"/>
        <v>9.8543273350471285E-3</v>
      </c>
    </row>
    <row r="19" spans="2:6" x14ac:dyDescent="0.35">
      <c r="B19" s="223" t="s">
        <v>213</v>
      </c>
      <c r="C19" s="224">
        <v>0.34</v>
      </c>
      <c r="E19">
        <f t="shared" si="0"/>
        <v>3.4000000000000002E-4</v>
      </c>
      <c r="F19" s="102">
        <f t="shared" si="1"/>
        <v>7.2836332476435301E-3</v>
      </c>
    </row>
    <row r="20" spans="2:6" x14ac:dyDescent="0.35">
      <c r="B20" s="223" t="s">
        <v>260</v>
      </c>
      <c r="C20" s="224">
        <v>0.18</v>
      </c>
      <c r="E20">
        <f t="shared" si="0"/>
        <v>1.7999999999999998E-4</v>
      </c>
      <c r="F20" s="102">
        <f t="shared" si="1"/>
        <v>3.8560411311053975E-3</v>
      </c>
    </row>
    <row r="21" spans="2:6" x14ac:dyDescent="0.35">
      <c r="B21" s="223" t="s">
        <v>204</v>
      </c>
      <c r="C21" s="224">
        <v>0.17</v>
      </c>
      <c r="E21">
        <f t="shared" si="0"/>
        <v>1.7000000000000001E-4</v>
      </c>
      <c r="F21" s="102">
        <f t="shared" si="1"/>
        <v>3.6418166238217651E-3</v>
      </c>
    </row>
    <row r="22" spans="2:6" x14ac:dyDescent="0.35">
      <c r="B22" s="223" t="s">
        <v>256</v>
      </c>
      <c r="C22" s="224">
        <v>0.14000000000000001</v>
      </c>
      <c r="E22">
        <f t="shared" si="0"/>
        <v>1.4000000000000001E-4</v>
      </c>
      <c r="F22" s="102">
        <f t="shared" si="1"/>
        <v>2.9991431019708655E-3</v>
      </c>
    </row>
    <row r="23" spans="2:6" x14ac:dyDescent="0.35">
      <c r="B23" s="223" t="s">
        <v>278</v>
      </c>
      <c r="C23" s="224">
        <v>0.12000000000000001</v>
      </c>
      <c r="E23">
        <f t="shared" si="0"/>
        <v>1.2E-4</v>
      </c>
      <c r="F23" s="102">
        <f t="shared" si="1"/>
        <v>2.5706940874035988E-3</v>
      </c>
    </row>
    <row r="24" spans="2:6" x14ac:dyDescent="0.35">
      <c r="B24" s="223" t="s">
        <v>275</v>
      </c>
      <c r="C24" s="224">
        <v>0.11</v>
      </c>
      <c r="E24">
        <f t="shared" si="0"/>
        <v>1.1E-4</v>
      </c>
      <c r="F24" s="102">
        <f t="shared" si="1"/>
        <v>2.3564695801199654E-3</v>
      </c>
    </row>
    <row r="25" spans="2:6" x14ac:dyDescent="0.35">
      <c r="B25" s="223" t="s">
        <v>263</v>
      </c>
      <c r="C25" s="224">
        <v>0.09</v>
      </c>
      <c r="E25">
        <f t="shared" si="0"/>
        <v>8.9999999999999992E-5</v>
      </c>
      <c r="F25" s="102">
        <f t="shared" si="1"/>
        <v>1.9280205655526988E-3</v>
      </c>
    </row>
    <row r="26" spans="2:6" x14ac:dyDescent="0.35">
      <c r="B26" s="223" t="s">
        <v>258</v>
      </c>
      <c r="C26" s="224">
        <v>0.04</v>
      </c>
      <c r="E26">
        <f t="shared" si="0"/>
        <v>4.0000000000000003E-5</v>
      </c>
      <c r="F26" s="102">
        <f t="shared" si="1"/>
        <v>8.5689802913453293E-4</v>
      </c>
    </row>
    <row r="27" spans="2:6" x14ac:dyDescent="0.35">
      <c r="B27" s="223" t="s">
        <v>257</v>
      </c>
      <c r="C27" s="224">
        <v>0.04</v>
      </c>
      <c r="E27">
        <f t="shared" si="0"/>
        <v>4.0000000000000003E-5</v>
      </c>
      <c r="F27" s="102">
        <f t="shared" si="1"/>
        <v>8.5689802913453293E-4</v>
      </c>
    </row>
    <row r="28" spans="2:6" x14ac:dyDescent="0.35">
      <c r="B28" s="223" t="s">
        <v>271</v>
      </c>
      <c r="C28" s="224">
        <v>0.02</v>
      </c>
      <c r="E28">
        <f t="shared" si="0"/>
        <v>2.0000000000000002E-5</v>
      </c>
      <c r="F28" s="102">
        <f t="shared" si="1"/>
        <v>4.2844901456726646E-4</v>
      </c>
    </row>
    <row r="29" spans="2:6" x14ac:dyDescent="0.35">
      <c r="B29" s="223" t="s">
        <v>261</v>
      </c>
      <c r="C29" s="224">
        <v>0.02</v>
      </c>
      <c r="E29">
        <f t="shared" si="0"/>
        <v>2.0000000000000002E-5</v>
      </c>
      <c r="F29" s="102">
        <f t="shared" si="1"/>
        <v>4.2844901456726646E-4</v>
      </c>
    </row>
    <row r="30" spans="2:6" x14ac:dyDescent="0.35">
      <c r="B30" s="223" t="s">
        <v>207</v>
      </c>
      <c r="C30" s="224">
        <v>0.02</v>
      </c>
      <c r="E30">
        <f t="shared" si="0"/>
        <v>2.0000000000000002E-5</v>
      </c>
      <c r="F30" s="102">
        <f t="shared" si="1"/>
        <v>4.2844901456726646E-4</v>
      </c>
    </row>
    <row r="31" spans="2:6" x14ac:dyDescent="0.35">
      <c r="B31" s="223" t="s">
        <v>262</v>
      </c>
      <c r="C31" s="224">
        <v>0.01</v>
      </c>
      <c r="E31">
        <f t="shared" si="0"/>
        <v>1.0000000000000001E-5</v>
      </c>
      <c r="F31" s="102">
        <f t="shared" si="1"/>
        <v>2.1422450728363323E-4</v>
      </c>
    </row>
    <row r="32" spans="2:6" ht="15" thickBot="1" x14ac:dyDescent="0.4">
      <c r="B32" s="100" t="s">
        <v>289</v>
      </c>
      <c r="C32" s="225">
        <v>0.01</v>
      </c>
      <c r="E32">
        <f t="shared" si="0"/>
        <v>1.0000000000000001E-5</v>
      </c>
      <c r="F32" s="102">
        <f t="shared" si="1"/>
        <v>2.1422450728363323E-4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9246-74D5-4D49-B50E-08074676D6DA}">
  <dimension ref="A1:F20"/>
  <sheetViews>
    <sheetView workbookViewId="0">
      <selection activeCell="U16" sqref="U16"/>
    </sheetView>
  </sheetViews>
  <sheetFormatPr defaultRowHeight="14.5" x14ac:dyDescent="0.35"/>
  <cols>
    <col min="3" max="3" width="17.54296875" bestFit="1" customWidth="1"/>
    <col min="4" max="4" width="11.26953125" bestFit="1" customWidth="1"/>
  </cols>
  <sheetData>
    <row r="1" spans="1:6" x14ac:dyDescent="0.35">
      <c r="D1" t="s">
        <v>243</v>
      </c>
      <c r="E1" t="s">
        <v>147</v>
      </c>
    </row>
    <row r="2" spans="1:6" x14ac:dyDescent="0.35">
      <c r="A2" s="108" t="s">
        <v>241</v>
      </c>
      <c r="B2" s="107"/>
      <c r="D2" s="111"/>
      <c r="E2" s="111">
        <v>4.2</v>
      </c>
    </row>
    <row r="4" spans="1:6" x14ac:dyDescent="0.35">
      <c r="C4" t="s">
        <v>35</v>
      </c>
      <c r="D4">
        <v>8.7200000000000006</v>
      </c>
      <c r="E4" s="226">
        <f>D4/1000</f>
        <v>8.7200000000000003E-3</v>
      </c>
      <c r="F4" s="102">
        <f>E4/E2</f>
        <v>2.0761904761904763E-3</v>
      </c>
    </row>
    <row r="5" spans="1:6" x14ac:dyDescent="0.35">
      <c r="E5" s="102"/>
    </row>
    <row r="6" spans="1:6" x14ac:dyDescent="0.35">
      <c r="C6" t="s">
        <v>251</v>
      </c>
      <c r="D6" s="24">
        <v>6.95</v>
      </c>
      <c r="E6">
        <f>D6/1000</f>
        <v>6.9500000000000004E-3</v>
      </c>
      <c r="F6" s="102">
        <f>E6/$E$4</f>
        <v>0.79701834862385323</v>
      </c>
    </row>
    <row r="7" spans="1:6" x14ac:dyDescent="0.35">
      <c r="C7" t="s">
        <v>199</v>
      </c>
      <c r="D7" s="24">
        <v>0.5</v>
      </c>
      <c r="E7">
        <f t="shared" ref="E7:E17" si="0">D7/1000</f>
        <v>5.0000000000000001E-4</v>
      </c>
      <c r="F7" s="102">
        <f t="shared" ref="F7:F17" si="1">E7/$E$4</f>
        <v>5.73394495412844E-2</v>
      </c>
    </row>
    <row r="8" spans="1:6" x14ac:dyDescent="0.35">
      <c r="C8" t="s">
        <v>269</v>
      </c>
      <c r="D8" s="24">
        <v>0.5</v>
      </c>
      <c r="E8">
        <f t="shared" si="0"/>
        <v>5.0000000000000001E-4</v>
      </c>
      <c r="F8" s="102">
        <f t="shared" si="1"/>
        <v>5.73394495412844E-2</v>
      </c>
    </row>
    <row r="9" spans="1:6" x14ac:dyDescent="0.35">
      <c r="C9" t="s">
        <v>212</v>
      </c>
      <c r="D9" s="24">
        <v>0.5</v>
      </c>
      <c r="E9">
        <f t="shared" si="0"/>
        <v>5.0000000000000001E-4</v>
      </c>
      <c r="F9" s="102">
        <f t="shared" si="1"/>
        <v>5.73394495412844E-2</v>
      </c>
    </row>
    <row r="10" spans="1:6" x14ac:dyDescent="0.35">
      <c r="C10" t="s">
        <v>214</v>
      </c>
      <c r="D10" s="24">
        <v>0.1</v>
      </c>
      <c r="E10">
        <f t="shared" si="0"/>
        <v>1E-4</v>
      </c>
      <c r="F10" s="102">
        <f t="shared" si="1"/>
        <v>1.1467889908256881E-2</v>
      </c>
    </row>
    <row r="11" spans="1:6" x14ac:dyDescent="0.35">
      <c r="C11" t="s">
        <v>211</v>
      </c>
      <c r="D11" s="24">
        <v>0.06</v>
      </c>
      <c r="E11">
        <f t="shared" si="0"/>
        <v>5.9999999999999995E-5</v>
      </c>
      <c r="F11" s="102">
        <f t="shared" si="1"/>
        <v>6.880733944954128E-3</v>
      </c>
    </row>
    <row r="12" spans="1:6" x14ac:dyDescent="0.35">
      <c r="C12" t="s">
        <v>208</v>
      </c>
      <c r="D12" s="24">
        <v>0.04</v>
      </c>
      <c r="E12">
        <f t="shared" si="0"/>
        <v>4.0000000000000003E-5</v>
      </c>
      <c r="F12" s="102">
        <f t="shared" si="1"/>
        <v>4.5871559633027525E-3</v>
      </c>
    </row>
    <row r="13" spans="1:6" x14ac:dyDescent="0.35">
      <c r="C13" t="s">
        <v>213</v>
      </c>
      <c r="D13" s="24">
        <v>0.02</v>
      </c>
      <c r="E13">
        <f t="shared" si="0"/>
        <v>2.0000000000000002E-5</v>
      </c>
      <c r="F13" s="102">
        <f t="shared" si="1"/>
        <v>2.2935779816513763E-3</v>
      </c>
    </row>
    <row r="14" spans="1:6" x14ac:dyDescent="0.35">
      <c r="C14" t="s">
        <v>261</v>
      </c>
      <c r="D14" s="24">
        <v>0.01</v>
      </c>
      <c r="E14">
        <f t="shared" si="0"/>
        <v>1.0000000000000001E-5</v>
      </c>
      <c r="F14" s="102">
        <f t="shared" si="1"/>
        <v>1.1467889908256881E-3</v>
      </c>
    </row>
    <row r="15" spans="1:6" x14ac:dyDescent="0.35">
      <c r="C15" t="s">
        <v>256</v>
      </c>
      <c r="D15" s="24">
        <v>0.01</v>
      </c>
      <c r="E15">
        <f t="shared" si="0"/>
        <v>1.0000000000000001E-5</v>
      </c>
      <c r="F15" s="102">
        <f t="shared" si="1"/>
        <v>1.1467889908256881E-3</v>
      </c>
    </row>
    <row r="16" spans="1:6" x14ac:dyDescent="0.35">
      <c r="C16" t="s">
        <v>300</v>
      </c>
      <c r="D16" s="24">
        <v>0.01</v>
      </c>
      <c r="E16">
        <f t="shared" si="0"/>
        <v>1.0000000000000001E-5</v>
      </c>
      <c r="F16" s="102">
        <f t="shared" si="1"/>
        <v>1.1467889908256881E-3</v>
      </c>
    </row>
    <row r="17" spans="3:6" x14ac:dyDescent="0.35">
      <c r="C17" t="s">
        <v>202</v>
      </c>
      <c r="D17" s="24">
        <v>0.01</v>
      </c>
      <c r="E17">
        <f t="shared" si="0"/>
        <v>1.0000000000000001E-5</v>
      </c>
      <c r="F17" s="102">
        <f t="shared" si="1"/>
        <v>1.1467889908256881E-3</v>
      </c>
    </row>
    <row r="19" spans="3:6" x14ac:dyDescent="0.35">
      <c r="D19" s="24">
        <f>SUM(D6:D17)</f>
        <v>8.7099999999999973</v>
      </c>
    </row>
    <row r="20" spans="3:6" x14ac:dyDescent="0.35">
      <c r="C20" t="s">
        <v>165</v>
      </c>
      <c r="D20" s="24">
        <f>D4-D19</f>
        <v>1.000000000000334E-2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CSA</vt:lpstr>
      <vt:lpstr>Import Analysis</vt:lpstr>
      <vt:lpstr>Country</vt:lpstr>
      <vt:lpstr>Jatin</vt:lpstr>
      <vt:lpstr>Others</vt:lpstr>
      <vt:lpstr>Tires</vt:lpstr>
      <vt:lpstr>Lubricants</vt:lpstr>
      <vt:lpstr>Batteries</vt:lpstr>
      <vt:lpstr>Brake parts</vt:lpstr>
      <vt:lpstr>ignition parts</vt:lpstr>
      <vt:lpstr>Tires_UNCOMTRADE</vt:lpstr>
      <vt:lpstr>Lubricants_UNCOM</vt:lpstr>
      <vt:lpstr>Batteries_DGFT</vt:lpstr>
      <vt:lpstr>Brake parts_DGFT</vt:lpstr>
      <vt:lpstr>Ignition parts_DGFT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Sharma</dc:creator>
  <cp:lastModifiedBy>Ankit Kumar. Singh</cp:lastModifiedBy>
  <dcterms:created xsi:type="dcterms:W3CDTF">2022-11-18T08:53:34Z</dcterms:created>
  <dcterms:modified xsi:type="dcterms:W3CDTF">2022-11-26T20:54:32Z</dcterms:modified>
</cp:coreProperties>
</file>