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ChemEpt\"/>
    </mc:Choice>
  </mc:AlternateContent>
  <xr:revisionPtr revIDLastSave="0" documentId="13_ncr:1_{4D0F9A2B-0FBD-4404-A707-191F2CC8D934}" xr6:coauthVersionLast="47" xr6:coauthVersionMax="47" xr10:uidLastSave="{00000000-0000-0000-0000-000000000000}"/>
  <bookViews>
    <workbookView xWindow="-120" yWindow="-120" windowWidth="20730" windowHeight="11160" activeTab="1" xr2:uid="{07B38D39-784A-48F1-BFF0-0CD5D3B819E9}"/>
  </bookViews>
  <sheets>
    <sheet name="Cap_Prod_Oper" sheetId="1" r:id="rId1"/>
    <sheet name="Market" sheetId="3" r:id="rId2"/>
    <sheet name="Link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3" l="1"/>
  <c r="J36" i="3"/>
  <c r="D7" i="1"/>
  <c r="V27" i="1"/>
  <c r="U27" i="1"/>
  <c r="Q2" i="3"/>
  <c r="R8" i="3"/>
  <c r="Q8" i="3"/>
  <c r="R6" i="3"/>
  <c r="Q6" i="3"/>
  <c r="R4" i="3"/>
  <c r="Q4" i="3"/>
  <c r="R2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D3" i="3"/>
  <c r="E3" i="3"/>
  <c r="F3" i="3"/>
  <c r="G3" i="3"/>
  <c r="H3" i="3"/>
  <c r="I3" i="3"/>
  <c r="J3" i="3"/>
  <c r="K3" i="3"/>
  <c r="L3" i="3"/>
  <c r="M3" i="3"/>
  <c r="N3" i="3"/>
  <c r="O3" i="3"/>
  <c r="P3" i="3"/>
  <c r="C3" i="3"/>
  <c r="M51" i="3"/>
  <c r="H52" i="3"/>
  <c r="I52" i="3" s="1"/>
  <c r="J52" i="3" s="1"/>
  <c r="K52" i="3" s="1"/>
  <c r="H55" i="3"/>
  <c r="H63" i="3"/>
  <c r="G51" i="3"/>
  <c r="G52" i="3" s="1"/>
  <c r="E65" i="3"/>
  <c r="D65" i="3"/>
  <c r="E64" i="3"/>
  <c r="D64" i="3"/>
  <c r="E63" i="3"/>
  <c r="D63" i="3"/>
  <c r="F63" i="3" s="1"/>
  <c r="E62" i="3"/>
  <c r="D62" i="3"/>
  <c r="E61" i="3"/>
  <c r="D61" i="3"/>
  <c r="E60" i="3"/>
  <c r="D60" i="3"/>
  <c r="E59" i="3"/>
  <c r="D59" i="3"/>
  <c r="F59" i="3" s="1"/>
  <c r="H59" i="3" s="1"/>
  <c r="E58" i="3"/>
  <c r="D58" i="3"/>
  <c r="F58" i="3" s="1"/>
  <c r="H58" i="3" s="1"/>
  <c r="E57" i="3"/>
  <c r="D57" i="3"/>
  <c r="F57" i="3" s="1"/>
  <c r="H57" i="3" s="1"/>
  <c r="E56" i="3"/>
  <c r="D56" i="3"/>
  <c r="F56" i="3" s="1"/>
  <c r="H56" i="3" s="1"/>
  <c r="E55" i="3"/>
  <c r="D55" i="3"/>
  <c r="F55" i="3" s="1"/>
  <c r="E54" i="3"/>
  <c r="F54" i="3" s="1"/>
  <c r="H54" i="3" s="1"/>
  <c r="D54" i="3"/>
  <c r="E53" i="3"/>
  <c r="D53" i="3"/>
  <c r="E52" i="3"/>
  <c r="D52" i="3"/>
  <c r="F52" i="3" s="1"/>
  <c r="E51" i="3"/>
  <c r="D51" i="3"/>
  <c r="F51" i="3" s="1"/>
  <c r="H51" i="3" s="1"/>
  <c r="I51" i="3" s="1"/>
  <c r="J51" i="3" s="1"/>
  <c r="K51" i="3" s="1"/>
  <c r="D9" i="3"/>
  <c r="E9" i="3"/>
  <c r="F9" i="3"/>
  <c r="G9" i="3"/>
  <c r="H9" i="3"/>
  <c r="I9" i="3"/>
  <c r="J9" i="3"/>
  <c r="K9" i="3"/>
  <c r="L9" i="3"/>
  <c r="M9" i="3"/>
  <c r="N9" i="3"/>
  <c r="O9" i="3"/>
  <c r="P9" i="3"/>
  <c r="C9" i="3"/>
  <c r="D7" i="3"/>
  <c r="E7" i="3"/>
  <c r="F7" i="3"/>
  <c r="G7" i="3"/>
  <c r="H7" i="3"/>
  <c r="I7" i="3"/>
  <c r="J7" i="3"/>
  <c r="K7" i="3"/>
  <c r="L7" i="3"/>
  <c r="M7" i="3"/>
  <c r="N7" i="3"/>
  <c r="O7" i="3"/>
  <c r="P7" i="3"/>
  <c r="C7" i="3"/>
  <c r="G53" i="3" l="1"/>
  <c r="M52" i="3"/>
  <c r="F53" i="3"/>
  <c r="H53" i="3" s="1"/>
  <c r="F60" i="3"/>
  <c r="H60" i="3" s="1"/>
  <c r="F64" i="3"/>
  <c r="H64" i="3" s="1"/>
  <c r="F61" i="3"/>
  <c r="H61" i="3" s="1"/>
  <c r="F65" i="3"/>
  <c r="H65" i="3" s="1"/>
  <c r="F62" i="3"/>
  <c r="H62" i="3" s="1"/>
  <c r="M15" i="3"/>
  <c r="H16" i="3"/>
  <c r="H24" i="3"/>
  <c r="G15" i="3"/>
  <c r="G16" i="3" s="1"/>
  <c r="M16" i="3" s="1"/>
  <c r="F16" i="3"/>
  <c r="F17" i="3"/>
  <c r="H17" i="3" s="1"/>
  <c r="F24" i="3"/>
  <c r="F25" i="3"/>
  <c r="H25" i="3" s="1"/>
  <c r="F27" i="3"/>
  <c r="H27" i="3" s="1"/>
  <c r="E16" i="3"/>
  <c r="E17" i="3"/>
  <c r="E18" i="3"/>
  <c r="F18" i="3" s="1"/>
  <c r="H18" i="3" s="1"/>
  <c r="E19" i="3"/>
  <c r="E20" i="3"/>
  <c r="E21" i="3"/>
  <c r="E22" i="3"/>
  <c r="E23" i="3"/>
  <c r="E24" i="3"/>
  <c r="E25" i="3"/>
  <c r="E26" i="3"/>
  <c r="E27" i="3"/>
  <c r="E28" i="3"/>
  <c r="E29" i="3"/>
  <c r="D16" i="3"/>
  <c r="D17" i="3"/>
  <c r="D18" i="3"/>
  <c r="D19" i="3"/>
  <c r="F19" i="3" s="1"/>
  <c r="H19" i="3" s="1"/>
  <c r="D20" i="3"/>
  <c r="F20" i="3" s="1"/>
  <c r="H20" i="3" s="1"/>
  <c r="D21" i="3"/>
  <c r="F21" i="3" s="1"/>
  <c r="H21" i="3" s="1"/>
  <c r="D22" i="3"/>
  <c r="F22" i="3" s="1"/>
  <c r="H22" i="3" s="1"/>
  <c r="D23" i="3"/>
  <c r="F23" i="3" s="1"/>
  <c r="H23" i="3" s="1"/>
  <c r="D24" i="3"/>
  <c r="D25" i="3"/>
  <c r="D26" i="3"/>
  <c r="F26" i="3" s="1"/>
  <c r="H26" i="3" s="1"/>
  <c r="D27" i="3"/>
  <c r="D28" i="3"/>
  <c r="F28" i="3" s="1"/>
  <c r="H28" i="3" s="1"/>
  <c r="D29" i="3"/>
  <c r="F29" i="3" s="1"/>
  <c r="H29" i="3" s="1"/>
  <c r="E15" i="3"/>
  <c r="D15" i="3"/>
  <c r="F15" i="3" s="1"/>
  <c r="H15" i="3" s="1"/>
  <c r="I15" i="3" s="1"/>
  <c r="J15" i="3" s="1"/>
  <c r="K15" i="3" s="1"/>
  <c r="R24" i="1"/>
  <c r="R20" i="1"/>
  <c r="Q23" i="1"/>
  <c r="C23" i="1"/>
  <c r="D23" i="1"/>
  <c r="B23" i="1"/>
  <c r="Q26" i="1"/>
  <c r="Q22" i="1"/>
  <c r="C22" i="1"/>
  <c r="D22" i="1"/>
  <c r="B22" i="1"/>
  <c r="Q25" i="1"/>
  <c r="X26" i="1"/>
  <c r="V26" i="1"/>
  <c r="W26" i="1" s="1"/>
  <c r="U26" i="1"/>
  <c r="X12" i="1"/>
  <c r="X11" i="1"/>
  <c r="W11" i="1"/>
  <c r="W12" i="1"/>
  <c r="X25" i="1"/>
  <c r="W25" i="1"/>
  <c r="V25" i="1"/>
  <c r="U25" i="1"/>
  <c r="T22" i="1"/>
  <c r="U22" i="1"/>
  <c r="V23" i="1"/>
  <c r="C19" i="1"/>
  <c r="D19" i="1"/>
  <c r="B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V19" i="1"/>
  <c r="F18" i="1"/>
  <c r="G18" i="1"/>
  <c r="H18" i="1"/>
  <c r="I18" i="1"/>
  <c r="J18" i="1"/>
  <c r="K18" i="1"/>
  <c r="L18" i="1"/>
  <c r="M18" i="1"/>
  <c r="N18" i="1"/>
  <c r="O18" i="1"/>
  <c r="P18" i="1"/>
  <c r="C18" i="1"/>
  <c r="D18" i="1"/>
  <c r="B18" i="1"/>
  <c r="V18" i="1"/>
  <c r="E18" i="1" s="1"/>
  <c r="AD21" i="1"/>
  <c r="AB20" i="1"/>
  <c r="AA20" i="1"/>
  <c r="Z21" i="1" s="1"/>
  <c r="AB11" i="1"/>
  <c r="Z10" i="1" s="1"/>
  <c r="AD9" i="1"/>
  <c r="AE9" i="1" s="1"/>
  <c r="AD10" i="1"/>
  <c r="AE10" i="1" s="1"/>
  <c r="I16" i="3" l="1"/>
  <c r="J16" i="3" s="1"/>
  <c r="K16" i="3" s="1"/>
  <c r="G54" i="3"/>
  <c r="M53" i="3"/>
  <c r="I53" i="3"/>
  <c r="J53" i="3" s="1"/>
  <c r="K53" i="3" s="1"/>
  <c r="G17" i="3"/>
  <c r="U23" i="1"/>
  <c r="Q18" i="1"/>
  <c r="AC20" i="1"/>
  <c r="AD20" i="1" s="1"/>
  <c r="AE20" i="1" s="1"/>
  <c r="Z9" i="1"/>
  <c r="Z8" i="1"/>
  <c r="AC21" i="1"/>
  <c r="Z7" i="1"/>
  <c r="D14" i="1"/>
  <c r="D15" i="1"/>
  <c r="D11" i="1"/>
  <c r="D10" i="1"/>
  <c r="D5" i="1"/>
  <c r="L15" i="1"/>
  <c r="M15" i="1" s="1"/>
  <c r="K16" i="1"/>
  <c r="L16" i="1" s="1"/>
  <c r="N7" i="1"/>
  <c r="N8" i="1" s="1"/>
  <c r="N9" i="1" s="1"/>
  <c r="F4" i="1"/>
  <c r="M5" i="1"/>
  <c r="N5" i="1" s="1"/>
  <c r="J5" i="1"/>
  <c r="K5" i="1" s="1"/>
  <c r="D13" i="1"/>
  <c r="L13" i="1"/>
  <c r="M13" i="1" s="1"/>
  <c r="J6" i="1"/>
  <c r="K6" i="1" s="1"/>
  <c r="I15" i="1"/>
  <c r="D4" i="1"/>
  <c r="D9" i="1"/>
  <c r="D3" i="1"/>
  <c r="J3" i="1"/>
  <c r="G55" i="3" l="1"/>
  <c r="M54" i="3"/>
  <c r="I54" i="3"/>
  <c r="J54" i="3" s="1"/>
  <c r="K54" i="3" s="1"/>
  <c r="G18" i="3"/>
  <c r="I17" i="3"/>
  <c r="J17" i="3" s="1"/>
  <c r="K17" i="3" s="1"/>
  <c r="M17" i="3"/>
  <c r="M16" i="1"/>
  <c r="J10" i="1"/>
  <c r="I10" i="1"/>
  <c r="J8" i="1"/>
  <c r="K8" i="1" s="1"/>
  <c r="D8" i="1"/>
  <c r="J7" i="1"/>
  <c r="K7" i="1" s="1"/>
  <c r="D6" i="1"/>
  <c r="G56" i="3" l="1"/>
  <c r="M55" i="3"/>
  <c r="I55" i="3"/>
  <c r="J55" i="3" s="1"/>
  <c r="K55" i="3" s="1"/>
  <c r="G19" i="3"/>
  <c r="M18" i="3"/>
  <c r="I18" i="3"/>
  <c r="J18" i="3" s="1"/>
  <c r="K18" i="3" s="1"/>
  <c r="G57" i="3" l="1"/>
  <c r="M56" i="3"/>
  <c r="I56" i="3"/>
  <c r="J56" i="3" s="1"/>
  <c r="K56" i="3" s="1"/>
  <c r="G20" i="3"/>
  <c r="M19" i="3"/>
  <c r="I19" i="3"/>
  <c r="J19" i="3" s="1"/>
  <c r="K19" i="3" s="1"/>
  <c r="G58" i="3" l="1"/>
  <c r="M57" i="3"/>
  <c r="I57" i="3"/>
  <c r="J57" i="3" s="1"/>
  <c r="K57" i="3" s="1"/>
  <c r="G21" i="3"/>
  <c r="M20" i="3"/>
  <c r="I20" i="3"/>
  <c r="J20" i="3" s="1"/>
  <c r="K20" i="3" s="1"/>
  <c r="G59" i="3" l="1"/>
  <c r="M58" i="3"/>
  <c r="I58" i="3"/>
  <c r="J58" i="3" s="1"/>
  <c r="K58" i="3" s="1"/>
  <c r="G22" i="3"/>
  <c r="M21" i="3"/>
  <c r="I21" i="3"/>
  <c r="J21" i="3" s="1"/>
  <c r="K21" i="3" s="1"/>
  <c r="G60" i="3" l="1"/>
  <c r="M59" i="3"/>
  <c r="I59" i="3"/>
  <c r="J59" i="3" s="1"/>
  <c r="K59" i="3" s="1"/>
  <c r="G23" i="3"/>
  <c r="M22" i="3"/>
  <c r="I22" i="3"/>
  <c r="J22" i="3" s="1"/>
  <c r="K22" i="3" s="1"/>
  <c r="G61" i="3" l="1"/>
  <c r="M60" i="3"/>
  <c r="I60" i="3"/>
  <c r="J60" i="3" s="1"/>
  <c r="K60" i="3" s="1"/>
  <c r="G24" i="3"/>
  <c r="I23" i="3"/>
  <c r="J23" i="3" s="1"/>
  <c r="K23" i="3" s="1"/>
  <c r="M23" i="3"/>
  <c r="G62" i="3" l="1"/>
  <c r="M61" i="3"/>
  <c r="I61" i="3"/>
  <c r="J61" i="3" s="1"/>
  <c r="K61" i="3" s="1"/>
  <c r="G25" i="3"/>
  <c r="M24" i="3"/>
  <c r="I24" i="3"/>
  <c r="J24" i="3" s="1"/>
  <c r="K24" i="3" s="1"/>
  <c r="G63" i="3" l="1"/>
  <c r="M62" i="3"/>
  <c r="I62" i="3"/>
  <c r="J62" i="3" s="1"/>
  <c r="K62" i="3" s="1"/>
  <c r="G26" i="3"/>
  <c r="I25" i="3"/>
  <c r="J25" i="3" s="1"/>
  <c r="K25" i="3" s="1"/>
  <c r="M25" i="3"/>
  <c r="G64" i="3" l="1"/>
  <c r="M63" i="3"/>
  <c r="I63" i="3"/>
  <c r="J63" i="3" s="1"/>
  <c r="K63" i="3" s="1"/>
  <c r="G27" i="3"/>
  <c r="I26" i="3"/>
  <c r="J26" i="3" s="1"/>
  <c r="K26" i="3" s="1"/>
  <c r="M26" i="3"/>
  <c r="G65" i="3" l="1"/>
  <c r="M64" i="3"/>
  <c r="I64" i="3"/>
  <c r="J64" i="3" s="1"/>
  <c r="K64" i="3" s="1"/>
  <c r="G28" i="3"/>
  <c r="M27" i="3"/>
  <c r="I27" i="3"/>
  <c r="J27" i="3" s="1"/>
  <c r="K27" i="3" s="1"/>
  <c r="M65" i="3" l="1"/>
  <c r="I65" i="3"/>
  <c r="J65" i="3" s="1"/>
  <c r="K65" i="3" s="1"/>
  <c r="G29" i="3"/>
  <c r="M28" i="3"/>
  <c r="I28" i="3"/>
  <c r="J28" i="3" s="1"/>
  <c r="K28" i="3" s="1"/>
  <c r="I29" i="3" l="1"/>
  <c r="J29" i="3" s="1"/>
  <c r="K29" i="3" s="1"/>
  <c r="M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Hardik Malhotra</author>
  </authors>
  <commentList>
    <comment ref="B2" authorId="0" shapeId="0" xr:uid="{CB6DF026-1256-4182-9F0E-C9457929A526}">
      <text>
        <r>
          <rPr>
            <b/>
            <sz val="9"/>
            <color indexed="81"/>
            <rFont val="Tahoma"/>
            <charset val="1"/>
          </rPr>
          <t>Hardik Malhotra:</t>
        </r>
        <r>
          <rPr>
            <sz val="9"/>
            <color indexed="81"/>
            <rFont val="Tahoma"/>
            <charset val="1"/>
          </rPr>
          <t xml:space="preserve">
https://www.faidelhi.org/general/Prodn-imp-cons-fert.pdf</t>
        </r>
      </text>
    </comment>
    <comment ref="B3" authorId="0" shapeId="0" xr:uid="{0127914D-E3C9-42F9-A6A3-5B77A591821A}">
      <text>
        <r>
          <rPr>
            <b/>
            <sz val="9"/>
            <color indexed="81"/>
            <rFont val="Tahoma"/>
            <charset val="1"/>
          </rPr>
          <t>Hardik Malhotra:</t>
        </r>
        <r>
          <rPr>
            <sz val="9"/>
            <color indexed="81"/>
            <rFont val="Tahoma"/>
            <charset val="1"/>
          </rPr>
          <t xml:space="preserve">
Deepak-https://www.dfpcl.com/uploads/2022/08/Intimation-of-Investor-Meet.pdf</t>
        </r>
      </text>
    </comment>
    <comment ref="B8" authorId="0" shapeId="0" xr:uid="{7AE5B9EE-7E40-4E34-8CB6-E057E5495C7C}">
      <text>
        <r>
          <rPr>
            <b/>
            <sz val="9"/>
            <color indexed="81"/>
            <rFont val="Tahoma"/>
            <family val="2"/>
          </rPr>
          <t>Hardik Malhotra:</t>
        </r>
        <r>
          <rPr>
            <sz val="9"/>
            <color indexed="81"/>
            <rFont val="Tahoma"/>
            <family val="2"/>
          </rPr>
          <t xml:space="preserve">
Capacity- https://www.fert.nic.in/fertilizer-policy/urea-policypricing-and-administration#:~:text=At%20present%2C%20there%20are%2034,capacity%20of%20258.34%20LMT%20approx.
Demand &amp; Production- https://pib.gov.in/PressReleseDetailm.aspx?PRID=1640400</t>
        </r>
      </text>
    </comment>
  </commentList>
</comments>
</file>

<file path=xl/sharedStrings.xml><?xml version="1.0" encoding="utf-8"?>
<sst xmlns="http://schemas.openxmlformats.org/spreadsheetml/2006/main" count="161" uniqueCount="115">
  <si>
    <t>Potassium chloride fertilizer grade</t>
  </si>
  <si>
    <t>Nitric acid 68%</t>
  </si>
  <si>
    <t>Sulphuric acid IR grade</t>
  </si>
  <si>
    <t>Phosphoric acid technical grade</t>
  </si>
  <si>
    <t>Anhydrous ammonia</t>
  </si>
  <si>
    <t>Lime agricultural grade</t>
  </si>
  <si>
    <t>Urea</t>
  </si>
  <si>
    <t>Ammonium sulphate</t>
  </si>
  <si>
    <t>Zinc Sulphate</t>
  </si>
  <si>
    <t>Ferrous Sulphate</t>
  </si>
  <si>
    <t>Borax/ Boric acid</t>
  </si>
  <si>
    <t>Manganese sulphate</t>
  </si>
  <si>
    <t>Copper sulphate</t>
  </si>
  <si>
    <t>Magnesium Sulphate</t>
  </si>
  <si>
    <t xml:space="preserve">Products </t>
  </si>
  <si>
    <t>Operating Rate</t>
  </si>
  <si>
    <t xml:space="preserve">Capacity (KT) </t>
  </si>
  <si>
    <t>Production (KT)</t>
  </si>
  <si>
    <t xml:space="preserve">Topic </t>
  </si>
  <si>
    <t>Links</t>
  </si>
  <si>
    <t>https://www.fert.nic.in/fertilizer-policy/urea-policypricing-and-administration#:~:text=At%20present%2C%20there%20are%2034,capacity%20of%20258.34%20LMT%20approx.</t>
  </si>
  <si>
    <t>Urea Capacity</t>
  </si>
  <si>
    <t xml:space="preserve">Urea Production </t>
  </si>
  <si>
    <t>https://pib.gov.in/PressReleseDetailm.aspx?PRID=1640400</t>
  </si>
  <si>
    <t>Ammonia</t>
  </si>
  <si>
    <t>http://environmentclearance.nic.in/writereaddata/modification/PreviousTOR/0_0_14112014FBSGNEnvironmentClearanceCFG3.pdf</t>
  </si>
  <si>
    <t>http://environmentclearance.nic.in/writereaddata/Online/TOR/28_May_2018_121732870HPW0QYG7uploadPFR.pdf</t>
  </si>
  <si>
    <t>http://environmentclearance.nic.in/writereaddata/Form-1A/TOR/07122017GZOY1XUKtorletter.pdf</t>
  </si>
  <si>
    <t>http://environmentclearance.nic.in/writereaddata/EIA/03102018M9CYSPH5EIAGSFC.pdf</t>
  </si>
  <si>
    <t>http://environmentclearance.nic.in/writereaddata/EIA/14122020P49RWDEQEIA.pdf</t>
  </si>
  <si>
    <t>http://environmentclearance.nic.in/DownloadPfdFile.aspx?FileName=PQFlh90rp9IHEDF/KikfT+2/hDIJ34v3rmVYJIHuJmRyw3iR2EmFhyhsJEGWaO0le62jQs7z2ukEMpfOfNa4zA==&amp;FilePath=93ZZBm8LWEXfg+HAlQix2fE2t8z/pgnoBhDlYdZCxzUeqEISsDpNmaozay3MPM7v</t>
  </si>
  <si>
    <t>https://www.icis.com/explore/resources/news/2017/03/06/10085308/india-s-mcfl-shuts-down-ammonia-and-urea-plants-for-maintenance/</t>
  </si>
  <si>
    <t>https://www.mangalorechemicals.com/assets/frontend/pdfs/NGConversionProject2312020.pdf</t>
  </si>
  <si>
    <t>http://environmentclearance.nic.in/writereaddata/Online/TOR/02_Jun_2016_172356107DFRQGTJLAnnexure-PrefeasibilityReport.pdf</t>
  </si>
  <si>
    <t>http://environmentclearance.nic.in/writereaddata/modification/previousTOR/11092017ZOR3HC9GFormone11092017.pdf</t>
  </si>
  <si>
    <t>http://www.nagarjunafertilizers.com/pdfs/Annexures/Annexure%20XXVI_RAMS%20Safety%20Consultant%20Report%20for%20CFG.pdf</t>
  </si>
  <si>
    <t>http://environmentclearance.nic.in/writereaddata/Online/TOR/09_Aug_2016_1716218539GM0QS63Annexure-IVBriefSummary.pdf</t>
  </si>
  <si>
    <t>https://www.nationalfertilizers.com/index.php?option=com_content&amp;view=article&amp;id=89&amp;Itemid=437&amp;lang=en</t>
  </si>
  <si>
    <t>https://www.pdilin.com/fertilisers.php</t>
  </si>
  <si>
    <t>http://www.iffcokandla.in/data/polopoly_fs/1.2497007.1437769662!/fileserver/file/514207/filename/Aiche-38-005.pdf</t>
  </si>
  <si>
    <t>https://www.niti.gov.in/sites/default/files/2022-06/Harnessing_Green_Hydrogen_V21_DIGITAL_29062022.pdf</t>
  </si>
  <si>
    <t>https://www.faidelhi.org/general/Prodn-imp-cons-fert.pdf</t>
  </si>
  <si>
    <t xml:space="preserve">Fertiliser Association of India </t>
  </si>
  <si>
    <t>https://www.indiancooperative.com/iffco/iffco-paradeep-highest-producer-of-phosphoric-acid-globally/#:~:text=A%20world%20largest%20single%20reactor,IFFCO%20at%20its%20Paradeep%20Unit.</t>
  </si>
  <si>
    <t xml:space="preserve">Phosphoric Acid </t>
  </si>
  <si>
    <t>https://pib.gov.in/newsite/erelcontent.aspx?relid=36923#:~:text=India's%20indigenous%20production%20of%20phosphoric,constitutes%2011.7%25%20of%20global%20consumption.</t>
  </si>
  <si>
    <t>https://ibm.gov.in/writereaddata/files/11182021153017Apatite%20and%20Rock%20Phosphate_2020.pdf</t>
  </si>
  <si>
    <t>https://www.fert.nic.in/sites/default/files/2020-082022-06/Monthly%20Bulletin%20month%20of%20May%2C%202022.pdf</t>
  </si>
  <si>
    <t>https://www.business-standard.com/article/current-affairs/india-s-fertiliser-imports-rose-3-9-to-1-904-000-ton-in-january-govt-data-123022700730_1.html</t>
  </si>
  <si>
    <t>Fertilisers</t>
  </si>
  <si>
    <t>https://images.assettype.com/bloombergquint/2022-05/4a3c19d9-1f1f-4b64-95d0-a1eb12a04152/Reliance_Securities_Paradeep_Phosphates_IPO_Note.pdf</t>
  </si>
  <si>
    <t>https://geplcapital.com/ipo/62834365957b0.1652769637.Paradeep%20Phosphates%20Ltd_IPONOTE_GEPL%20(2).pdf</t>
  </si>
  <si>
    <t>Phosphoric Acid total Capacity</t>
  </si>
  <si>
    <t>https://www.google.com/search?q=GACL+capacity+of+phosphoric+acid&amp;rlz=1C1RXQR_enIN979IN979&amp;oq=GACL+capacity+of+phosphoric+acid+&amp;aqs=chrome..69i57.22530j0j7&amp;sourceid=chrome&amp;ie=UTF-8</t>
  </si>
  <si>
    <t>GACL Phosphoric Acid Capacity</t>
  </si>
  <si>
    <t>https://gacl.com/upload_files/phosphoric_acid.pdf</t>
  </si>
  <si>
    <t>GACL technical Phosphoric Acid Capacity</t>
  </si>
  <si>
    <t>Phosphoric Acid paradeep Capacity</t>
  </si>
  <si>
    <t xml:space="preserve">14% share </t>
  </si>
  <si>
    <t>https://ibm.gov.in/writereaddata/files/01282022115141Magnesite_2020.pdf</t>
  </si>
  <si>
    <t>Ammonium sulphate and urea</t>
  </si>
  <si>
    <t>https://www.fert.nic.in/sites/default/files/2020-082023-04/MX-M5050_20230421_173354.pdf</t>
  </si>
  <si>
    <t>Borax</t>
  </si>
  <si>
    <t>https://ibm.gov.in/writereaddata/files/16821574206443af6c947f1Boron_Mineral__2021.pdf</t>
  </si>
  <si>
    <t>https://giyanimetals.com/manganese</t>
  </si>
  <si>
    <t>Magnese sulphate</t>
  </si>
  <si>
    <t>https://www.manmohan-india.com/manganese-sulphate-solution/</t>
  </si>
  <si>
    <t>https://ibm.gov.in/writereaddata/files/10142020121913Copper_2019_AR.pdf</t>
  </si>
  <si>
    <t>https://www.vedantu.com/chemistry/copper-sulphate-cuso4</t>
  </si>
  <si>
    <t>Magnesite</t>
  </si>
  <si>
    <t>Manganese sulphate other than China</t>
  </si>
  <si>
    <t>Copper sulphate world consumption</t>
  </si>
  <si>
    <t>NPK 19-19-19</t>
  </si>
  <si>
    <t xml:space="preserve">West </t>
  </si>
  <si>
    <t>South</t>
  </si>
  <si>
    <t xml:space="preserve">North </t>
  </si>
  <si>
    <t>east</t>
  </si>
  <si>
    <t>East</t>
  </si>
  <si>
    <t xml:space="preserve">Total Volume (KT) </t>
  </si>
  <si>
    <t>ASP</t>
  </si>
  <si>
    <t>2022E</t>
  </si>
  <si>
    <t>2023F</t>
  </si>
  <si>
    <t>2024F</t>
  </si>
  <si>
    <t>2025F</t>
  </si>
  <si>
    <t>2026F</t>
  </si>
  <si>
    <t>2027F</t>
  </si>
  <si>
    <t>2028F</t>
  </si>
  <si>
    <t>2029F</t>
  </si>
  <si>
    <t>2030F</t>
  </si>
  <si>
    <t>2031F</t>
  </si>
  <si>
    <t>2032F</t>
  </si>
  <si>
    <t>2033F</t>
  </si>
  <si>
    <t>2034F</t>
  </si>
  <si>
    <t>2035F</t>
  </si>
  <si>
    <t xml:space="preserve">USD Million </t>
  </si>
  <si>
    <t>KT</t>
  </si>
  <si>
    <t>New Volume</t>
  </si>
  <si>
    <t>New ASP</t>
  </si>
  <si>
    <t>New Volume in KT</t>
  </si>
  <si>
    <t>New Value ( usd million )</t>
  </si>
  <si>
    <t>Y-O-Y</t>
  </si>
  <si>
    <t>USD Million</t>
  </si>
  <si>
    <t>Volume (Kilo Tonnes)</t>
  </si>
  <si>
    <t>New Volume (USD Million)</t>
  </si>
  <si>
    <t>CAGR (2021-2030)</t>
  </si>
  <si>
    <t>CAGR (2031-2035)</t>
  </si>
  <si>
    <t>Global WSF By Volume (Kilo Tonnes)</t>
  </si>
  <si>
    <t>Global WSF By Value (USD Million)</t>
  </si>
  <si>
    <t>India WSF By Volume (Kilo Tonnes)</t>
  </si>
  <si>
    <t>India WSF By Value (USD Million)</t>
  </si>
  <si>
    <t>Total Value (USD Million)</t>
  </si>
  <si>
    <t>limestone production in year 2022-23</t>
  </si>
  <si>
    <t>https://pib.gov.in/PressReleaseIframePage.aspx?PRID=1900310#:~:text=137%20thousand%20tonnes%2C%20Limestone%20355,tonnes%20and%20Diamond%2043%20carat.</t>
  </si>
  <si>
    <t>bifurcation</t>
  </si>
  <si>
    <t>https://ibm.gov.in/writereaddata/files/03202018145745Limestone_AR_2017.pdf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</si>
</sst>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0"/>
      <color theme="0"/>
      <name val="Arials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sz val="10"/>
      <name val="Calibri"/>
      <family val="2"/>
      <scheme val="minor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vertical="center"/>
    </xf>
    <xf numFmtId="0" fontId="5" fillId="2" borderId="0" xfId="0" applyFont="1" applyFill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  <xf numFmtId="10" fontId="0" fillId="0" borderId="0" xfId="1" applyNumberFormat="1" applyFont="1"/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1" fontId="4" fillId="0" borderId="1" xfId="0" applyNumberFormat="1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0" fillId="3" borderId="0" xfId="0" applyFill="1"/>
    <xf numFmtId="1" fontId="0" fillId="0" borderId="0" xfId="0" applyNumberFormat="1"/>
    <xf numFmtId="2" fontId="0" fillId="0" borderId="0" xfId="0" applyNumberFormat="1"/>
    <xf numFmtId="9" fontId="0" fillId="0" borderId="0" xfId="1" applyFont="1"/>
    <xf numFmtId="9" fontId="0" fillId="0" borderId="0" xfId="0" applyNumberFormat="1"/>
    <xf numFmtId="10" fontId="0" fillId="0" borderId="0" xfId="0" applyNumberFormat="1"/>
    <xf numFmtId="9" fontId="0" fillId="0" borderId="0" xfId="0" applyNumberFormat="1" applyAlignment="1">
      <alignment horizontal="center"/>
    </xf>
    <xf numFmtId="0" fontId="0" fillId="4" borderId="0" xfId="0" applyFill="1"/>
    <xf numFmtId="1" fontId="0" fillId="4" borderId="0" xfId="0" applyNumberFormat="1" applyFill="1"/>
    <xf numFmtId="2" fontId="9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0" fillId="5" borderId="0" xfId="0" applyFill="1"/>
    <xf numFmtId="10" fontId="0" fillId="5" borderId="0" xfId="1" applyNumberFormat="1" applyFont="1" applyFill="1"/>
    <xf numFmtId="1" fontId="9" fillId="0" borderId="1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4" fillId="2" borderId="1" xfId="0" applyFont="1" applyFill="1" applyBorder="1"/>
    <xf numFmtId="164" fontId="4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12" fillId="6" borderId="1" xfId="0" applyFont="1" applyFill="1" applyBorder="1"/>
    <xf numFmtId="10" fontId="12" fillId="0" borderId="1" xfId="1" applyNumberFormat="1" applyFont="1" applyBorder="1" applyAlignment="1">
      <alignment horizontal="center"/>
    </xf>
    <xf numFmtId="0" fontId="12" fillId="0" borderId="1" xfId="0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idelhi.org/general/Prodn-imp-cons-fe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5577-AF70-4E06-9942-10CC7A681C7D}">
  <dimension ref="A1:AE27"/>
  <sheetViews>
    <sheetView showGridLines="0" topLeftCell="A12" workbookViewId="0">
      <selection activeCell="Q21" sqref="Q21:R23"/>
    </sheetView>
  </sheetViews>
  <sheetFormatPr defaultRowHeight="15"/>
  <cols>
    <col min="1" max="1" width="32.42578125" customWidth="1"/>
    <col min="2" max="2" width="12.85546875" bestFit="1" customWidth="1"/>
    <col min="3" max="3" width="14.85546875" bestFit="1" customWidth="1"/>
    <col min="4" max="4" width="14.42578125" bestFit="1" customWidth="1"/>
    <col min="5" max="11" width="9.140625" hidden="1" customWidth="1"/>
    <col min="12" max="12" width="23.42578125" hidden="1" customWidth="1"/>
    <col min="13" max="16" width="9.140625" hidden="1" customWidth="1"/>
    <col min="18" max="18" width="22.140625" bestFit="1" customWidth="1"/>
    <col min="22" max="22" width="11" bestFit="1" customWidth="1"/>
    <col min="24" max="24" width="12" bestFit="1" customWidth="1"/>
  </cols>
  <sheetData>
    <row r="1" spans="1:31">
      <c r="A1" s="11" t="s">
        <v>14</v>
      </c>
      <c r="B1" s="12" t="s">
        <v>16</v>
      </c>
      <c r="C1" s="12" t="s">
        <v>17</v>
      </c>
      <c r="D1" s="11" t="s">
        <v>15</v>
      </c>
      <c r="I1">
        <v>8</v>
      </c>
    </row>
    <row r="2" spans="1:31">
      <c r="A2" s="13" t="s">
        <v>0</v>
      </c>
      <c r="B2" s="14">
        <v>0</v>
      </c>
      <c r="C2" s="14">
        <v>0</v>
      </c>
      <c r="D2" s="15">
        <v>0</v>
      </c>
      <c r="G2" s="18"/>
      <c r="I2">
        <v>20</v>
      </c>
    </row>
    <row r="3" spans="1:31">
      <c r="A3" s="13" t="s">
        <v>1</v>
      </c>
      <c r="B3" s="10">
        <v>1814</v>
      </c>
      <c r="C3" s="10">
        <v>1565</v>
      </c>
      <c r="D3" s="15">
        <f>C3/B3</f>
        <v>0.86273428886438808</v>
      </c>
      <c r="G3" s="18"/>
      <c r="I3">
        <v>575</v>
      </c>
      <c r="J3">
        <f>I3-I2+I1</f>
        <v>563</v>
      </c>
    </row>
    <row r="4" spans="1:31">
      <c r="A4" s="13" t="s">
        <v>2</v>
      </c>
      <c r="B4" s="10">
        <v>200</v>
      </c>
      <c r="C4" s="14">
        <v>172.67</v>
      </c>
      <c r="D4" s="16">
        <f>C4/B4</f>
        <v>0.86334999999999995</v>
      </c>
      <c r="F4" s="5">
        <f>0.65/14%</f>
        <v>4.6428571428571423</v>
      </c>
      <c r="G4" s="18"/>
    </row>
    <row r="5" spans="1:31">
      <c r="A5" s="13" t="s">
        <v>3</v>
      </c>
      <c r="B5" s="10">
        <v>220</v>
      </c>
      <c r="C5" s="10">
        <v>225</v>
      </c>
      <c r="D5" s="15">
        <f>C5/B5</f>
        <v>1.0227272727272727</v>
      </c>
      <c r="G5" s="18"/>
      <c r="I5">
        <v>0.65</v>
      </c>
      <c r="J5">
        <f>I5*10^5</f>
        <v>65000</v>
      </c>
      <c r="K5">
        <f>J5/10^3</f>
        <v>65</v>
      </c>
      <c r="M5" s="6">
        <f>65/14%</f>
        <v>464.28571428571422</v>
      </c>
      <c r="N5" s="6">
        <f>M5*100%</f>
        <v>464.28571428571422</v>
      </c>
    </row>
    <row r="6" spans="1:31">
      <c r="A6" s="13" t="s">
        <v>4</v>
      </c>
      <c r="B6" s="10">
        <v>12229</v>
      </c>
      <c r="C6" s="10">
        <v>10463</v>
      </c>
      <c r="D6" s="15">
        <f>C6/B6</f>
        <v>0.85558917327663753</v>
      </c>
      <c r="G6" s="18"/>
      <c r="I6">
        <v>24.9</v>
      </c>
      <c r="J6">
        <f>I6*10^5</f>
        <v>2490000</v>
      </c>
      <c r="K6">
        <f>J6/10^3</f>
        <v>2490</v>
      </c>
    </row>
    <row r="7" spans="1:31">
      <c r="A7" s="13" t="s">
        <v>5</v>
      </c>
      <c r="B7" s="10">
        <v>200</v>
      </c>
      <c r="C7" s="10">
        <v>178</v>
      </c>
      <c r="D7" s="16">
        <f>C7/B7</f>
        <v>0.89</v>
      </c>
      <c r="G7" s="18"/>
      <c r="I7">
        <v>258.33999999999997</v>
      </c>
      <c r="J7">
        <f>I7*10^5</f>
        <v>25833999.999999996</v>
      </c>
      <c r="K7">
        <f>J7/10^3</f>
        <v>25833.999999999996</v>
      </c>
      <c r="L7" s="17" t="s">
        <v>57</v>
      </c>
      <c r="M7">
        <v>0.3</v>
      </c>
      <c r="N7">
        <f>M7*10^3</f>
        <v>300</v>
      </c>
      <c r="Z7" s="20">
        <f>AB7/$AB$11</f>
        <v>0.2230516221147899</v>
      </c>
      <c r="AA7" t="s">
        <v>74</v>
      </c>
      <c r="AB7">
        <v>5788</v>
      </c>
    </row>
    <row r="8" spans="1:31">
      <c r="A8" s="13" t="s">
        <v>6</v>
      </c>
      <c r="B8" s="10">
        <v>25834</v>
      </c>
      <c r="C8" s="10">
        <v>28032</v>
      </c>
      <c r="D8" s="15">
        <f>C8/B8</f>
        <v>1.0850816753116048</v>
      </c>
      <c r="G8" s="18"/>
      <c r="I8">
        <v>7.45</v>
      </c>
      <c r="J8">
        <f>I8*10^5</f>
        <v>745000</v>
      </c>
      <c r="K8">
        <f>J8/10^3</f>
        <v>745</v>
      </c>
      <c r="L8" s="17" t="s">
        <v>58</v>
      </c>
      <c r="N8">
        <f>N7/14%</f>
        <v>2142.8571428571427</v>
      </c>
      <c r="Z8" s="20">
        <f t="shared" ref="Z8:Z10" si="0">AB8/$AB$11</f>
        <v>0.32472778491781046</v>
      </c>
      <c r="AA8" t="s">
        <v>73</v>
      </c>
      <c r="AB8">
        <v>8426.41</v>
      </c>
    </row>
    <row r="9" spans="1:31">
      <c r="A9" s="13" t="s">
        <v>7</v>
      </c>
      <c r="B9" s="10">
        <v>770</v>
      </c>
      <c r="C9" s="10">
        <v>745</v>
      </c>
      <c r="D9" s="15">
        <f>C9/B9</f>
        <v>0.96753246753246758</v>
      </c>
      <c r="G9" s="18"/>
      <c r="N9">
        <f>N8*0.1</f>
        <v>214.28571428571428</v>
      </c>
      <c r="Z9" s="20">
        <f t="shared" si="0"/>
        <v>0.30716921363512872</v>
      </c>
      <c r="AA9" t="s">
        <v>75</v>
      </c>
      <c r="AB9">
        <v>7970.78</v>
      </c>
      <c r="AD9">
        <f>AC10*0.6</f>
        <v>165.11999999999998</v>
      </c>
      <c r="AE9">
        <f>AD9+AB9</f>
        <v>8135.9</v>
      </c>
    </row>
    <row r="10" spans="1:31">
      <c r="A10" s="13" t="s">
        <v>8</v>
      </c>
      <c r="B10" s="10">
        <v>280</v>
      </c>
      <c r="C10" s="14">
        <v>244.98</v>
      </c>
      <c r="D10" s="15">
        <f>C10/B10</f>
        <v>0.87492857142857139</v>
      </c>
      <c r="G10" s="18"/>
      <c r="I10">
        <f>232/3</f>
        <v>77.333333333333329</v>
      </c>
      <c r="J10">
        <f>90+232</f>
        <v>322</v>
      </c>
      <c r="Z10" s="20">
        <f t="shared" si="0"/>
        <v>0.14505137933227102</v>
      </c>
      <c r="AA10" t="s">
        <v>76</v>
      </c>
      <c r="AB10">
        <v>3763.96</v>
      </c>
      <c r="AC10">
        <v>275.2</v>
      </c>
      <c r="AD10">
        <f>AC10*0.4</f>
        <v>110.08</v>
      </c>
      <c r="AE10">
        <f>AD10+AB10</f>
        <v>3874.04</v>
      </c>
    </row>
    <row r="11" spans="1:31">
      <c r="A11" s="13" t="s">
        <v>9</v>
      </c>
      <c r="B11" s="10">
        <v>130</v>
      </c>
      <c r="C11" s="14">
        <v>101.52</v>
      </c>
      <c r="D11" s="15">
        <f>C11/B11</f>
        <v>0.78092307692307694</v>
      </c>
      <c r="G11" s="18"/>
      <c r="V11">
        <v>122.07</v>
      </c>
      <c r="W11">
        <f>V11*80</f>
        <v>9765.5999999999985</v>
      </c>
      <c r="X11">
        <f>W11*10^6</f>
        <v>9765599999.9999981</v>
      </c>
      <c r="AB11">
        <f>SUM(AB7:AB10)</f>
        <v>25949.149999999998</v>
      </c>
    </row>
    <row r="12" spans="1:31">
      <c r="A12" s="13" t="s">
        <v>10</v>
      </c>
      <c r="B12" s="10">
        <v>80</v>
      </c>
      <c r="C12" s="14">
        <v>74.12</v>
      </c>
      <c r="D12" s="15">
        <v>0</v>
      </c>
      <c r="G12" s="18"/>
      <c r="I12">
        <v>200</v>
      </c>
      <c r="V12">
        <v>91.79</v>
      </c>
      <c r="W12">
        <f>V12*10^6</f>
        <v>91790000</v>
      </c>
      <c r="X12">
        <f>X11/W12</f>
        <v>106.39067436539926</v>
      </c>
    </row>
    <row r="13" spans="1:31">
      <c r="A13" s="13" t="s">
        <v>11</v>
      </c>
      <c r="B13" s="10">
        <v>60</v>
      </c>
      <c r="C13" s="10">
        <v>57</v>
      </c>
      <c r="D13" s="15">
        <f>C13/B13</f>
        <v>0.95</v>
      </c>
      <c r="G13" s="18"/>
      <c r="L13">
        <f>92+95+97+100+93</f>
        <v>477</v>
      </c>
      <c r="M13">
        <f>L13/5</f>
        <v>95.4</v>
      </c>
    </row>
    <row r="14" spans="1:31">
      <c r="A14" s="13" t="s">
        <v>12</v>
      </c>
      <c r="B14" s="10">
        <v>25</v>
      </c>
      <c r="C14" s="14">
        <v>20.97</v>
      </c>
      <c r="D14" s="15">
        <f t="shared" ref="D14:D15" si="1">C14/B14</f>
        <v>0.83879999999999999</v>
      </c>
      <c r="G14" s="18"/>
    </row>
    <row r="15" spans="1:31">
      <c r="A15" s="13" t="s">
        <v>13</v>
      </c>
      <c r="B15" s="10">
        <v>95</v>
      </c>
      <c r="C15" s="14">
        <v>83.97</v>
      </c>
      <c r="D15" s="15">
        <f t="shared" si="1"/>
        <v>0.88389473684210529</v>
      </c>
      <c r="G15" s="18"/>
      <c r="I15">
        <f>2650*330</f>
        <v>874500</v>
      </c>
      <c r="L15">
        <f>80*330</f>
        <v>26400</v>
      </c>
      <c r="M15">
        <f>L15/1000</f>
        <v>26.4</v>
      </c>
      <c r="Z15">
        <v>220.72</v>
      </c>
      <c r="AA15">
        <v>86.86</v>
      </c>
      <c r="AB15">
        <v>91.79</v>
      </c>
    </row>
    <row r="16" spans="1:31">
      <c r="K16">
        <f>800*330</f>
        <v>264000</v>
      </c>
      <c r="L16">
        <f>K16/1000</f>
        <v>264</v>
      </c>
      <c r="M16" s="7">
        <f>M15/L16</f>
        <v>9.9999999999999992E-2</v>
      </c>
      <c r="AA16">
        <v>28.2</v>
      </c>
      <c r="AB16">
        <v>29.78</v>
      </c>
    </row>
    <row r="17" spans="1:31">
      <c r="A17" s="12" t="s">
        <v>72</v>
      </c>
      <c r="B17" s="12" t="s">
        <v>73</v>
      </c>
      <c r="C17" s="12" t="s">
        <v>74</v>
      </c>
      <c r="D17" s="12" t="s">
        <v>75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 t="s">
        <v>77</v>
      </c>
      <c r="R17" s="12" t="s">
        <v>78</v>
      </c>
      <c r="AA17">
        <v>14.09</v>
      </c>
      <c r="AB17">
        <v>14.46</v>
      </c>
    </row>
    <row r="18" spans="1:31">
      <c r="A18" s="10">
        <v>2021</v>
      </c>
      <c r="B18" s="14">
        <f>$R$18*S18</f>
        <v>17.86</v>
      </c>
      <c r="C18" s="14">
        <f t="shared" ref="C18:D18" si="2">$R$18*T18</f>
        <v>11.28</v>
      </c>
      <c r="D18" s="14">
        <f t="shared" si="2"/>
        <v>12.690000000000001</v>
      </c>
      <c r="E18" s="14">
        <f t="shared" ref="E18" si="3">$R$18*V18</f>
        <v>5.169999999999999</v>
      </c>
      <c r="F18" s="14">
        <f t="shared" ref="F18" si="4">$R$18*W18</f>
        <v>0</v>
      </c>
      <c r="G18" s="14">
        <f t="shared" ref="G18" si="5">$R$18*X18</f>
        <v>0</v>
      </c>
      <c r="H18" s="14">
        <f t="shared" ref="H18" si="6">$R$18*Y18</f>
        <v>0</v>
      </c>
      <c r="I18" s="14">
        <f t="shared" ref="I18" si="7">$R$18*Z18</f>
        <v>0</v>
      </c>
      <c r="J18" s="14">
        <f t="shared" ref="J18" si="8">$R$18*AA18</f>
        <v>3183.3100000000004</v>
      </c>
      <c r="K18" s="14">
        <f t="shared" ref="K18" si="9">$R$18*AB18</f>
        <v>3324.3100000000004</v>
      </c>
      <c r="L18" s="14">
        <f t="shared" ref="L18" si="10">$R$18*AC18</f>
        <v>0</v>
      </c>
      <c r="M18" s="14">
        <f t="shared" ref="M18" si="11">$R$18*AD18</f>
        <v>0</v>
      </c>
      <c r="N18" s="14">
        <f t="shared" ref="N18" si="12">$R$18*AE18</f>
        <v>0</v>
      </c>
      <c r="O18" s="14">
        <f t="shared" ref="O18" si="13">$R$18*AF18</f>
        <v>0</v>
      </c>
      <c r="P18" s="14">
        <f t="shared" ref="P18" si="14">$R$18*AG18</f>
        <v>0</v>
      </c>
      <c r="Q18" s="14">
        <f>R18*V18</f>
        <v>5.169999999999999</v>
      </c>
      <c r="R18" s="14">
        <v>47</v>
      </c>
      <c r="S18" s="21">
        <v>0.38</v>
      </c>
      <c r="T18" s="21">
        <v>0.24</v>
      </c>
      <c r="U18" s="21">
        <v>0.27</v>
      </c>
      <c r="V18" s="22">
        <f>1-SUM(S18:U18)</f>
        <v>0.10999999999999999</v>
      </c>
      <c r="AA18">
        <v>67.73</v>
      </c>
      <c r="AB18">
        <v>70.73</v>
      </c>
    </row>
    <row r="19" spans="1:31">
      <c r="A19" s="10">
        <v>2022</v>
      </c>
      <c r="B19" s="14">
        <f>$R$19*S19</f>
        <v>27.523200000000003</v>
      </c>
      <c r="C19" s="14">
        <f t="shared" ref="C19:D19" si="15">$R$19*T19</f>
        <v>17.443560000000002</v>
      </c>
      <c r="D19" s="14">
        <f t="shared" si="15"/>
        <v>20.803440000000002</v>
      </c>
      <c r="E19" s="14">
        <f t="shared" ref="E19" si="16">$R$18*V19</f>
        <v>4.7704999999999966</v>
      </c>
      <c r="F19" s="14">
        <f t="shared" ref="F19" si="17">$R$18*W19</f>
        <v>0</v>
      </c>
      <c r="G19" s="14">
        <f t="shared" ref="G19" si="18">$R$18*X19</f>
        <v>0</v>
      </c>
      <c r="H19" s="14">
        <f t="shared" ref="H19" si="19">$R$18*Y19</f>
        <v>0</v>
      </c>
      <c r="I19" s="14">
        <f t="shared" ref="I19" si="20">$R$18*Z19</f>
        <v>0</v>
      </c>
      <c r="J19" s="14">
        <f t="shared" ref="J19" si="21">$R$18*AA19</f>
        <v>1120.48</v>
      </c>
      <c r="K19" s="14">
        <f t="shared" ref="K19" si="22">$R$18*AB19</f>
        <v>1197.56</v>
      </c>
      <c r="L19" s="14">
        <f t="shared" ref="L19" si="23">$R$18*AC19</f>
        <v>0</v>
      </c>
      <c r="M19" s="14">
        <f t="shared" ref="M19" si="24">$R$18*AD19</f>
        <v>0</v>
      </c>
      <c r="N19" s="14">
        <f t="shared" ref="N19" si="25">$R$18*AE19</f>
        <v>0</v>
      </c>
      <c r="O19" s="14">
        <f t="shared" ref="O19" si="26">$R$18*AF19</f>
        <v>0</v>
      </c>
      <c r="P19" s="14">
        <f t="shared" ref="P19" si="27">$R$18*AG19</f>
        <v>0</v>
      </c>
      <c r="Q19" s="14">
        <f>R19*V19</f>
        <v>7.4297999999999949</v>
      </c>
      <c r="R19" s="14">
        <v>73.2</v>
      </c>
      <c r="S19" s="21">
        <v>0.376</v>
      </c>
      <c r="T19" s="21">
        <v>0.23830000000000001</v>
      </c>
      <c r="U19" s="21">
        <v>0.28420000000000001</v>
      </c>
      <c r="V19" s="21">
        <f>1-SUM(S19:U19)</f>
        <v>0.10149999999999992</v>
      </c>
      <c r="AA19">
        <v>23.84</v>
      </c>
      <c r="AB19">
        <v>25.48</v>
      </c>
    </row>
    <row r="20" spans="1:31">
      <c r="R20" s="20">
        <f>R19/R18-1</f>
        <v>0.55744680851063833</v>
      </c>
      <c r="AA20">
        <f>SUM(AA15:AA19)</f>
        <v>220.72</v>
      </c>
      <c r="AB20">
        <f>SUM(AB15:AB19)</f>
        <v>232.23999999999998</v>
      </c>
      <c r="AC20" s="20">
        <f>AB20/AA20-1</f>
        <v>5.2192823486770568E-2</v>
      </c>
      <c r="AD20" s="21">
        <f>AC20+AD21</f>
        <v>0.26552615682010394</v>
      </c>
      <c r="AE20">
        <f>AD20/2</f>
        <v>0.13276307841005197</v>
      </c>
    </row>
    <row r="21" spans="1:31">
      <c r="A21" s="12" t="s">
        <v>72</v>
      </c>
      <c r="B21" s="12" t="s">
        <v>73</v>
      </c>
      <c r="C21" s="12" t="s">
        <v>74</v>
      </c>
      <c r="D21" s="12" t="s">
        <v>75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 t="s">
        <v>77</v>
      </c>
      <c r="R21" s="12" t="s">
        <v>110</v>
      </c>
      <c r="Z21">
        <f>AA21-AA20</f>
        <v>79.28</v>
      </c>
      <c r="AA21">
        <v>300</v>
      </c>
      <c r="AB21">
        <v>364</v>
      </c>
      <c r="AC21">
        <f>AB21-AB20</f>
        <v>131.76000000000002</v>
      </c>
      <c r="AD21" s="20">
        <f>AB21/AA21-1</f>
        <v>0.21333333333333337</v>
      </c>
    </row>
    <row r="22" spans="1:31">
      <c r="A22" s="10">
        <v>2021</v>
      </c>
      <c r="B22" s="14">
        <f>$R$22*B25</f>
        <v>25.804437214541601</v>
      </c>
      <c r="C22" s="14">
        <f t="shared" ref="C22:D22" si="28">$R$22*C25</f>
        <v>18.353351818512799</v>
      </c>
      <c r="D22" s="14">
        <f t="shared" si="28"/>
        <v>18.923735293596401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9">
        <f>R22*Q25</f>
        <v>9.1189155573492062</v>
      </c>
      <c r="R22" s="9">
        <v>72.200439884000005</v>
      </c>
      <c r="S22" s="24" t="s">
        <v>79</v>
      </c>
      <c r="T22" s="25">
        <f>U22-(U22*5.27%)</f>
        <v>122.89436576</v>
      </c>
      <c r="U22" s="25">
        <f>V22-(V22*8.64%)</f>
        <v>129.7312</v>
      </c>
      <c r="V22" s="24">
        <v>142</v>
      </c>
    </row>
    <row r="23" spans="1:31">
      <c r="A23" s="10">
        <v>2022</v>
      </c>
      <c r="B23" s="14">
        <f>B26*$R$23</f>
        <v>42.044973801600001</v>
      </c>
      <c r="C23" s="14">
        <f t="shared" ref="C23:D23" si="29">C26*$R$23</f>
        <v>30.340754668799999</v>
      </c>
      <c r="D23" s="14">
        <f t="shared" si="29"/>
        <v>30.7087372176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>
        <f>R23*Q26</f>
        <v>15.609582311999993</v>
      </c>
      <c r="R23" s="9">
        <v>118.704048</v>
      </c>
      <c r="U23" s="20">
        <f>U22/T22-1</f>
        <v>5.5631795629684344E-2</v>
      </c>
      <c r="V23" s="20">
        <f>V22/U22-1</f>
        <v>9.4570928196147097E-2</v>
      </c>
    </row>
    <row r="24" spans="1:31">
      <c r="R24" s="20">
        <f>R23/R22-1</f>
        <v>0.64409037106580613</v>
      </c>
      <c r="T24">
        <v>110</v>
      </c>
      <c r="U24">
        <v>125</v>
      </c>
    </row>
    <row r="25" spans="1:31">
      <c r="B25" s="4">
        <v>0.3574</v>
      </c>
      <c r="C25" s="4">
        <v>0.25419999999999998</v>
      </c>
      <c r="D25" s="4">
        <v>0.2621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3">
        <f>1-SUM(B25:D25)</f>
        <v>0.12630000000000008</v>
      </c>
      <c r="U25">
        <f>R18*10^6</f>
        <v>47000000</v>
      </c>
      <c r="V25">
        <f>U25*T22</f>
        <v>5776035190.7200003</v>
      </c>
      <c r="W25">
        <f>V25/80</f>
        <v>72200439.884000003</v>
      </c>
      <c r="X25">
        <f>W25/10^6</f>
        <v>72.200439884000005</v>
      </c>
    </row>
    <row r="26" spans="1:31">
      <c r="B26" s="4">
        <v>0.35420000000000001</v>
      </c>
      <c r="C26" s="4">
        <v>0.25559999999999999</v>
      </c>
      <c r="D26" s="4">
        <v>0.25869999999999999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3">
        <f>1-SUM(B26:D26)</f>
        <v>0.13149999999999995</v>
      </c>
      <c r="U26">
        <f>R19*10^6</f>
        <v>73200000</v>
      </c>
      <c r="V26">
        <f>U26*U22</f>
        <v>9496323840</v>
      </c>
      <c r="W26">
        <f>V26/80</f>
        <v>118704048</v>
      </c>
      <c r="X26">
        <f>W26/10^6</f>
        <v>118.704048</v>
      </c>
    </row>
    <row r="27" spans="1:31">
      <c r="U27">
        <f>122*80</f>
        <v>9760</v>
      </c>
      <c r="V27">
        <f>U27*10^6</f>
        <v>9760000000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4B1F-51B8-496E-93A9-4570DD0A56F8}">
  <dimension ref="A1:R82"/>
  <sheetViews>
    <sheetView showGridLines="0" tabSelected="1" topLeftCell="E1" zoomScale="95" workbookViewId="0">
      <selection activeCell="M18" sqref="M18"/>
    </sheetView>
  </sheetViews>
  <sheetFormatPr defaultRowHeight="15"/>
  <cols>
    <col min="1" max="1" width="37.42578125" bestFit="1" customWidth="1"/>
    <col min="2" max="2" width="12" bestFit="1" customWidth="1"/>
    <col min="3" max="3" width="11.140625" bestFit="1" customWidth="1"/>
    <col min="4" max="4" width="12.28515625" bestFit="1" customWidth="1"/>
    <col min="5" max="6" width="11.140625" bestFit="1" customWidth="1"/>
    <col min="7" max="7" width="12.85546875" bestFit="1" customWidth="1"/>
    <col min="8" max="8" width="11.140625" bestFit="1" customWidth="1"/>
    <col min="9" max="9" width="12.28515625" bestFit="1" customWidth="1"/>
    <col min="10" max="10" width="14.28515625" customWidth="1"/>
    <col min="11" max="11" width="12.28515625" bestFit="1" customWidth="1"/>
    <col min="12" max="15" width="11.140625" bestFit="1" customWidth="1"/>
    <col min="16" max="16" width="12.140625" bestFit="1" customWidth="1"/>
    <col min="17" max="18" width="17.5703125" bestFit="1" customWidth="1"/>
  </cols>
  <sheetData>
    <row r="1" spans="1:18">
      <c r="A1" s="34"/>
      <c r="B1" s="11">
        <v>2021</v>
      </c>
      <c r="C1" s="11">
        <v>2022</v>
      </c>
      <c r="D1" s="11">
        <v>2023</v>
      </c>
      <c r="E1" s="11">
        <v>2024</v>
      </c>
      <c r="F1" s="11">
        <v>2025</v>
      </c>
      <c r="G1" s="11">
        <v>2026</v>
      </c>
      <c r="H1" s="11">
        <v>2027</v>
      </c>
      <c r="I1" s="11">
        <v>2028</v>
      </c>
      <c r="J1" s="11">
        <v>2029</v>
      </c>
      <c r="K1" s="11">
        <v>2030</v>
      </c>
      <c r="L1" s="11">
        <v>2031</v>
      </c>
      <c r="M1" s="11">
        <v>2032</v>
      </c>
      <c r="N1" s="11">
        <v>2033</v>
      </c>
      <c r="O1" s="11">
        <v>2034</v>
      </c>
      <c r="P1" s="11">
        <v>2035</v>
      </c>
      <c r="Q1" s="38" t="s">
        <v>104</v>
      </c>
      <c r="R1" s="38" t="s">
        <v>105</v>
      </c>
    </row>
    <row r="2" spans="1:18">
      <c r="A2" s="40" t="s">
        <v>106</v>
      </c>
      <c r="B2" s="35">
        <v>4437.92</v>
      </c>
      <c r="C2" s="35">
        <v>4694.59</v>
      </c>
      <c r="D2" s="35">
        <v>4953.07</v>
      </c>
      <c r="E2" s="35">
        <v>5253.04</v>
      </c>
      <c r="F2" s="35">
        <v>5578.62</v>
      </c>
      <c r="G2" s="35">
        <v>5912.39</v>
      </c>
      <c r="H2" s="35">
        <v>6266.76</v>
      </c>
      <c r="I2" s="35">
        <v>6631.73</v>
      </c>
      <c r="J2" s="35">
        <v>7025.57</v>
      </c>
      <c r="K2" s="35">
        <v>7405.41</v>
      </c>
      <c r="L2" s="35">
        <v>7811.65</v>
      </c>
      <c r="M2" s="35">
        <v>8201.59</v>
      </c>
      <c r="N2" s="35">
        <v>8579.4</v>
      </c>
      <c r="O2" s="35">
        <v>8976.7199999999993</v>
      </c>
      <c r="P2" s="35">
        <v>9357.35</v>
      </c>
      <c r="Q2" s="39">
        <f>(K2/B2)^(1/9)-1</f>
        <v>5.8541130773242189E-2</v>
      </c>
      <c r="R2" s="39">
        <f>(P2/L2)^(1/4)-1</f>
        <v>4.6170631952562102E-2</v>
      </c>
    </row>
    <row r="3" spans="1:18">
      <c r="A3" s="13"/>
      <c r="B3" s="13"/>
      <c r="C3" s="36">
        <f>C2/B2-1</f>
        <v>5.7835652738219778E-2</v>
      </c>
      <c r="D3" s="36">
        <f t="shared" ref="D3:P3" si="0">D2/C2-1</f>
        <v>5.5059121243814513E-2</v>
      </c>
      <c r="E3" s="36">
        <f t="shared" si="0"/>
        <v>6.0562439052951111E-2</v>
      </c>
      <c r="F3" s="36">
        <f t="shared" si="0"/>
        <v>6.1979349100711234E-2</v>
      </c>
      <c r="G3" s="36">
        <f t="shared" si="0"/>
        <v>5.9830208904711357E-2</v>
      </c>
      <c r="H3" s="36">
        <f t="shared" si="0"/>
        <v>5.9936844490975805E-2</v>
      </c>
      <c r="I3" s="36">
        <f t="shared" si="0"/>
        <v>5.8239026227268953E-2</v>
      </c>
      <c r="J3" s="36">
        <f t="shared" si="0"/>
        <v>5.9387218719700652E-2</v>
      </c>
      <c r="K3" s="36">
        <f t="shared" si="0"/>
        <v>5.4065364091454571E-2</v>
      </c>
      <c r="L3" s="36">
        <f t="shared" si="0"/>
        <v>5.4857192241887898E-2</v>
      </c>
      <c r="M3" s="36">
        <f t="shared" si="0"/>
        <v>4.9917751051314463E-2</v>
      </c>
      <c r="N3" s="36">
        <f t="shared" si="0"/>
        <v>4.6065458039233897E-2</v>
      </c>
      <c r="O3" s="36">
        <f t="shared" si="0"/>
        <v>4.6310930834324138E-2</v>
      </c>
      <c r="P3" s="36">
        <f t="shared" si="0"/>
        <v>4.2401901808232889E-2</v>
      </c>
      <c r="Q3" s="33"/>
      <c r="R3" s="33"/>
    </row>
    <row r="4" spans="1:18">
      <c r="A4" s="40" t="s">
        <v>107</v>
      </c>
      <c r="B4" s="37">
        <v>3600.67</v>
      </c>
      <c r="C4" s="37">
        <v>3780.7</v>
      </c>
      <c r="D4" s="37">
        <v>3979.57</v>
      </c>
      <c r="E4" s="37">
        <v>4197.6499999999996</v>
      </c>
      <c r="F4" s="37">
        <v>4439.01</v>
      </c>
      <c r="G4" s="37">
        <v>4688.93</v>
      </c>
      <c r="H4" s="37">
        <v>4946.82</v>
      </c>
      <c r="I4" s="37">
        <v>5211.4799999999996</v>
      </c>
      <c r="J4" s="37">
        <v>5480.91</v>
      </c>
      <c r="K4" s="37">
        <v>5751.67</v>
      </c>
      <c r="L4" s="37">
        <v>6028.32</v>
      </c>
      <c r="M4" s="37">
        <v>6302.01</v>
      </c>
      <c r="N4" s="37">
        <v>6576.14</v>
      </c>
      <c r="O4" s="37">
        <v>6849.71</v>
      </c>
      <c r="P4" s="37">
        <v>7124.39</v>
      </c>
      <c r="Q4" s="39">
        <f>(K4/B4)^(1/9)-1</f>
        <v>5.3419084920648174E-2</v>
      </c>
      <c r="R4" s="39">
        <f>(P4/L4)^(1/4)-1</f>
        <v>4.26483178338668E-2</v>
      </c>
    </row>
    <row r="5" spans="1:18">
      <c r="A5" s="13"/>
      <c r="B5" s="13"/>
      <c r="C5" s="36">
        <f>C4/B4-1</f>
        <v>4.9999027958685494E-2</v>
      </c>
      <c r="D5" s="36">
        <f t="shared" ref="D5" si="1">D4/C4-1</f>
        <v>5.260137011664523E-2</v>
      </c>
      <c r="E5" s="36">
        <f t="shared" ref="E5" si="2">E4/D4-1</f>
        <v>5.4799890440424326E-2</v>
      </c>
      <c r="F5" s="36">
        <f t="shared" ref="F5" si="3">F4/E4-1</f>
        <v>5.749883863590366E-2</v>
      </c>
      <c r="G5" s="36">
        <f t="shared" ref="G5" si="4">G4/F4-1</f>
        <v>5.6300841854377559E-2</v>
      </c>
      <c r="H5" s="36">
        <f t="shared" ref="H5" si="5">H4/G4-1</f>
        <v>5.4999754741486662E-2</v>
      </c>
      <c r="I5" s="36">
        <f t="shared" ref="I5" si="6">I4/H4-1</f>
        <v>5.350103702984943E-2</v>
      </c>
      <c r="J5" s="36">
        <f t="shared" ref="J5" si="7">J4/I4-1</f>
        <v>5.1699325335605284E-2</v>
      </c>
      <c r="K5" s="36">
        <f t="shared" ref="K5" si="8">K4/J4-1</f>
        <v>4.9400555747129538E-2</v>
      </c>
      <c r="L5" s="36">
        <f t="shared" ref="L5" si="9">L4/K4-1</f>
        <v>4.8099073834208195E-2</v>
      </c>
      <c r="M5" s="36">
        <f t="shared" ref="M5" si="10">M4/L4-1</f>
        <v>4.5400708655147781E-2</v>
      </c>
      <c r="N5" s="36">
        <f t="shared" ref="N5" si="11">N4/M4-1</f>
        <v>4.3498820217676704E-2</v>
      </c>
      <c r="O5" s="36">
        <f t="shared" ref="O5" si="12">O4/N4-1</f>
        <v>4.1600391719154306E-2</v>
      </c>
      <c r="P5" s="36">
        <f t="shared" ref="P5" si="13">P4/O4-1</f>
        <v>4.0100967778198049E-2</v>
      </c>
      <c r="Q5" s="33"/>
      <c r="R5" s="33"/>
    </row>
    <row r="6" spans="1:18">
      <c r="A6" s="40" t="s">
        <v>108</v>
      </c>
      <c r="B6" s="35">
        <v>300.33999999999997</v>
      </c>
      <c r="C6" s="35">
        <v>314.76</v>
      </c>
      <c r="D6" s="35">
        <v>331.09</v>
      </c>
      <c r="E6" s="35">
        <v>349.7</v>
      </c>
      <c r="F6" s="35">
        <v>370.47</v>
      </c>
      <c r="G6" s="35">
        <v>393.55</v>
      </c>
      <c r="H6" s="35">
        <v>418.78</v>
      </c>
      <c r="I6" s="35">
        <v>444.53</v>
      </c>
      <c r="J6" s="35">
        <v>470.76</v>
      </c>
      <c r="K6" s="35">
        <v>498.16</v>
      </c>
      <c r="L6" s="35">
        <v>526.70000000000005</v>
      </c>
      <c r="M6" s="35">
        <v>555.66999999999996</v>
      </c>
      <c r="N6" s="35">
        <v>585.46</v>
      </c>
      <c r="O6" s="35">
        <v>616.02</v>
      </c>
      <c r="P6" s="35">
        <v>647.37</v>
      </c>
      <c r="Q6" s="39">
        <f>(K6/B6)^(1/9)-1</f>
        <v>5.7833453743635799E-2</v>
      </c>
      <c r="R6" s="39">
        <f>(P6/L6)^(1/4)-1</f>
        <v>5.2924697955395672E-2</v>
      </c>
    </row>
    <row r="7" spans="1:18">
      <c r="A7" s="13"/>
      <c r="B7" s="13"/>
      <c r="C7" s="36">
        <f>C6/B6-1</f>
        <v>4.8012252780182507E-2</v>
      </c>
      <c r="D7" s="36">
        <f t="shared" ref="D7:P7" si="14">D6/C6-1</f>
        <v>5.1880798068369538E-2</v>
      </c>
      <c r="E7" s="36">
        <f t="shared" si="14"/>
        <v>5.6208281736083832E-2</v>
      </c>
      <c r="F7" s="36">
        <f t="shared" si="14"/>
        <v>5.939376608521596E-2</v>
      </c>
      <c r="G7" s="36">
        <f t="shared" si="14"/>
        <v>6.2299241504035319E-2</v>
      </c>
      <c r="H7" s="36">
        <f t="shared" si="14"/>
        <v>6.4108753652648787E-2</v>
      </c>
      <c r="I7" s="36">
        <f t="shared" si="14"/>
        <v>6.1488132193514566E-2</v>
      </c>
      <c r="J7" s="36">
        <f t="shared" si="14"/>
        <v>5.9006141317796468E-2</v>
      </c>
      <c r="K7" s="36">
        <f t="shared" si="14"/>
        <v>5.8203755629195442E-2</v>
      </c>
      <c r="L7" s="36">
        <f t="shared" si="14"/>
        <v>5.7290830255339653E-2</v>
      </c>
      <c r="M7" s="36">
        <f t="shared" si="14"/>
        <v>5.5002847921017395E-2</v>
      </c>
      <c r="N7" s="36">
        <f t="shared" si="14"/>
        <v>5.3610956143034683E-2</v>
      </c>
      <c r="O7" s="36">
        <f t="shared" si="14"/>
        <v>5.2198271444675814E-2</v>
      </c>
      <c r="P7" s="36">
        <f t="shared" si="14"/>
        <v>5.0891204831011949E-2</v>
      </c>
      <c r="Q7" s="33"/>
      <c r="R7" s="33"/>
    </row>
    <row r="8" spans="1:18">
      <c r="A8" s="40" t="s">
        <v>109</v>
      </c>
      <c r="B8" s="35">
        <v>451.15</v>
      </c>
      <c r="C8" s="35">
        <v>473.12</v>
      </c>
      <c r="D8" s="35">
        <v>500.65</v>
      </c>
      <c r="E8" s="35">
        <v>532.29</v>
      </c>
      <c r="F8" s="35">
        <v>564.76</v>
      </c>
      <c r="G8" s="35">
        <v>602.97</v>
      </c>
      <c r="H8" s="35">
        <v>643.09</v>
      </c>
      <c r="I8" s="35">
        <v>685.53</v>
      </c>
      <c r="J8" s="35">
        <v>730.68</v>
      </c>
      <c r="K8" s="35">
        <v>778.19</v>
      </c>
      <c r="L8" s="35">
        <v>824.94</v>
      </c>
      <c r="M8" s="35">
        <v>873.59</v>
      </c>
      <c r="N8" s="35">
        <v>920.41</v>
      </c>
      <c r="O8" s="35">
        <v>974.62</v>
      </c>
      <c r="P8" s="35">
        <v>1024.22</v>
      </c>
      <c r="Q8" s="39">
        <f>(K8/B8)^(1/9)-1</f>
        <v>6.2446786080612382E-2</v>
      </c>
      <c r="R8" s="39">
        <f>(P8/L8)^(1/4)-1</f>
        <v>5.5583814416249488E-2</v>
      </c>
    </row>
    <row r="9" spans="1:18">
      <c r="A9" s="13"/>
      <c r="B9" s="13"/>
      <c r="C9" s="36">
        <f>C8/B8-1</f>
        <v>4.869777235952566E-2</v>
      </c>
      <c r="D9" s="36">
        <f t="shared" ref="D9:P9" si="15">D8/C8-1</f>
        <v>5.8188197497463623E-2</v>
      </c>
      <c r="E9" s="36">
        <f t="shared" si="15"/>
        <v>6.3197842804354254E-2</v>
      </c>
      <c r="F9" s="36">
        <f t="shared" si="15"/>
        <v>6.1000582389299174E-2</v>
      </c>
      <c r="G9" s="36">
        <f t="shared" si="15"/>
        <v>6.7657057865287973E-2</v>
      </c>
      <c r="H9" s="36">
        <f t="shared" si="15"/>
        <v>6.653730699703142E-2</v>
      </c>
      <c r="I9" s="36">
        <f t="shared" si="15"/>
        <v>6.5993873330326913E-2</v>
      </c>
      <c r="J9" s="36">
        <f t="shared" si="15"/>
        <v>6.5861450264758536E-2</v>
      </c>
      <c r="K9" s="36">
        <f t="shared" si="15"/>
        <v>6.5021623692998354E-2</v>
      </c>
      <c r="L9" s="36">
        <f t="shared" si="15"/>
        <v>6.0075302946581255E-2</v>
      </c>
      <c r="M9" s="36">
        <f t="shared" si="15"/>
        <v>5.8973985986859656E-2</v>
      </c>
      <c r="N9" s="36">
        <f t="shared" si="15"/>
        <v>5.3594935839466951E-2</v>
      </c>
      <c r="O9" s="36">
        <f t="shared" si="15"/>
        <v>5.8897665170956515E-2</v>
      </c>
      <c r="P9" s="36">
        <f t="shared" si="15"/>
        <v>5.0891629558186713E-2</v>
      </c>
      <c r="Q9" s="33"/>
      <c r="R9" s="33"/>
    </row>
    <row r="10" spans="1:18">
      <c r="B10" t="s">
        <v>94</v>
      </c>
      <c r="C10" t="s">
        <v>95</v>
      </c>
    </row>
    <row r="11" spans="1:18">
      <c r="A11" s="27">
        <v>2017</v>
      </c>
      <c r="B11" s="26">
        <v>290.01</v>
      </c>
      <c r="C11" s="19">
        <v>193.34000000000003</v>
      </c>
    </row>
    <row r="12" spans="1:18">
      <c r="A12" s="27">
        <v>2018</v>
      </c>
      <c r="B12" s="26">
        <v>304.6123</v>
      </c>
      <c r="C12" s="19">
        <v>201.73000000000002</v>
      </c>
    </row>
    <row r="13" spans="1:18">
      <c r="A13" s="27">
        <v>2019</v>
      </c>
      <c r="B13" s="26">
        <v>319.41140000000001</v>
      </c>
      <c r="C13" s="19">
        <v>207.41</v>
      </c>
    </row>
    <row r="14" spans="1:18">
      <c r="A14" s="27">
        <v>2020</v>
      </c>
      <c r="B14" s="26">
        <v>321.27380000000005</v>
      </c>
      <c r="C14" s="19">
        <v>215.62000000000003</v>
      </c>
      <c r="G14" t="s">
        <v>96</v>
      </c>
      <c r="H14" t="s">
        <v>97</v>
      </c>
      <c r="K14" t="s">
        <v>99</v>
      </c>
      <c r="L14" s="1" t="s">
        <v>100</v>
      </c>
      <c r="M14" t="s">
        <v>98</v>
      </c>
    </row>
    <row r="15" spans="1:18">
      <c r="A15" s="27">
        <v>2021</v>
      </c>
      <c r="B15" s="26">
        <v>335.49439999999998</v>
      </c>
      <c r="C15" s="19">
        <v>220.72</v>
      </c>
      <c r="D15">
        <f>B15*10^6*80</f>
        <v>26839552000</v>
      </c>
      <c r="E15">
        <f>C15*10^6</f>
        <v>220720000</v>
      </c>
      <c r="F15">
        <f>D15/E15</f>
        <v>121.6</v>
      </c>
      <c r="G15">
        <f>300.34*10^6</f>
        <v>300340000</v>
      </c>
      <c r="H15" s="28">
        <f>F15-1.43</f>
        <v>120.16999999999999</v>
      </c>
      <c r="I15">
        <f>H15*G15</f>
        <v>36091857800</v>
      </c>
      <c r="J15">
        <f>I15/80</f>
        <v>451148222.5</v>
      </c>
      <c r="K15" s="28">
        <f>J15/10^6</f>
        <v>451.14822249999997</v>
      </c>
      <c r="M15" s="28">
        <f>G15/10^6</f>
        <v>300.33999999999997</v>
      </c>
    </row>
    <row r="16" spans="1:18">
      <c r="A16" s="27" t="s">
        <v>80</v>
      </c>
      <c r="B16" s="26">
        <v>353.23944926399997</v>
      </c>
      <c r="C16" s="19">
        <v>232.24158399999996</v>
      </c>
      <c r="D16">
        <f t="shared" ref="D16:D29" si="16">B16*10^6*80</f>
        <v>28259155941.119999</v>
      </c>
      <c r="E16">
        <f t="shared" ref="E16:E29" si="17">C16*10^6</f>
        <v>232241583.99999997</v>
      </c>
      <c r="F16">
        <f t="shared" ref="F16:F29" si="18">D16/E16</f>
        <v>121.68</v>
      </c>
      <c r="G16">
        <f>G15+(L16*G15)</f>
        <v>314756320</v>
      </c>
      <c r="H16" s="28">
        <f t="shared" ref="H16:H29" si="19">F16-1.43</f>
        <v>120.25</v>
      </c>
      <c r="I16">
        <f t="shared" ref="I16:I29" si="20">H16*G16</f>
        <v>37849447480</v>
      </c>
      <c r="J16">
        <f t="shared" ref="J16:J29" si="21">I16/80</f>
        <v>473118093.5</v>
      </c>
      <c r="K16" s="28">
        <f t="shared" ref="K16:K29" si="22">J16/10^6</f>
        <v>473.11809349999999</v>
      </c>
      <c r="L16" s="29">
        <v>4.8000000000000001E-2</v>
      </c>
      <c r="M16" s="28">
        <f t="shared" ref="M16:M29" si="23">G16/10^6</f>
        <v>314.75632000000002</v>
      </c>
      <c r="N16" s="22"/>
    </row>
    <row r="17" spans="1:14">
      <c r="A17" s="27" t="s">
        <v>81</v>
      </c>
      <c r="B17" s="26">
        <v>375.26361539947197</v>
      </c>
      <c r="C17" s="19">
        <v>245.27033686239997</v>
      </c>
      <c r="D17">
        <f t="shared" si="16"/>
        <v>30021089231.95776</v>
      </c>
      <c r="E17">
        <f t="shared" si="17"/>
        <v>245270336.86239997</v>
      </c>
      <c r="F17">
        <f t="shared" si="18"/>
        <v>122.40000000000002</v>
      </c>
      <c r="G17">
        <f t="shared" ref="G17:G29" si="24">G16+(L17*G16)</f>
        <v>331092173.00800002</v>
      </c>
      <c r="H17" s="28">
        <f t="shared" si="19"/>
        <v>120.97000000000001</v>
      </c>
      <c r="I17">
        <f t="shared" si="20"/>
        <v>40052220168.777763</v>
      </c>
      <c r="J17">
        <f t="shared" si="21"/>
        <v>500652752.10972202</v>
      </c>
      <c r="K17" s="28">
        <f t="shared" si="22"/>
        <v>500.65275210972203</v>
      </c>
      <c r="L17" s="29">
        <v>5.1900000000000002E-2</v>
      </c>
      <c r="M17" s="28">
        <f t="shared" si="23"/>
        <v>331.09217300800003</v>
      </c>
      <c r="N17" s="22"/>
    </row>
    <row r="18" spans="1:14">
      <c r="A18" s="27" t="s">
        <v>82</v>
      </c>
      <c r="B18" s="26">
        <v>400.53038442168901</v>
      </c>
      <c r="C18" s="19">
        <v>260.08466520888896</v>
      </c>
      <c r="D18">
        <f t="shared" si="16"/>
        <v>32042430753.735123</v>
      </c>
      <c r="E18">
        <f t="shared" si="17"/>
        <v>260084665.20888898</v>
      </c>
      <c r="F18">
        <f t="shared" si="18"/>
        <v>123.2</v>
      </c>
      <c r="G18">
        <f t="shared" si="24"/>
        <v>349699553.13104963</v>
      </c>
      <c r="H18" s="28">
        <f t="shared" si="19"/>
        <v>121.77</v>
      </c>
      <c r="I18">
        <f t="shared" si="20"/>
        <v>42582914584.767914</v>
      </c>
      <c r="J18">
        <f t="shared" si="21"/>
        <v>532286432.30959892</v>
      </c>
      <c r="K18" s="28">
        <f t="shared" si="22"/>
        <v>532.28643230959892</v>
      </c>
      <c r="L18" s="29">
        <v>5.62E-2</v>
      </c>
      <c r="M18" s="28">
        <f t="shared" si="23"/>
        <v>349.69955313104964</v>
      </c>
      <c r="N18" s="22"/>
    </row>
    <row r="19" spans="1:14">
      <c r="A19" s="27" t="s">
        <v>83</v>
      </c>
      <c r="B19" s="26">
        <v>426.6403567857156</v>
      </c>
      <c r="C19" s="19">
        <v>276.62604991617428</v>
      </c>
      <c r="D19">
        <f t="shared" si="16"/>
        <v>34131228542.857246</v>
      </c>
      <c r="E19">
        <f t="shared" si="17"/>
        <v>276626049.91617429</v>
      </c>
      <c r="F19">
        <f t="shared" si="18"/>
        <v>123.38399999999999</v>
      </c>
      <c r="G19">
        <f t="shared" si="24"/>
        <v>370471706.58703399</v>
      </c>
      <c r="H19" s="28">
        <f t="shared" si="19"/>
        <v>121.95399999999998</v>
      </c>
      <c r="I19">
        <f t="shared" si="20"/>
        <v>45180506505.115135</v>
      </c>
      <c r="J19">
        <f t="shared" si="21"/>
        <v>564756331.31393921</v>
      </c>
      <c r="K19" s="28">
        <f t="shared" si="22"/>
        <v>564.7563313139392</v>
      </c>
      <c r="L19" s="29">
        <v>5.9400000000000001E-2</v>
      </c>
      <c r="M19" s="28">
        <f t="shared" si="23"/>
        <v>370.47170658703396</v>
      </c>
      <c r="N19" s="22"/>
    </row>
    <row r="20" spans="1:14">
      <c r="A20" s="27" t="s">
        <v>84</v>
      </c>
      <c r="B20" s="26">
        <v>457.28360746517978</v>
      </c>
      <c r="C20" s="19">
        <v>295.02168223559994</v>
      </c>
      <c r="D20">
        <f t="shared" si="16"/>
        <v>36582688597.214386</v>
      </c>
      <c r="E20">
        <f t="shared" si="17"/>
        <v>295021682.23559994</v>
      </c>
      <c r="F20">
        <f t="shared" si="18"/>
        <v>123.99999999999999</v>
      </c>
      <c r="G20">
        <f t="shared" si="24"/>
        <v>393552093.90740621</v>
      </c>
      <c r="H20" s="28">
        <f t="shared" si="19"/>
        <v>122.56999999999998</v>
      </c>
      <c r="I20">
        <f t="shared" si="20"/>
        <v>48237680150.230774</v>
      </c>
      <c r="J20">
        <f t="shared" si="21"/>
        <v>602971001.87788463</v>
      </c>
      <c r="K20" s="28">
        <f t="shared" si="22"/>
        <v>602.97100187788465</v>
      </c>
      <c r="L20" s="29">
        <v>6.2300000000000001E-2</v>
      </c>
      <c r="M20" s="28">
        <f t="shared" si="23"/>
        <v>393.55209390740623</v>
      </c>
      <c r="N20" s="22"/>
    </row>
    <row r="21" spans="1:14">
      <c r="A21" s="27" t="s">
        <v>85</v>
      </c>
      <c r="B21" s="26">
        <v>489.61917867601466</v>
      </c>
      <c r="C21" s="19">
        <v>315.17166313229131</v>
      </c>
      <c r="D21">
        <f t="shared" si="16"/>
        <v>39169534294.081177</v>
      </c>
      <c r="E21">
        <f t="shared" si="17"/>
        <v>315171663.13229132</v>
      </c>
      <c r="F21">
        <f t="shared" si="18"/>
        <v>124.28000000000004</v>
      </c>
      <c r="G21">
        <f t="shared" si="24"/>
        <v>418778783.12687093</v>
      </c>
      <c r="H21" s="28">
        <f t="shared" si="19"/>
        <v>122.85000000000004</v>
      </c>
      <c r="I21">
        <f t="shared" si="20"/>
        <v>51446973507.136108</v>
      </c>
      <c r="J21">
        <f t="shared" si="21"/>
        <v>643087168.83920133</v>
      </c>
      <c r="K21" s="28">
        <f t="shared" si="22"/>
        <v>643.08716883920135</v>
      </c>
      <c r="L21" s="29">
        <v>6.4100000000000004E-2</v>
      </c>
      <c r="M21" s="28">
        <f t="shared" si="23"/>
        <v>418.77878312687091</v>
      </c>
      <c r="N21" s="22"/>
    </row>
    <row r="22" spans="1:14">
      <c r="A22" s="27" t="s">
        <v>86</v>
      </c>
      <c r="B22" s="26">
        <v>523.97036858412935</v>
      </c>
      <c r="C22" s="19">
        <v>335.87844140008292</v>
      </c>
      <c r="D22">
        <f t="shared" si="16"/>
        <v>41917629486.730347</v>
      </c>
      <c r="E22">
        <f t="shared" si="17"/>
        <v>335878441.40008295</v>
      </c>
      <c r="F22">
        <f t="shared" si="18"/>
        <v>124.79999999999998</v>
      </c>
      <c r="G22">
        <f t="shared" si="24"/>
        <v>444533678.28917348</v>
      </c>
      <c r="H22" s="28">
        <f t="shared" si="19"/>
        <v>123.36999999999998</v>
      </c>
      <c r="I22">
        <f t="shared" si="20"/>
        <v>54842119890.535324</v>
      </c>
      <c r="J22">
        <f t="shared" si="21"/>
        <v>685526498.63169158</v>
      </c>
      <c r="K22" s="28">
        <f t="shared" si="22"/>
        <v>685.52649863169154</v>
      </c>
      <c r="L22" s="29">
        <v>6.1499999999999999E-2</v>
      </c>
      <c r="M22" s="28">
        <f t="shared" si="23"/>
        <v>444.53367828917351</v>
      </c>
      <c r="N22" s="22"/>
    </row>
    <row r="23" spans="1:14">
      <c r="A23" s="27" t="s">
        <v>87</v>
      </c>
      <c r="B23" s="26">
        <v>560.65635546761189</v>
      </c>
      <c r="C23" s="19">
        <v>357.10595889656815</v>
      </c>
      <c r="D23">
        <f t="shared" si="16"/>
        <v>44852508437.408951</v>
      </c>
      <c r="E23">
        <f t="shared" si="17"/>
        <v>357105958.89656818</v>
      </c>
      <c r="F23">
        <f t="shared" si="18"/>
        <v>125.59999999999997</v>
      </c>
      <c r="G23">
        <f t="shared" si="24"/>
        <v>470761165.30823469</v>
      </c>
      <c r="H23" s="28">
        <f t="shared" si="19"/>
        <v>124.16999999999996</v>
      </c>
      <c r="I23">
        <f t="shared" si="20"/>
        <v>58454413896.323479</v>
      </c>
      <c r="J23">
        <f t="shared" si="21"/>
        <v>730680173.70404351</v>
      </c>
      <c r="K23" s="28">
        <f t="shared" si="22"/>
        <v>730.68017370404345</v>
      </c>
      <c r="L23" s="29">
        <v>5.8999999999999997E-2</v>
      </c>
      <c r="M23" s="28">
        <f t="shared" si="23"/>
        <v>470.76116530823469</v>
      </c>
      <c r="N23" s="22"/>
    </row>
    <row r="24" spans="1:14">
      <c r="A24" s="27" t="s">
        <v>88</v>
      </c>
      <c r="B24" s="26">
        <v>599.43520575610819</v>
      </c>
      <c r="C24" s="19">
        <v>379.38937073171394</v>
      </c>
      <c r="D24">
        <f t="shared" si="16"/>
        <v>47954816460.488655</v>
      </c>
      <c r="E24">
        <f t="shared" si="17"/>
        <v>379389370.73171395</v>
      </c>
      <c r="F24">
        <f t="shared" si="18"/>
        <v>126.40000000000003</v>
      </c>
      <c r="G24">
        <f t="shared" si="24"/>
        <v>498159465.12917393</v>
      </c>
      <c r="H24" s="28">
        <f t="shared" si="19"/>
        <v>124.97000000000003</v>
      </c>
      <c r="I24">
        <f t="shared" si="20"/>
        <v>62254988357.192879</v>
      </c>
      <c r="J24">
        <f t="shared" si="21"/>
        <v>778187354.46491098</v>
      </c>
      <c r="K24" s="28">
        <f t="shared" si="22"/>
        <v>778.18735446491098</v>
      </c>
      <c r="L24" s="29">
        <v>5.8200000000000002E-2</v>
      </c>
      <c r="M24" s="28">
        <f t="shared" si="23"/>
        <v>498.15946512917395</v>
      </c>
      <c r="N24" s="22"/>
    </row>
    <row r="25" spans="1:14">
      <c r="A25" s="27" t="s">
        <v>89</v>
      </c>
      <c r="B25" s="26">
        <v>637.95163035993869</v>
      </c>
      <c r="C25" s="19">
        <v>402.72181703171429</v>
      </c>
      <c r="D25">
        <f t="shared" si="16"/>
        <v>51036130428.795097</v>
      </c>
      <c r="E25">
        <f t="shared" si="17"/>
        <v>402721817.03171432</v>
      </c>
      <c r="F25">
        <f t="shared" si="18"/>
        <v>126.72800000000001</v>
      </c>
      <c r="G25">
        <f t="shared" si="24"/>
        <v>526704002.48107558</v>
      </c>
      <c r="H25" s="28">
        <f t="shared" si="19"/>
        <v>125.298</v>
      </c>
      <c r="I25">
        <f t="shared" si="20"/>
        <v>65994958102.87381</v>
      </c>
      <c r="J25">
        <f t="shared" si="21"/>
        <v>824936976.28592265</v>
      </c>
      <c r="K25" s="28">
        <f t="shared" si="22"/>
        <v>824.9369762859227</v>
      </c>
      <c r="L25" s="29">
        <v>5.7299999999999997E-2</v>
      </c>
      <c r="M25" s="28">
        <f t="shared" si="23"/>
        <v>526.70400248107558</v>
      </c>
      <c r="N25" s="22"/>
    </row>
    <row r="26" spans="1:14">
      <c r="A26" s="27" t="s">
        <v>90</v>
      </c>
      <c r="B26" s="26">
        <v>678.235088273987</v>
      </c>
      <c r="C26" s="19">
        <v>426.5629485999919</v>
      </c>
      <c r="D26">
        <f t="shared" si="16"/>
        <v>54258807061.918961</v>
      </c>
      <c r="E26">
        <f t="shared" si="17"/>
        <v>426562948.59999192</v>
      </c>
      <c r="F26">
        <f t="shared" si="18"/>
        <v>127.19999999999997</v>
      </c>
      <c r="G26">
        <f t="shared" si="24"/>
        <v>555672722.61753476</v>
      </c>
      <c r="H26" s="28">
        <f t="shared" si="19"/>
        <v>125.76999999999997</v>
      </c>
      <c r="I26">
        <f t="shared" si="20"/>
        <v>69886958323.60733</v>
      </c>
      <c r="J26">
        <f t="shared" si="21"/>
        <v>873586979.04509163</v>
      </c>
      <c r="K26" s="28">
        <f t="shared" si="22"/>
        <v>873.58697904509165</v>
      </c>
      <c r="L26" s="29">
        <v>5.5E-2</v>
      </c>
      <c r="M26" s="28">
        <f t="shared" si="23"/>
        <v>555.67272261753476</v>
      </c>
      <c r="N26" s="22"/>
    </row>
    <row r="27" spans="1:14">
      <c r="A27" s="27" t="s">
        <v>91</v>
      </c>
      <c r="B27" s="26">
        <v>717.43707637622344</v>
      </c>
      <c r="C27" s="19">
        <v>451.2182870290714</v>
      </c>
      <c r="D27">
        <f t="shared" si="16"/>
        <v>57394966110.097878</v>
      </c>
      <c r="E27">
        <f t="shared" si="17"/>
        <v>451218287.02907139</v>
      </c>
      <c r="F27">
        <f t="shared" si="18"/>
        <v>127.19999999999999</v>
      </c>
      <c r="G27">
        <f t="shared" si="24"/>
        <v>585456780.54983461</v>
      </c>
      <c r="H27" s="28">
        <f t="shared" si="19"/>
        <v>125.76999999999998</v>
      </c>
      <c r="I27">
        <f t="shared" si="20"/>
        <v>73632899289.752686</v>
      </c>
      <c r="J27">
        <f t="shared" si="21"/>
        <v>920411241.12190855</v>
      </c>
      <c r="K27" s="28">
        <f t="shared" si="22"/>
        <v>920.41124112190857</v>
      </c>
      <c r="L27" s="29">
        <v>5.3600000000000002E-2</v>
      </c>
      <c r="M27" s="28">
        <f t="shared" si="23"/>
        <v>585.45678054983466</v>
      </c>
      <c r="N27" s="22"/>
    </row>
    <row r="28" spans="1:14">
      <c r="A28" s="27" t="s">
        <v>92</v>
      </c>
      <c r="B28" s="26">
        <v>762.66719746801766</v>
      </c>
      <c r="C28" s="19">
        <v>476.66699841751102</v>
      </c>
      <c r="D28">
        <f t="shared" si="16"/>
        <v>61013375797.441414</v>
      </c>
      <c r="E28">
        <f t="shared" si="17"/>
        <v>476666998.41751105</v>
      </c>
      <c r="F28">
        <f t="shared" si="18"/>
        <v>128</v>
      </c>
      <c r="G28">
        <f t="shared" si="24"/>
        <v>616017624.49453592</v>
      </c>
      <c r="H28" s="28">
        <f t="shared" si="19"/>
        <v>126.57</v>
      </c>
      <c r="I28">
        <f t="shared" si="20"/>
        <v>77969350732.273407</v>
      </c>
      <c r="J28">
        <f t="shared" si="21"/>
        <v>974616884.15341759</v>
      </c>
      <c r="K28" s="28">
        <f t="shared" si="22"/>
        <v>974.61688415341757</v>
      </c>
      <c r="L28" s="29">
        <v>5.2200000000000003E-2</v>
      </c>
      <c r="M28" s="28">
        <f t="shared" si="23"/>
        <v>616.01762449453588</v>
      </c>
      <c r="N28" s="22"/>
    </row>
    <row r="29" spans="1:14">
      <c r="A29" s="27" t="s">
        <v>93</v>
      </c>
      <c r="B29" s="26">
        <v>804.6901600485055</v>
      </c>
      <c r="C29" s="19">
        <v>502.93135003031585</v>
      </c>
      <c r="D29">
        <f t="shared" si="16"/>
        <v>64375212803.880447</v>
      </c>
      <c r="E29">
        <f t="shared" si="17"/>
        <v>502931350.03031588</v>
      </c>
      <c r="F29">
        <f t="shared" si="18"/>
        <v>128.00000000000003</v>
      </c>
      <c r="G29">
        <f t="shared" si="24"/>
        <v>647372921.58130777</v>
      </c>
      <c r="H29" s="28">
        <f t="shared" si="19"/>
        <v>126.57000000000002</v>
      </c>
      <c r="I29">
        <f t="shared" si="20"/>
        <v>81937990684.546143</v>
      </c>
      <c r="J29">
        <f t="shared" si="21"/>
        <v>1024224883.5568268</v>
      </c>
      <c r="K29" s="28">
        <f t="shared" si="22"/>
        <v>1024.2248835568269</v>
      </c>
      <c r="L29" s="29">
        <v>5.0900000000000001E-2</v>
      </c>
      <c r="M29" s="28">
        <f t="shared" si="23"/>
        <v>647.37292158130776</v>
      </c>
      <c r="N29" s="22"/>
    </row>
    <row r="31" spans="1:14">
      <c r="C31" s="19">
        <v>220.72</v>
      </c>
    </row>
    <row r="32" spans="1:14">
      <c r="C32" s="19">
        <v>232.24158399999996</v>
      </c>
      <c r="D32" s="7">
        <v>4.79999999999998E-2</v>
      </c>
      <c r="E32" s="22">
        <v>4.1999999999999997E-3</v>
      </c>
    </row>
    <row r="33" spans="1:10">
      <c r="C33" s="19">
        <v>245.27033686239997</v>
      </c>
      <c r="D33" s="7">
        <v>5.1900000000000036E-2</v>
      </c>
    </row>
    <row r="34" spans="1:10">
      <c r="C34" s="19">
        <v>260.08466520888896</v>
      </c>
      <c r="D34" s="7">
        <v>5.6200000000000229E-2</v>
      </c>
    </row>
    <row r="35" spans="1:10">
      <c r="C35" s="19">
        <v>276.62604991617428</v>
      </c>
      <c r="D35" s="7">
        <v>5.9399999999999877E-2</v>
      </c>
    </row>
    <row r="36" spans="1:10">
      <c r="C36" s="19">
        <v>295.02168223559994</v>
      </c>
      <c r="D36" s="7">
        <v>6.2300000000000223E-2</v>
      </c>
      <c r="J36">
        <f>7/13</f>
        <v>0.53846153846153844</v>
      </c>
    </row>
    <row r="37" spans="1:10">
      <c r="C37" s="19">
        <v>315.17166313229131</v>
      </c>
      <c r="D37" s="7">
        <v>6.4099999999999588E-2</v>
      </c>
    </row>
    <row r="38" spans="1:10">
      <c r="C38" s="19">
        <v>335.87844140008292</v>
      </c>
      <c r="D38" s="7">
        <v>6.1500000000000311E-2</v>
      </c>
    </row>
    <row r="39" spans="1:10">
      <c r="C39" s="19">
        <v>357.10595889656815</v>
      </c>
      <c r="D39" s="7">
        <v>5.8999999999999921E-2</v>
      </c>
    </row>
    <row r="40" spans="1:10">
      <c r="C40" s="19">
        <v>379.38937073171394</v>
      </c>
      <c r="D40" s="7">
        <v>5.8199999999999787E-2</v>
      </c>
      <c r="J40" s="19">
        <f>19500*0.8</f>
        <v>15600</v>
      </c>
    </row>
    <row r="41" spans="1:10">
      <c r="C41" s="19">
        <v>402.72181703171429</v>
      </c>
      <c r="D41" s="7">
        <v>5.7299999999999886E-2</v>
      </c>
    </row>
    <row r="42" spans="1:10">
      <c r="C42" s="19">
        <v>426.5629485999919</v>
      </c>
      <c r="D42" s="7">
        <v>5.5000000000000361E-2</v>
      </c>
    </row>
    <row r="43" spans="1:10">
      <c r="C43" s="19">
        <v>451.2182870290714</v>
      </c>
      <c r="D43" s="7">
        <v>5.3599999999999849E-2</v>
      </c>
    </row>
    <row r="44" spans="1:10">
      <c r="C44" s="19">
        <v>476.66699841751102</v>
      </c>
      <c r="D44" s="7">
        <v>5.2200000000000003E-2</v>
      </c>
    </row>
    <row r="45" spans="1:10" ht="15.75" thickBot="1">
      <c r="C45" s="19">
        <v>502.93135003031585</v>
      </c>
      <c r="D45" s="7">
        <v>5.0899999999999924E-2</v>
      </c>
    </row>
    <row r="46" spans="1:10">
      <c r="B46" t="s">
        <v>101</v>
      </c>
      <c r="C46" s="31" t="s">
        <v>102</v>
      </c>
    </row>
    <row r="47" spans="1:10">
      <c r="A47" s="27">
        <v>2017</v>
      </c>
      <c r="B47" s="30">
        <v>3376.35</v>
      </c>
      <c r="C47" s="30">
        <v>2745</v>
      </c>
    </row>
    <row r="48" spans="1:10">
      <c r="A48" s="27">
        <v>2018</v>
      </c>
      <c r="B48" s="30">
        <v>3570.2512999999999</v>
      </c>
      <c r="C48" s="30">
        <v>2893</v>
      </c>
    </row>
    <row r="49" spans="1:13">
      <c r="A49" s="27">
        <v>2019</v>
      </c>
      <c r="B49" s="30">
        <v>3686.5704000000001</v>
      </c>
      <c r="C49" s="30">
        <v>2974</v>
      </c>
    </row>
    <row r="50" spans="1:13">
      <c r="A50" s="27">
        <v>2020</v>
      </c>
      <c r="B50" s="30">
        <v>3356.8719710399996</v>
      </c>
      <c r="C50" s="30">
        <v>2701.4903999999997</v>
      </c>
      <c r="G50" t="s">
        <v>96</v>
      </c>
      <c r="H50" t="s">
        <v>97</v>
      </c>
      <c r="K50" t="s">
        <v>103</v>
      </c>
      <c r="L50" s="1" t="s">
        <v>100</v>
      </c>
      <c r="M50" t="s">
        <v>98</v>
      </c>
    </row>
    <row r="51" spans="1:13">
      <c r="A51" s="27">
        <v>2021</v>
      </c>
      <c r="B51" s="30">
        <v>3572.5545341317438</v>
      </c>
      <c r="C51" s="30">
        <v>2845.7499873599995</v>
      </c>
      <c r="D51">
        <f>B51*10^6*80</f>
        <v>285804362730.53949</v>
      </c>
      <c r="E51">
        <f>C51*10^6</f>
        <v>2845749987.3599997</v>
      </c>
      <c r="F51">
        <f>D51/E51</f>
        <v>100.432</v>
      </c>
      <c r="G51">
        <f>3600.67*10^6</f>
        <v>3600670000</v>
      </c>
      <c r="H51">
        <f>F51-1.83</f>
        <v>98.602000000000004</v>
      </c>
      <c r="I51">
        <f>H51*G51</f>
        <v>355033263340</v>
      </c>
      <c r="J51">
        <f>I51/80</f>
        <v>4437915791.75</v>
      </c>
      <c r="K51" s="19">
        <f>J51/10^6</f>
        <v>4437.9157917499997</v>
      </c>
      <c r="M51" s="28">
        <f>G51/10^6</f>
        <v>3600.67</v>
      </c>
    </row>
    <row r="52" spans="1:13">
      <c r="A52" s="27" t="s">
        <v>80</v>
      </c>
      <c r="B52" s="30">
        <v>3802.7837331241317</v>
      </c>
      <c r="C52" s="30">
        <v>3007.1040116433114</v>
      </c>
      <c r="D52">
        <f t="shared" ref="D52:D65" si="25">B52*10^6*80</f>
        <v>304222698649.93054</v>
      </c>
      <c r="E52">
        <f t="shared" ref="E52:E65" si="26">C52*10^6</f>
        <v>3007104011.6433115</v>
      </c>
      <c r="F52">
        <f t="shared" ref="F52:F65" si="27">D52/E52</f>
        <v>101.16800000000001</v>
      </c>
      <c r="G52">
        <f>G51+(G51*L52)</f>
        <v>3780703500</v>
      </c>
      <c r="H52">
        <f t="shared" ref="H52:H65" si="28">F52-1.83</f>
        <v>99.338000000000008</v>
      </c>
      <c r="I52">
        <f t="shared" ref="I52:I65" si="29">H52*G52</f>
        <v>375567524283</v>
      </c>
      <c r="J52">
        <f t="shared" ref="J52:J65" si="30">I52/80</f>
        <v>4694594053.5375004</v>
      </c>
      <c r="K52" s="19">
        <f t="shared" ref="K52:K65" si="31">J52/10^6</f>
        <v>4694.5940535375003</v>
      </c>
      <c r="L52" s="7">
        <v>4.9999999999999975E-2</v>
      </c>
      <c r="M52" s="28">
        <f t="shared" ref="M52:M65" si="32">G52/10^6</f>
        <v>3780.7035000000001</v>
      </c>
    </row>
    <row r="53" spans="1:13">
      <c r="A53" s="27" t="s">
        <v>81</v>
      </c>
      <c r="B53" s="30">
        <v>4037.5265418090407</v>
      </c>
      <c r="C53" s="30">
        <v>3185.4252795337597</v>
      </c>
      <c r="D53">
        <f t="shared" si="25"/>
        <v>323002123344.72327</v>
      </c>
      <c r="E53">
        <f t="shared" si="26"/>
        <v>3185425279.5337596</v>
      </c>
      <c r="F53">
        <f t="shared" si="27"/>
        <v>101.40000000000002</v>
      </c>
      <c r="G53">
        <f t="shared" ref="G53:G65" si="33">G52+(G52*L53)</f>
        <v>3979568504.0999994</v>
      </c>
      <c r="H53">
        <f t="shared" si="28"/>
        <v>99.570000000000022</v>
      </c>
      <c r="I53">
        <f t="shared" si="29"/>
        <v>396245635953.237</v>
      </c>
      <c r="J53">
        <f t="shared" si="30"/>
        <v>4953070449.4154625</v>
      </c>
      <c r="K53" s="19">
        <f t="shared" si="31"/>
        <v>4953.0704494154625</v>
      </c>
      <c r="L53" s="7">
        <v>5.2599999999999911E-2</v>
      </c>
      <c r="M53" s="28">
        <f t="shared" si="32"/>
        <v>3979.5685040999992</v>
      </c>
    </row>
    <row r="54" spans="1:13">
      <c r="A54" s="27" t="s">
        <v>82</v>
      </c>
      <c r="B54" s="30">
        <v>4308.827460883027</v>
      </c>
      <c r="C54" s="30">
        <v>3381.328934225086</v>
      </c>
      <c r="D54">
        <f t="shared" si="25"/>
        <v>344706196870.64215</v>
      </c>
      <c r="E54">
        <f t="shared" si="26"/>
        <v>3381328934.2250857</v>
      </c>
      <c r="F54">
        <f t="shared" si="27"/>
        <v>101.944</v>
      </c>
      <c r="G54">
        <f t="shared" si="33"/>
        <v>4197648858.1246791</v>
      </c>
      <c r="H54">
        <f t="shared" si="28"/>
        <v>100.114</v>
      </c>
      <c r="I54">
        <f t="shared" si="29"/>
        <v>420243417782.29413</v>
      </c>
      <c r="J54">
        <f t="shared" si="30"/>
        <v>5253042722.278677</v>
      </c>
      <c r="K54" s="19">
        <f t="shared" si="31"/>
        <v>5253.0427222786766</v>
      </c>
      <c r="L54" s="7">
        <v>5.479999999999989E-2</v>
      </c>
      <c r="M54" s="28">
        <f t="shared" si="32"/>
        <v>4197.6488581246795</v>
      </c>
    </row>
    <row r="55" spans="1:13">
      <c r="A55" s="27" t="s">
        <v>83</v>
      </c>
      <c r="B55" s="30">
        <v>4604.5257582062704</v>
      </c>
      <c r="C55" s="30">
        <v>3598.4102518023365</v>
      </c>
      <c r="D55">
        <f t="shared" si="25"/>
        <v>368362060656.50159</v>
      </c>
      <c r="E55">
        <f t="shared" si="26"/>
        <v>3598410251.8023367</v>
      </c>
      <c r="F55">
        <f t="shared" si="27"/>
        <v>102.36799999999999</v>
      </c>
      <c r="G55">
        <f t="shared" si="33"/>
        <v>4439013667.4668484</v>
      </c>
      <c r="H55">
        <f t="shared" si="28"/>
        <v>100.538</v>
      </c>
      <c r="I55">
        <f t="shared" si="29"/>
        <v>446289556099.78198</v>
      </c>
      <c r="J55">
        <f t="shared" si="30"/>
        <v>5578619451.2472744</v>
      </c>
      <c r="K55" s="19">
        <f t="shared" si="31"/>
        <v>5578.6194512472748</v>
      </c>
      <c r="L55" s="7">
        <v>5.7500000000000037E-2</v>
      </c>
      <c r="M55" s="28">
        <f t="shared" si="32"/>
        <v>4439.0136674668483</v>
      </c>
    </row>
    <row r="56" spans="1:13">
      <c r="A56" s="27" t="s">
        <v>84</v>
      </c>
      <c r="B56" s="30">
        <v>4910.6763433834612</v>
      </c>
      <c r="C56" s="30">
        <v>3825.1100976658836</v>
      </c>
      <c r="D56">
        <f t="shared" si="25"/>
        <v>392854107470.67688</v>
      </c>
      <c r="E56">
        <f t="shared" si="26"/>
        <v>3825110097.6658835</v>
      </c>
      <c r="F56">
        <f t="shared" si="27"/>
        <v>102.70399999999999</v>
      </c>
      <c r="G56">
        <f t="shared" si="33"/>
        <v>4688930136.9452314</v>
      </c>
      <c r="H56">
        <f t="shared" si="28"/>
        <v>100.874</v>
      </c>
      <c r="I56">
        <f t="shared" si="29"/>
        <v>472991138634.21326</v>
      </c>
      <c r="J56">
        <f t="shared" si="30"/>
        <v>5912389232.9276657</v>
      </c>
      <c r="K56" s="19">
        <f t="shared" si="31"/>
        <v>5912.3892329276659</v>
      </c>
      <c r="L56" s="7">
        <v>5.6299999999999947E-2</v>
      </c>
      <c r="M56" s="28">
        <f t="shared" si="32"/>
        <v>4688.9301369452314</v>
      </c>
    </row>
    <row r="57" spans="1:13">
      <c r="A57" s="27" t="s">
        <v>85</v>
      </c>
      <c r="B57" s="30">
        <v>5237.6256781753036</v>
      </c>
      <c r="C57" s="30">
        <v>4061.1193906918688</v>
      </c>
      <c r="D57">
        <f t="shared" si="25"/>
        <v>419010054254.02429</v>
      </c>
      <c r="E57">
        <f t="shared" si="26"/>
        <v>4061119390.6918688</v>
      </c>
      <c r="F57">
        <f t="shared" si="27"/>
        <v>103.17600000000002</v>
      </c>
      <c r="G57">
        <f t="shared" si="33"/>
        <v>4946821294.4772196</v>
      </c>
      <c r="H57">
        <f t="shared" si="28"/>
        <v>101.34600000000002</v>
      </c>
      <c r="I57">
        <f t="shared" si="29"/>
        <v>501340550910.08838</v>
      </c>
      <c r="J57">
        <f t="shared" si="30"/>
        <v>6266756886.3761044</v>
      </c>
      <c r="K57" s="19">
        <f t="shared" si="31"/>
        <v>6266.7568863761044</v>
      </c>
      <c r="L57" s="7">
        <v>5.500000000000009E-2</v>
      </c>
      <c r="M57" s="28">
        <f t="shared" si="32"/>
        <v>4946.8212944772195</v>
      </c>
    </row>
    <row r="58" spans="1:13">
      <c r="A58" s="27" t="s">
        <v>86</v>
      </c>
      <c r="B58" s="30">
        <v>5577.4726570361227</v>
      </c>
      <c r="C58" s="32">
        <v>4305.5987780115192</v>
      </c>
      <c r="D58">
        <f t="shared" si="25"/>
        <v>446197812562.88977</v>
      </c>
      <c r="E58">
        <f t="shared" si="26"/>
        <v>4305598778.0115194</v>
      </c>
      <c r="F58">
        <f t="shared" si="27"/>
        <v>103.63199999999999</v>
      </c>
      <c r="G58">
        <f t="shared" si="33"/>
        <v>5211476233.7317514</v>
      </c>
      <c r="H58">
        <f t="shared" si="28"/>
        <v>101.80199999999999</v>
      </c>
      <c r="I58">
        <f t="shared" si="29"/>
        <v>530538703546.35974</v>
      </c>
      <c r="J58">
        <f t="shared" si="30"/>
        <v>6631733794.3294964</v>
      </c>
      <c r="K58" s="19">
        <f t="shared" si="31"/>
        <v>6631.733794329496</v>
      </c>
      <c r="L58" s="7">
        <v>5.3500000000000034E-2</v>
      </c>
      <c r="M58" s="28">
        <f t="shared" si="32"/>
        <v>5211.4762337317516</v>
      </c>
    </row>
    <row r="59" spans="1:13">
      <c r="A59" s="27" t="s">
        <v>87</v>
      </c>
      <c r="B59" s="30">
        <v>5945.5775856508517</v>
      </c>
      <c r="C59" s="32">
        <v>4557.0457466473918</v>
      </c>
      <c r="D59">
        <f t="shared" si="25"/>
        <v>475646206852.06812</v>
      </c>
      <c r="E59">
        <f t="shared" si="26"/>
        <v>4557045746.6473913</v>
      </c>
      <c r="F59">
        <f t="shared" si="27"/>
        <v>104.376</v>
      </c>
      <c r="G59">
        <f t="shared" si="33"/>
        <v>5480909555.0156832</v>
      </c>
      <c r="H59">
        <f t="shared" si="28"/>
        <v>102.54600000000001</v>
      </c>
      <c r="I59">
        <f t="shared" si="29"/>
        <v>562045351228.63831</v>
      </c>
      <c r="J59">
        <f t="shared" si="30"/>
        <v>7025566890.3579788</v>
      </c>
      <c r="K59" s="19">
        <f t="shared" si="31"/>
        <v>7025.566890357979</v>
      </c>
      <c r="L59" s="7">
        <v>5.170000000000001E-2</v>
      </c>
      <c r="M59" s="28">
        <f t="shared" si="32"/>
        <v>5480.9095550156835</v>
      </c>
    </row>
    <row r="60" spans="1:13">
      <c r="A60" s="27" t="s">
        <v>88</v>
      </c>
      <c r="B60" s="30">
        <v>6306.5568554801603</v>
      </c>
      <c r="C60" s="32">
        <v>4812.6960130343105</v>
      </c>
      <c r="D60">
        <f t="shared" si="25"/>
        <v>504524548438.41284</v>
      </c>
      <c r="E60">
        <f t="shared" si="26"/>
        <v>4812696013.0343103</v>
      </c>
      <c r="F60">
        <f t="shared" si="27"/>
        <v>104.83200000000001</v>
      </c>
      <c r="G60">
        <f t="shared" si="33"/>
        <v>5751666487.0334578</v>
      </c>
      <c r="H60">
        <f t="shared" si="28"/>
        <v>103.00200000000001</v>
      </c>
      <c r="I60">
        <f t="shared" si="29"/>
        <v>592433151497.42029</v>
      </c>
      <c r="J60">
        <f t="shared" si="30"/>
        <v>7405414393.7177534</v>
      </c>
      <c r="K60" s="19">
        <f t="shared" si="31"/>
        <v>7405.4143937177532</v>
      </c>
      <c r="L60" s="7">
        <v>4.9400000000000041E-2</v>
      </c>
      <c r="M60" s="28">
        <f t="shared" si="32"/>
        <v>5751.666487033458</v>
      </c>
    </row>
    <row r="61" spans="1:13">
      <c r="A61" s="27" t="s">
        <v>89</v>
      </c>
      <c r="B61" s="30">
        <v>6694.2905547232267</v>
      </c>
      <c r="C61" s="32">
        <v>5076.431754548591</v>
      </c>
      <c r="D61">
        <f t="shared" si="25"/>
        <v>535543244377.85815</v>
      </c>
      <c r="E61">
        <f t="shared" si="26"/>
        <v>5076431754.5485907</v>
      </c>
      <c r="F61">
        <f t="shared" si="27"/>
        <v>105.49600000000001</v>
      </c>
      <c r="G61">
        <f t="shared" si="33"/>
        <v>6028321645.0597677</v>
      </c>
      <c r="H61">
        <f t="shared" si="28"/>
        <v>103.66600000000001</v>
      </c>
      <c r="I61">
        <f t="shared" si="29"/>
        <v>624931991656.76599</v>
      </c>
      <c r="J61">
        <f t="shared" si="30"/>
        <v>7811649895.7095747</v>
      </c>
      <c r="K61" s="19">
        <f t="shared" si="31"/>
        <v>7811.6498957095746</v>
      </c>
      <c r="L61" s="7">
        <v>4.8100000000000184E-2</v>
      </c>
      <c r="M61" s="28">
        <f t="shared" si="32"/>
        <v>6028.3216450597674</v>
      </c>
    </row>
    <row r="62" spans="1:13">
      <c r="A62" s="27" t="s">
        <v>90</v>
      </c>
      <c r="B62" s="30">
        <v>7072.9722101784873</v>
      </c>
      <c r="C62" s="32">
        <v>5340.913848960573</v>
      </c>
      <c r="D62">
        <f t="shared" si="25"/>
        <v>565837776814.27905</v>
      </c>
      <c r="E62">
        <f t="shared" si="26"/>
        <v>5340913848.9605732</v>
      </c>
      <c r="F62">
        <f t="shared" si="27"/>
        <v>105.94400000000002</v>
      </c>
      <c r="G62">
        <f t="shared" si="33"/>
        <v>6302007447.7454815</v>
      </c>
      <c r="H62">
        <f t="shared" si="28"/>
        <v>104.11400000000002</v>
      </c>
      <c r="I62">
        <f t="shared" si="29"/>
        <v>656127203414.57312</v>
      </c>
      <c r="J62">
        <f t="shared" si="30"/>
        <v>8201590042.6821642</v>
      </c>
      <c r="K62" s="19">
        <f t="shared" si="31"/>
        <v>8201.5900426821645</v>
      </c>
      <c r="L62" s="7">
        <v>4.5400000000000038E-2</v>
      </c>
      <c r="M62" s="28">
        <f t="shared" si="32"/>
        <v>6302.0074477454818</v>
      </c>
    </row>
    <row r="63" spans="1:13">
      <c r="A63" s="27" t="s">
        <v>91</v>
      </c>
      <c r="B63" s="30">
        <v>7445.9843038468161</v>
      </c>
      <c r="C63" s="32">
        <v>5609.0277241783933</v>
      </c>
      <c r="D63">
        <f t="shared" si="25"/>
        <v>595678744307.74524</v>
      </c>
      <c r="E63">
        <f t="shared" si="26"/>
        <v>5609027724.1783934</v>
      </c>
      <c r="F63">
        <f t="shared" si="27"/>
        <v>106.19999999999997</v>
      </c>
      <c r="G63">
        <f t="shared" si="33"/>
        <v>6576144771.7224102</v>
      </c>
      <c r="H63">
        <f t="shared" si="28"/>
        <v>104.36999999999998</v>
      </c>
      <c r="I63">
        <f t="shared" si="29"/>
        <v>686352229824.66785</v>
      </c>
      <c r="J63">
        <f t="shared" si="30"/>
        <v>8579402872.8083477</v>
      </c>
      <c r="K63" s="19">
        <f t="shared" si="31"/>
        <v>8579.4028728083485</v>
      </c>
      <c r="L63" s="7">
        <v>4.3500000000000025E-2</v>
      </c>
      <c r="M63" s="28">
        <f t="shared" si="32"/>
        <v>6576.14477172241</v>
      </c>
    </row>
    <row r="64" spans="1:13">
      <c r="A64" s="27" t="s">
        <v>92</v>
      </c>
      <c r="B64" s="30">
        <v>7840.3170139258291</v>
      </c>
      <c r="C64" s="32">
        <v>5879.9437632562094</v>
      </c>
      <c r="D64">
        <f t="shared" si="25"/>
        <v>627225361114.06628</v>
      </c>
      <c r="E64">
        <f t="shared" si="26"/>
        <v>5879943763.2562094</v>
      </c>
      <c r="F64">
        <f t="shared" si="27"/>
        <v>106.67199999999998</v>
      </c>
      <c r="G64">
        <f t="shared" si="33"/>
        <v>6849712394.2260628</v>
      </c>
      <c r="H64">
        <f t="shared" si="28"/>
        <v>104.84199999999998</v>
      </c>
      <c r="I64">
        <f t="shared" si="29"/>
        <v>718137546835.44873</v>
      </c>
      <c r="J64">
        <f t="shared" si="30"/>
        <v>8976719335.4431095</v>
      </c>
      <c r="K64" s="19">
        <f t="shared" si="31"/>
        <v>8976.7193354431092</v>
      </c>
      <c r="L64" s="7">
        <v>4.1600000000000012E-2</v>
      </c>
      <c r="M64" s="28">
        <f t="shared" si="32"/>
        <v>6849.7123942260632</v>
      </c>
    </row>
    <row r="65" spans="1:13">
      <c r="A65" s="27" t="s">
        <v>93</v>
      </c>
      <c r="B65" s="30">
        <v>8225.0937130585498</v>
      </c>
      <c r="C65" s="32">
        <v>6155.1251313765997</v>
      </c>
      <c r="D65">
        <f t="shared" si="25"/>
        <v>658007497044.68396</v>
      </c>
      <c r="E65">
        <f t="shared" si="26"/>
        <v>6155125131.3765993</v>
      </c>
      <c r="F65">
        <f t="shared" si="27"/>
        <v>106.904</v>
      </c>
      <c r="G65">
        <f t="shared" si="33"/>
        <v>7124385861.2345276</v>
      </c>
      <c r="H65">
        <f t="shared" si="28"/>
        <v>105.074</v>
      </c>
      <c r="I65">
        <f t="shared" si="29"/>
        <v>748587719983.35669</v>
      </c>
      <c r="J65">
        <f t="shared" si="30"/>
        <v>9357346499.7919579</v>
      </c>
      <c r="K65" s="19">
        <f t="shared" si="31"/>
        <v>9357.3464997919582</v>
      </c>
      <c r="L65" s="7">
        <v>4.0099999999999955E-2</v>
      </c>
      <c r="M65" s="28">
        <f t="shared" si="32"/>
        <v>7124.3858612345275</v>
      </c>
    </row>
    <row r="68" spans="1:13">
      <c r="C68" s="30">
        <v>2845.7499873599995</v>
      </c>
    </row>
    <row r="69" spans="1:13">
      <c r="C69" s="30">
        <v>3007.1040116433114</v>
      </c>
      <c r="D69" s="7">
        <v>4.9999999999999975E-2</v>
      </c>
      <c r="E69" s="22"/>
    </row>
    <row r="70" spans="1:13">
      <c r="C70" s="30">
        <v>3185.4252795337597</v>
      </c>
      <c r="D70" s="7">
        <v>5.2599999999999911E-2</v>
      </c>
    </row>
    <row r="71" spans="1:13">
      <c r="C71" s="30">
        <v>3381.328934225086</v>
      </c>
      <c r="D71" s="7">
        <v>5.479999999999989E-2</v>
      </c>
    </row>
    <row r="72" spans="1:13">
      <c r="C72" s="30">
        <v>3598.4102518023365</v>
      </c>
      <c r="D72" s="7">
        <v>5.7500000000000037E-2</v>
      </c>
    </row>
    <row r="73" spans="1:13">
      <c r="C73" s="30">
        <v>3825.1100976658836</v>
      </c>
      <c r="D73" s="7">
        <v>5.6299999999999947E-2</v>
      </c>
    </row>
    <row r="74" spans="1:13">
      <c r="C74" s="30">
        <v>4061.1193906918688</v>
      </c>
      <c r="D74" s="7">
        <v>5.500000000000009E-2</v>
      </c>
    </row>
    <row r="75" spans="1:13">
      <c r="C75" s="32">
        <v>4305.5987780115192</v>
      </c>
      <c r="D75" s="7">
        <v>5.3500000000000034E-2</v>
      </c>
    </row>
    <row r="76" spans="1:13">
      <c r="C76" s="32">
        <v>4557.0457466473918</v>
      </c>
      <c r="D76" s="7">
        <v>5.170000000000001E-2</v>
      </c>
    </row>
    <row r="77" spans="1:13">
      <c r="C77" s="32">
        <v>4812.6960130343105</v>
      </c>
      <c r="D77" s="7">
        <v>4.9400000000000041E-2</v>
      </c>
    </row>
    <row r="78" spans="1:13">
      <c r="C78" s="32">
        <v>5076.431754548591</v>
      </c>
      <c r="D78" s="7">
        <v>4.8100000000000184E-2</v>
      </c>
    </row>
    <row r="79" spans="1:13">
      <c r="C79" s="32">
        <v>5340.913848960573</v>
      </c>
      <c r="D79" s="7">
        <v>4.5400000000000038E-2</v>
      </c>
    </row>
    <row r="80" spans="1:13">
      <c r="C80" s="32">
        <v>5609.0277241783933</v>
      </c>
      <c r="D80" s="7">
        <v>4.3500000000000025E-2</v>
      </c>
    </row>
    <row r="81" spans="3:4">
      <c r="C81" s="32">
        <v>5879.9437632562094</v>
      </c>
      <c r="D81" s="7">
        <v>4.1600000000000012E-2</v>
      </c>
    </row>
    <row r="82" spans="3:4">
      <c r="C82" s="32">
        <v>6155.1251313765997</v>
      </c>
      <c r="D82" s="7">
        <v>4.0099999999999955E-2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5D9E-893E-4A3C-AA69-92F18A5A97C0}">
  <dimension ref="A1:B38"/>
  <sheetViews>
    <sheetView showGridLines="0" topLeftCell="A15" zoomScale="95" workbookViewId="0">
      <selection activeCell="B20" sqref="B20"/>
    </sheetView>
  </sheetViews>
  <sheetFormatPr defaultRowHeight="15"/>
  <cols>
    <col min="1" max="1" width="26" bestFit="1" customWidth="1"/>
    <col min="2" max="2" width="160.140625" bestFit="1" customWidth="1"/>
  </cols>
  <sheetData>
    <row r="1" spans="1:2">
      <c r="A1" s="3" t="s">
        <v>18</v>
      </c>
      <c r="B1" s="3" t="s">
        <v>19</v>
      </c>
    </row>
    <row r="2" spans="1:2">
      <c r="A2" s="2" t="s">
        <v>21</v>
      </c>
      <c r="B2" s="2" t="s">
        <v>20</v>
      </c>
    </row>
    <row r="3" spans="1:2">
      <c r="A3" s="2" t="s">
        <v>22</v>
      </c>
      <c r="B3" s="2" t="s">
        <v>23</v>
      </c>
    </row>
    <row r="4" spans="1:2">
      <c r="A4" s="2" t="s">
        <v>24</v>
      </c>
      <c r="B4" s="2" t="s">
        <v>25</v>
      </c>
    </row>
    <row r="5" spans="1:2">
      <c r="A5" s="2" t="s">
        <v>24</v>
      </c>
      <c r="B5" s="2" t="s">
        <v>26</v>
      </c>
    </row>
    <row r="6" spans="1:2">
      <c r="A6" s="2" t="s">
        <v>24</v>
      </c>
      <c r="B6" s="2" t="s">
        <v>27</v>
      </c>
    </row>
    <row r="7" spans="1:2">
      <c r="A7" s="2" t="s">
        <v>24</v>
      </c>
      <c r="B7" s="2" t="s">
        <v>28</v>
      </c>
    </row>
    <row r="8" spans="1:2">
      <c r="A8" s="2" t="s">
        <v>24</v>
      </c>
      <c r="B8" s="2" t="s">
        <v>29</v>
      </c>
    </row>
    <row r="9" spans="1:2">
      <c r="A9" s="2" t="s">
        <v>24</v>
      </c>
      <c r="B9" s="2" t="s">
        <v>30</v>
      </c>
    </row>
    <row r="10" spans="1:2">
      <c r="A10" s="2" t="s">
        <v>24</v>
      </c>
      <c r="B10" s="2" t="s">
        <v>31</v>
      </c>
    </row>
    <row r="11" spans="1:2">
      <c r="A11" s="2" t="s">
        <v>24</v>
      </c>
      <c r="B11" s="2" t="s">
        <v>32</v>
      </c>
    </row>
    <row r="12" spans="1:2">
      <c r="A12" s="2" t="s">
        <v>24</v>
      </c>
      <c r="B12" s="2" t="s">
        <v>33</v>
      </c>
    </row>
    <row r="13" spans="1:2">
      <c r="A13" s="2" t="s">
        <v>24</v>
      </c>
      <c r="B13" s="2" t="s">
        <v>34</v>
      </c>
    </row>
    <row r="14" spans="1:2">
      <c r="A14" s="2" t="s">
        <v>24</v>
      </c>
      <c r="B14" s="2" t="s">
        <v>35</v>
      </c>
    </row>
    <row r="15" spans="1:2">
      <c r="A15" s="2" t="s">
        <v>24</v>
      </c>
      <c r="B15" s="2" t="s">
        <v>36</v>
      </c>
    </row>
    <row r="16" spans="1:2">
      <c r="A16" s="2" t="s">
        <v>24</v>
      </c>
      <c r="B16" s="2" t="s">
        <v>37</v>
      </c>
    </row>
    <row r="17" spans="1:2">
      <c r="A17" s="2" t="s">
        <v>24</v>
      </c>
      <c r="B17" s="2" t="s">
        <v>38</v>
      </c>
    </row>
    <row r="18" spans="1:2">
      <c r="A18" s="2" t="s">
        <v>24</v>
      </c>
      <c r="B18" s="2" t="s">
        <v>39</v>
      </c>
    </row>
    <row r="19" spans="1:2">
      <c r="A19" s="2" t="s">
        <v>24</v>
      </c>
      <c r="B19" s="2" t="s">
        <v>40</v>
      </c>
    </row>
    <row r="20" spans="1:2">
      <c r="A20" s="2" t="s">
        <v>42</v>
      </c>
      <c r="B20" s="2" t="s">
        <v>41</v>
      </c>
    </row>
    <row r="21" spans="1:2">
      <c r="A21" s="2" t="s">
        <v>44</v>
      </c>
      <c r="B21" s="2" t="s">
        <v>43</v>
      </c>
    </row>
    <row r="22" spans="1:2">
      <c r="A22" s="2" t="s">
        <v>44</v>
      </c>
      <c r="B22" s="2" t="s">
        <v>45</v>
      </c>
    </row>
    <row r="23" spans="1:2">
      <c r="A23" s="2" t="s">
        <v>44</v>
      </c>
      <c r="B23" s="2" t="s">
        <v>46</v>
      </c>
    </row>
    <row r="24" spans="1:2">
      <c r="A24" s="2" t="s">
        <v>44</v>
      </c>
      <c r="B24" s="2" t="s">
        <v>47</v>
      </c>
    </row>
    <row r="25" spans="1:2">
      <c r="A25" s="2" t="s">
        <v>49</v>
      </c>
      <c r="B25" s="2" t="s">
        <v>48</v>
      </c>
    </row>
    <row r="26" spans="1:2">
      <c r="A26" s="2" t="s">
        <v>44</v>
      </c>
      <c r="B26" s="2" t="s">
        <v>50</v>
      </c>
    </row>
    <row r="27" spans="1:2">
      <c r="A27" s="2" t="s">
        <v>52</v>
      </c>
      <c r="B27" s="2" t="s">
        <v>51</v>
      </c>
    </row>
    <row r="28" spans="1:2">
      <c r="A28" s="2" t="s">
        <v>54</v>
      </c>
      <c r="B28" s="2" t="s">
        <v>53</v>
      </c>
    </row>
    <row r="29" spans="1:2">
      <c r="A29" s="2" t="s">
        <v>56</v>
      </c>
      <c r="B29" s="2" t="s">
        <v>55</v>
      </c>
    </row>
    <row r="30" spans="1:2">
      <c r="A30" s="2" t="s">
        <v>69</v>
      </c>
      <c r="B30" s="2" t="s">
        <v>59</v>
      </c>
    </row>
    <row r="31" spans="1:2">
      <c r="A31" s="2" t="s">
        <v>60</v>
      </c>
      <c r="B31" s="2" t="s">
        <v>61</v>
      </c>
    </row>
    <row r="32" spans="1:2">
      <c r="A32" s="2" t="s">
        <v>62</v>
      </c>
      <c r="B32" s="2" t="s">
        <v>63</v>
      </c>
    </row>
    <row r="33" spans="1:2">
      <c r="A33" s="2" t="s">
        <v>70</v>
      </c>
      <c r="B33" s="2" t="s">
        <v>64</v>
      </c>
    </row>
    <row r="34" spans="1:2">
      <c r="A34" s="2" t="s">
        <v>65</v>
      </c>
      <c r="B34" s="2" t="s">
        <v>66</v>
      </c>
    </row>
    <row r="35" spans="1:2">
      <c r="A35" s="2" t="s">
        <v>12</v>
      </c>
      <c r="B35" s="2" t="s">
        <v>67</v>
      </c>
    </row>
    <row r="36" spans="1:2">
      <c r="A36" s="2" t="s">
        <v>71</v>
      </c>
      <c r="B36" s="2" t="s">
        <v>68</v>
      </c>
    </row>
    <row r="37" spans="1:2">
      <c r="A37" s="2" t="s">
        <v>111</v>
      </c>
      <c r="B37" s="2" t="s">
        <v>112</v>
      </c>
    </row>
    <row r="38" spans="1:2">
      <c r="A38" s="2" t="s">
        <v>113</v>
      </c>
      <c r="B38" s="2" t="s">
        <v>114</v>
      </c>
    </row>
  </sheetData>
  <hyperlinks>
    <hyperlink ref="B20" r:id="rId1" xr:uid="{FAD00EBF-5FB7-401E-A331-78F1FDEEC0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Cap_Prod_Oper</vt:lpstr>
      <vt:lpstr>Market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2023-05-09T05:31:35Z</dcterms:created>
  <dcterms:modified xsi:type="dcterms:W3CDTF">2023-05-17T12:27:14Z</dcterms:modified>
</cp:coreProperties>
</file>