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Final ChemEpt\"/>
    </mc:Choice>
  </mc:AlternateContent>
  <xr:revisionPtr revIDLastSave="0" documentId="13_ncr:1_{938B7A39-15F8-4055-8E20-C4A7BE55FAFE}" xr6:coauthVersionLast="47" xr6:coauthVersionMax="47" xr10:uidLastSave="{00000000-0000-0000-0000-000000000000}"/>
  <bookViews>
    <workbookView xWindow="-120" yWindow="-120" windowWidth="20730" windowHeight="11160" tabRatio="879" firstSheet="1" activeTab="5" xr2:uid="{3A5E4E95-FAC3-41B3-9C25-0F2FD3C9AC72}"/>
  </bookViews>
  <sheets>
    <sheet name="Herbicides Raw Material" sheetId="6" r:id="rId1"/>
    <sheet name="Herbicides Formulation" sheetId="3" r:id="rId2"/>
    <sheet name="Fungicides Raw Material" sheetId="5" r:id="rId3"/>
    <sheet name="Fungicides Formulation" sheetId="9" r:id="rId4"/>
    <sheet name="Insecticides Raw Material" sheetId="7" r:id="rId5"/>
    <sheet name="Insecticides Formulation" sheetId="1" r:id="rId6"/>
    <sheet name="Sheet1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M10" i="3"/>
  <c r="N10" i="3"/>
  <c r="O10" i="3"/>
  <c r="B10" i="3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0" i="1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B10" i="9"/>
  <c r="T11" i="1"/>
  <c r="T9" i="1" s="1"/>
  <c r="R9" i="1"/>
  <c r="N9" i="1"/>
  <c r="M9" i="1"/>
  <c r="L9" i="1"/>
  <c r="H9" i="1"/>
  <c r="O13" i="9"/>
  <c r="J14" i="9"/>
  <c r="G14" i="1"/>
  <c r="O12" i="9" l="1"/>
  <c r="K14" i="9"/>
  <c r="K12" i="9"/>
  <c r="J12" i="9"/>
  <c r="I12" i="9"/>
  <c r="B18" i="1"/>
  <c r="B19" i="1" s="1"/>
  <c r="B16" i="1"/>
  <c r="B17" i="1" s="1"/>
  <c r="L12" i="1"/>
  <c r="L13" i="1" s="1"/>
  <c r="H12" i="1"/>
  <c r="H13" i="1" s="1"/>
  <c r="G13" i="1"/>
  <c r="G15" i="1" s="1"/>
  <c r="E12" i="1"/>
  <c r="E13" i="1" l="1"/>
  <c r="E14" i="1" s="1"/>
</calcChain>
</file>

<file path=xl/sharedStrings.xml><?xml version="1.0" encoding="utf-8"?>
<sst xmlns="http://schemas.openxmlformats.org/spreadsheetml/2006/main" count="252" uniqueCount="131">
  <si>
    <t>Cartap 4G</t>
  </si>
  <si>
    <t>Fipronil
0.3 Gr</t>
  </si>
  <si>
    <t>Fipronil
5 SC</t>
  </si>
  <si>
    <t>Imidacloprid
17.8 SL</t>
  </si>
  <si>
    <t>Chlorpyriphos
50 EC</t>
  </si>
  <si>
    <t>Diafenthiuron
50 WP</t>
  </si>
  <si>
    <t>Thiamethoxam
25 WG</t>
  </si>
  <si>
    <t>Acetamiprid
20 SP</t>
  </si>
  <si>
    <t>Bifenthrin
10 EC</t>
  </si>
  <si>
    <t>Acephate
50 +Imidacloprid 1.8
SP</t>
  </si>
  <si>
    <t>Pymetrozine
50 WG</t>
  </si>
  <si>
    <t>Dinotefuran
20%</t>
  </si>
  <si>
    <t>Spinetoram
11.70 SC</t>
  </si>
  <si>
    <t>Year</t>
  </si>
  <si>
    <t>FY 2019</t>
  </si>
  <si>
    <t>FY 2021</t>
  </si>
  <si>
    <t xml:space="preserve">Unit </t>
  </si>
  <si>
    <t>INR/Kg</t>
  </si>
  <si>
    <t>Cypermethrin 5% Chlorpyrephos 50% EC</t>
  </si>
  <si>
    <t>FY 2017</t>
  </si>
  <si>
    <t xml:space="preserve">Pyrazosulfuron </t>
  </si>
  <si>
    <t>Oxyfluorfen
23.5 EC</t>
  </si>
  <si>
    <t>Bispyribac
Sodium 10 SC</t>
  </si>
  <si>
    <t>Metribuzin
70 WP</t>
  </si>
  <si>
    <t>Glufonisate Ammonium 13.5% SL</t>
  </si>
  <si>
    <t>Glyphosate</t>
  </si>
  <si>
    <t>FY 2025F</t>
  </si>
  <si>
    <t>FY 2024F</t>
  </si>
  <si>
    <t>FY 2023E</t>
  </si>
  <si>
    <t>FY 2022</t>
  </si>
  <si>
    <t>FY 2020</t>
  </si>
  <si>
    <t>FY 2018</t>
  </si>
  <si>
    <t>Metalaxyl</t>
  </si>
  <si>
    <t>Difenoconazole</t>
  </si>
  <si>
    <t>Trifloxystrobin</t>
  </si>
  <si>
    <t>Paclobutrazole</t>
  </si>
  <si>
    <t>Tebuconazole</t>
  </si>
  <si>
    <t>Azoxystrobin</t>
  </si>
  <si>
    <t>Tricyclazole</t>
  </si>
  <si>
    <t>Propiconazole</t>
  </si>
  <si>
    <t>Thifluzamide</t>
  </si>
  <si>
    <t>Hexaconazole</t>
  </si>
  <si>
    <t>Carbendazim</t>
  </si>
  <si>
    <t>Sulphur</t>
  </si>
  <si>
    <t>Mancozeb</t>
  </si>
  <si>
    <t>Pyrazosulfuron</t>
  </si>
  <si>
    <t>Oxyfluorfen</t>
  </si>
  <si>
    <t>Bispyribac
Sodium</t>
  </si>
  <si>
    <t>Pinoxaden</t>
  </si>
  <si>
    <t>Propaquizafop</t>
  </si>
  <si>
    <t>Quaizalofop
ehtyl</t>
  </si>
  <si>
    <t>Piroxofop</t>
  </si>
  <si>
    <t>Metribuzin</t>
  </si>
  <si>
    <t>Imazethapyr</t>
  </si>
  <si>
    <t>Pendimethalin</t>
  </si>
  <si>
    <t xml:space="preserve">Glufonisate Ammonium </t>
  </si>
  <si>
    <t>Pretilachlor</t>
  </si>
  <si>
    <t>Atrazine</t>
  </si>
  <si>
    <t>Paraquat</t>
  </si>
  <si>
    <t>Quinalphos</t>
  </si>
  <si>
    <t>Lambda
Cyhalothrin</t>
  </si>
  <si>
    <t>Flonicamid</t>
  </si>
  <si>
    <t xml:space="preserve">Chlorantraniliprole
</t>
  </si>
  <si>
    <t>Novaluron</t>
  </si>
  <si>
    <t>Flubendiamide</t>
  </si>
  <si>
    <t>Triflumezopyrim</t>
  </si>
  <si>
    <t>Buprofezine</t>
  </si>
  <si>
    <t>Validamycine</t>
  </si>
  <si>
    <t>Ethion</t>
  </si>
  <si>
    <t xml:space="preserve">Thiamethoxam
</t>
  </si>
  <si>
    <t>Monocrotophos</t>
  </si>
  <si>
    <t>Spinetoram</t>
  </si>
  <si>
    <t>Dinotefuran</t>
  </si>
  <si>
    <t>Pymetrozine</t>
  </si>
  <si>
    <t>Acephate</t>
  </si>
  <si>
    <t>Bifenthrin</t>
  </si>
  <si>
    <t>Acetamiprid</t>
  </si>
  <si>
    <t>Thiamethoxam</t>
  </si>
  <si>
    <t>Diafenthiuron</t>
  </si>
  <si>
    <t>Imidacloprid</t>
  </si>
  <si>
    <t>Emamectin Benzoate</t>
  </si>
  <si>
    <t>Cypermethrin</t>
  </si>
  <si>
    <t>Chlorpyriphos</t>
  </si>
  <si>
    <t>Profenophos</t>
  </si>
  <si>
    <t>Fipronil</t>
  </si>
  <si>
    <t>Cartap</t>
  </si>
  <si>
    <t>Mancozeb 75 WP</t>
  </si>
  <si>
    <t>Sulphur 80 WDG</t>
  </si>
  <si>
    <t>Carbendazim 12 +Mancozeb 63 WP</t>
  </si>
  <si>
    <t>Copper Oxychloride 50 W</t>
  </si>
  <si>
    <t>Hexaconazole 5% EC</t>
  </si>
  <si>
    <t>Carbendazim 50 WP</t>
  </si>
  <si>
    <t>Thifluzamide 24SC</t>
  </si>
  <si>
    <t>Propiconazole 25 EC</t>
  </si>
  <si>
    <t>Tricyclazole 75 WP</t>
  </si>
  <si>
    <t>Azoxystrobin 11 % + Tebuconazole 18.3 % SC</t>
  </si>
  <si>
    <t>Paclobutrazole 25%</t>
  </si>
  <si>
    <t>Tebuconazole 50%+ Trifloxystrobin 25% : Nativo</t>
  </si>
  <si>
    <t>Azoxystrobin 18.2%+ Difenoconazole 11.4%</t>
  </si>
  <si>
    <t>NA</t>
  </si>
  <si>
    <t>https://www.molport.com/shopping-cart/shopping-cart?step=1&amp;quote=6I5UAONPRN0V31GO0L8LFL</t>
  </si>
  <si>
    <t>O,O-dimethyl O-3,5,6-trichloropyridin-2-yl phosphorothioate, in stock (molport.com)</t>
  </si>
  <si>
    <t>(1'R,2S,4'S,5S,6R,8'R,10'E,12'S,13'S,14'E,16'E,20'R,21'R,24'S)-6-[(2S)-butan-2-yl]-21',24'-dihydroxy-12'-{[(2R,4S,5S,6S)-4-methoxy-5-{[(2S,4S,5S,6S)-4-methoxy-6-methyl-5-(methylamino)oxan-2-yl]oxy}-6-methyloxan-2-yl]oxy}-5,11',13',22'-tetramethyl-5,6-dihydro-3',7',19'-trioxaspiro[pyran-2,6'-tetracyclo[15.6.1.1⁴,⁸.0²⁰,²⁴]pentacosane]-10',14',16',22'-tetraen-2'-one; benzoic acid, in stock (molport.com)</t>
  </si>
  <si>
    <t>3-tert-butyl-1-[4-phenoxy-2,6-bis(propan-2-yl)phenyl]thiourea, in stock (molport.com)</t>
  </si>
  <si>
    <t>Chlorpyriphos 20 EC</t>
  </si>
  <si>
    <t>https://www.molport.com/shop/moleculelink/STJLVHWMYQXCPB-UHFFFAOYSA-N/1812568?searchkey=5ICP9QDGA36H01GO0VM0KU&amp;searchtype=text-search</t>
  </si>
  <si>
    <t>https://www.molport.com/shop/moleculelink/DQJCHOQLCLEDLL-UHFFFAOYSA-N/3933555?searchtype=text-search</t>
  </si>
  <si>
    <t>https://www.molport.com/shop/moleculelink/WFDXOXNFNRHQEC-GHRIWEEISA-N/5932928?searchtype=text-search&amp;searchkey=51Q9AVLVLEQSI1GO0VNKLO</t>
  </si>
  <si>
    <t>https://www.molport.com/shop/moleculelink/PXMNMQRDXWABCY-UHFFFAOYSA-N/1812071?searchkey=6GGEV6SNJSIQT1GO0VSP0C&amp;searchtype=text-search</t>
  </si>
  <si>
    <t>https://www.molport.com/shop/moleculelink/ZQEIXNIJLIKNTD-LBPRGKRZSA-N/27948641?searchkey=5GBP0KMA6US821GO10TC51&amp;searchtype=text-search</t>
  </si>
  <si>
    <t xml:space="preserve">Chlorpyriphos EC </t>
  </si>
  <si>
    <t>Cypermethrin 4 EC</t>
  </si>
  <si>
    <t>Emamectin Benzoate 5 SG</t>
  </si>
  <si>
    <t>Profenophos 40 + Cypermethrin 4 EC</t>
  </si>
  <si>
    <t>Validamycin</t>
  </si>
  <si>
    <t>Validamycin 3%</t>
  </si>
  <si>
    <t>Quinalphos 25 EC</t>
  </si>
  <si>
    <t>Metalaxyl 8 +Mancozeb 64</t>
  </si>
  <si>
    <t>Fipronil 40% Imidaclopridm 40% WG</t>
  </si>
  <si>
    <t xml:space="preserve">Products </t>
  </si>
  <si>
    <t xml:space="preserve">Price </t>
  </si>
  <si>
    <t>Price</t>
  </si>
  <si>
    <t>Profenophos 50 EC</t>
  </si>
  <si>
    <t>% difference</t>
  </si>
  <si>
    <t>Paraquat 24 SL</t>
  </si>
  <si>
    <t>Atrazinev 50 WP</t>
  </si>
  <si>
    <t>Pretilachlor 50 EC</t>
  </si>
  <si>
    <t>2, 4 D 58 EC (Amine Salt)</t>
  </si>
  <si>
    <t>Pendimethalin 30 EC</t>
  </si>
  <si>
    <t>Pendimethalin 38.7% CS</t>
  </si>
  <si>
    <t>Imazethapyr 10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</si>
</sst>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1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0" borderId="0" xfId="2"/>
    <xf numFmtId="43" fontId="0" fillId="0" borderId="0" xfId="1" applyFont="1"/>
    <xf numFmtId="43" fontId="0" fillId="0" borderId="0" xfId="0" applyNumberFormat="1"/>
    <xf numFmtId="9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6" fillId="2" borderId="1" xfId="0" applyFont="1" applyFill="1" applyBorder="1" applyAlignment="1">
      <alignment horizontal="center"/>
    </xf>
    <xf numFmtId="17" fontId="2" fillId="0" borderId="0" xfId="0" applyNumberFormat="1" applyFont="1" applyAlignment="1">
      <alignment horizontal="center"/>
    </xf>
    <xf numFmtId="9" fontId="2" fillId="0" borderId="0" xfId="3" applyFont="1" applyFill="1" applyBorder="1" applyAlignment="1">
      <alignment horizontal="center"/>
    </xf>
    <xf numFmtId="17" fontId="2" fillId="4" borderId="0" xfId="0" applyNumberFormat="1" applyFont="1" applyFill="1" applyAlignment="1">
      <alignment horizontal="center"/>
    </xf>
    <xf numFmtId="9" fontId="2" fillId="4" borderId="0" xfId="3" applyFont="1" applyFill="1" applyBorder="1" applyAlignment="1">
      <alignment horizontal="center"/>
    </xf>
    <xf numFmtId="9" fontId="0" fillId="0" borderId="0" xfId="3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38100</xdr:rowOff>
    </xdr:from>
    <xdr:ext cx="2028825" cy="523875"/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32F028C7-30BF-445B-A628-CC9B1C150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28600"/>
          <a:ext cx="2028825" cy="523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38100</xdr:rowOff>
    </xdr:from>
    <xdr:ext cx="2028825" cy="523875"/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E0928180-1F09-43A8-BC9D-7620561E1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28600"/>
          <a:ext cx="2028825" cy="523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38100</xdr:rowOff>
    </xdr:from>
    <xdr:ext cx="2028825" cy="523875"/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4626D7BB-9B00-4B9E-AB4C-E8CF9AB74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28600"/>
          <a:ext cx="2028825" cy="523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38100</xdr:rowOff>
    </xdr:from>
    <xdr:to>
      <xdr:col>0</xdr:col>
      <xdr:colOff>2047875</xdr:colOff>
      <xdr:row>3</xdr:row>
      <xdr:rowOff>180975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7A2BD2F5-83C3-4632-A10A-6C73859E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28600"/>
          <a:ext cx="2028825" cy="523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38100</xdr:rowOff>
    </xdr:from>
    <xdr:ext cx="2028825" cy="523875"/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42387B77-5446-4CFC-96D7-467E91BD2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28600"/>
          <a:ext cx="2028825" cy="5238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2028825</xdr:colOff>
      <xdr:row>3</xdr:row>
      <xdr:rowOff>142875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6459D036-173D-4023-86F7-14E43FD00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028825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2</xdr:col>
      <xdr:colOff>76200</xdr:colOff>
      <xdr:row>4</xdr:row>
      <xdr:rowOff>0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EF5EFE0C-B33B-4C68-9497-B7B59A35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2028825" cy="523875"/>
        </a:xfrm>
        <a:prstGeom prst="rect">
          <a:avLst/>
        </a:prstGeom>
      </xdr:spPr>
    </xdr:pic>
    <xdr:clientData/>
  </xdr:twoCellAnchor>
  <xdr:twoCellAnchor>
    <xdr:from>
      <xdr:col>9</xdr:col>
      <xdr:colOff>9526</xdr:colOff>
      <xdr:row>6</xdr:row>
      <xdr:rowOff>152401</xdr:rowOff>
    </xdr:from>
    <xdr:to>
      <xdr:col>19</xdr:col>
      <xdr:colOff>238126</xdr:colOff>
      <xdr:row>11</xdr:row>
      <xdr:rowOff>123826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1F3A252-26DB-0B95-C33C-A2C09F3BF0D8}"/>
            </a:ext>
          </a:extLst>
        </xdr:cNvPr>
        <xdr:cNvSpPr txBox="1"/>
      </xdr:nvSpPr>
      <xdr:spPr>
        <a:xfrm>
          <a:off x="6362701" y="1123951"/>
          <a:ext cx="6324600" cy="7810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1. The</a:t>
          </a: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 prices significantly vary on the amount, size, and the time at which the price is contracted therefore, the previous prices had significant price difference majorly due to amount and time.</a:t>
          </a:r>
        </a:p>
        <a:p>
          <a:pPr>
            <a:lnSpc>
              <a:spcPct val="150000"/>
            </a:lnSpc>
          </a:pPr>
          <a:r>
            <a:rPr lang="en-IN" sz="1000" baseline="0">
              <a:latin typeface="Arial" panose="020B0604020202020204" pitchFamily="34" charset="0"/>
              <a:cs typeface="Arial" panose="020B0604020202020204" pitchFamily="34" charset="0"/>
            </a:rPr>
            <a:t>2. The bulk prices of active ingredient have a significant lower value. </a:t>
          </a:r>
        </a:p>
        <a:p>
          <a:pPr>
            <a:lnSpc>
              <a:spcPct val="150000"/>
            </a:lnSpc>
          </a:pPr>
          <a:endParaRPr lang="en-IN" sz="10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endParaRPr lang="en-IN" sz="10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lport.com/shop/moleculelink/WOWBFOBYOAGEEA-UHFFFAOYSA-N/20001387?searchtype=text-search" TargetMode="External"/><Relationship Id="rId2" Type="http://schemas.openxmlformats.org/officeDocument/2006/relationships/hyperlink" Target="https://www.molport.com/shop/moleculelink/GCKZANITAMOIAR-XWVCPFKXSA-N/16638383?searchtype=text-search&amp;searchkey=6VDJ8KVMDD1361GO0RTQBA" TargetMode="External"/><Relationship Id="rId1" Type="http://schemas.openxmlformats.org/officeDocument/2006/relationships/hyperlink" Target="https://www.molport.com/shop/moleculelink/HRBKVYFZANMGRE-UHFFFAOYSA-N/3933352?searchkey=42BK5D8G7PE6D1GO0OL9LB&amp;searchtype=text-search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6741-C940-49AD-BE52-6FBBFA0AC1EE}">
  <dimension ref="A5:P24"/>
  <sheetViews>
    <sheetView showGridLines="0" workbookViewId="0">
      <selection activeCell="D16" sqref="D16"/>
    </sheetView>
  </sheetViews>
  <sheetFormatPr defaultColWidth="21.28515625" defaultRowHeight="15" x14ac:dyDescent="0.25"/>
  <sheetData>
    <row r="5" spans="1:16" x14ac:dyDescent="0.25">
      <c r="A5" s="1" t="s">
        <v>13</v>
      </c>
      <c r="B5" s="1" t="s">
        <v>25</v>
      </c>
      <c r="C5" s="1" t="s">
        <v>58</v>
      </c>
      <c r="D5" s="1" t="s">
        <v>57</v>
      </c>
      <c r="E5" s="1" t="s">
        <v>56</v>
      </c>
      <c r="F5" s="1" t="s">
        <v>55</v>
      </c>
      <c r="G5" s="1" t="s">
        <v>54</v>
      </c>
      <c r="H5" s="1" t="s">
        <v>53</v>
      </c>
      <c r="I5" s="1" t="s">
        <v>52</v>
      </c>
      <c r="J5" s="1" t="s">
        <v>51</v>
      </c>
      <c r="K5" s="1" t="s">
        <v>50</v>
      </c>
      <c r="L5" s="1" t="s">
        <v>49</v>
      </c>
      <c r="M5" s="1" t="s">
        <v>48</v>
      </c>
      <c r="N5" s="1" t="s">
        <v>47</v>
      </c>
      <c r="O5" s="1" t="s">
        <v>46</v>
      </c>
      <c r="P5" s="1" t="s">
        <v>45</v>
      </c>
    </row>
    <row r="6" spans="1:16" x14ac:dyDescent="0.25">
      <c r="A6" s="2" t="s">
        <v>31</v>
      </c>
      <c r="B6" s="3">
        <v>430.21</v>
      </c>
      <c r="C6" s="3">
        <v>155.12</v>
      </c>
      <c r="D6" s="3">
        <v>215.11</v>
      </c>
      <c r="E6" s="3">
        <v>277.16000000000003</v>
      </c>
      <c r="F6" s="3" t="s">
        <v>99</v>
      </c>
      <c r="G6" s="3">
        <v>351.61</v>
      </c>
      <c r="H6" s="3">
        <v>1573.58</v>
      </c>
      <c r="I6" s="3">
        <v>604.82000000000005</v>
      </c>
      <c r="J6" s="3" t="s">
        <v>99</v>
      </c>
      <c r="K6" s="3" t="s">
        <v>99</v>
      </c>
      <c r="L6" s="3" t="s">
        <v>99</v>
      </c>
      <c r="M6" s="3">
        <v>607.92999999999995</v>
      </c>
      <c r="N6" s="3">
        <v>6204.97</v>
      </c>
      <c r="O6" s="3">
        <v>1356.82</v>
      </c>
      <c r="P6" s="3">
        <v>3474.78</v>
      </c>
    </row>
    <row r="7" spans="1:16" x14ac:dyDescent="0.25">
      <c r="A7" s="2" t="s">
        <v>14</v>
      </c>
      <c r="B7" s="3">
        <v>446.51</v>
      </c>
      <c r="C7" s="3">
        <v>161</v>
      </c>
      <c r="D7" s="3">
        <v>223.25</v>
      </c>
      <c r="E7" s="3">
        <v>287.64999999999998</v>
      </c>
      <c r="F7" s="3" t="s">
        <v>99</v>
      </c>
      <c r="G7" s="3">
        <v>364.93</v>
      </c>
      <c r="H7" s="3">
        <v>1633.19</v>
      </c>
      <c r="I7" s="3">
        <v>627.74</v>
      </c>
      <c r="J7" s="3" t="s">
        <v>99</v>
      </c>
      <c r="K7" s="3" t="s">
        <v>99</v>
      </c>
      <c r="L7" s="3" t="s">
        <v>99</v>
      </c>
      <c r="M7" s="3">
        <v>630.96</v>
      </c>
      <c r="N7" s="3">
        <v>6440.03</v>
      </c>
      <c r="O7" s="3">
        <v>1408.22</v>
      </c>
      <c r="P7" s="3">
        <v>3606.41</v>
      </c>
    </row>
    <row r="8" spans="1:16" x14ac:dyDescent="0.25">
      <c r="A8" s="2" t="s">
        <v>30</v>
      </c>
      <c r="B8" s="3">
        <v>463.42</v>
      </c>
      <c r="C8" s="3">
        <v>167.1</v>
      </c>
      <c r="D8" s="3">
        <v>231.71</v>
      </c>
      <c r="E8" s="3">
        <v>298.55</v>
      </c>
      <c r="F8" s="3" t="s">
        <v>99</v>
      </c>
      <c r="G8" s="3">
        <v>378.76</v>
      </c>
      <c r="H8" s="3">
        <v>1695.06</v>
      </c>
      <c r="I8" s="3">
        <v>651.52</v>
      </c>
      <c r="J8" s="3" t="s">
        <v>99</v>
      </c>
      <c r="K8" s="3" t="s">
        <v>99</v>
      </c>
      <c r="L8" s="3" t="s">
        <v>99</v>
      </c>
      <c r="M8" s="3">
        <v>654.86</v>
      </c>
      <c r="N8" s="3">
        <v>6683.99</v>
      </c>
      <c r="O8" s="3">
        <v>1461.57</v>
      </c>
      <c r="P8" s="3">
        <v>3743.04</v>
      </c>
    </row>
    <row r="9" spans="1:16" x14ac:dyDescent="0.25">
      <c r="A9" s="2" t="s">
        <v>15</v>
      </c>
      <c r="B9" s="3">
        <v>480.98</v>
      </c>
      <c r="C9" s="3">
        <v>173.43</v>
      </c>
      <c r="D9" s="3">
        <v>240.49</v>
      </c>
      <c r="E9" s="3">
        <v>309.86</v>
      </c>
      <c r="F9" s="3" t="s">
        <v>99</v>
      </c>
      <c r="G9" s="3">
        <v>393.11</v>
      </c>
      <c r="H9" s="3">
        <v>1759.27</v>
      </c>
      <c r="I9" s="3">
        <v>676.2</v>
      </c>
      <c r="J9" s="3" t="s">
        <v>99</v>
      </c>
      <c r="K9" s="3" t="s">
        <v>99</v>
      </c>
      <c r="L9" s="3" t="s">
        <v>99</v>
      </c>
      <c r="M9" s="3">
        <v>679.67</v>
      </c>
      <c r="N9" s="3">
        <v>6937.2</v>
      </c>
      <c r="O9" s="3">
        <v>1516.93</v>
      </c>
      <c r="P9" s="3">
        <v>3884.83</v>
      </c>
    </row>
    <row r="10" spans="1:16" x14ac:dyDescent="0.25">
      <c r="A10" s="2" t="s">
        <v>29</v>
      </c>
      <c r="B10" s="3">
        <v>499.2</v>
      </c>
      <c r="C10" s="3">
        <v>180</v>
      </c>
      <c r="D10" s="3">
        <v>249.6</v>
      </c>
      <c r="E10" s="3">
        <v>321.60000000000002</v>
      </c>
      <c r="F10" s="3" t="s">
        <v>99</v>
      </c>
      <c r="G10" s="3">
        <v>408</v>
      </c>
      <c r="H10" s="3">
        <v>1825.92</v>
      </c>
      <c r="I10" s="3">
        <v>701.81</v>
      </c>
      <c r="J10" s="3" t="s">
        <v>99</v>
      </c>
      <c r="K10" s="3" t="s">
        <v>99</v>
      </c>
      <c r="L10" s="3" t="s">
        <v>99</v>
      </c>
      <c r="M10" s="3">
        <v>705.41</v>
      </c>
      <c r="N10" s="3">
        <v>7200</v>
      </c>
      <c r="O10" s="3">
        <v>1574.4</v>
      </c>
      <c r="P10" s="3">
        <v>4032</v>
      </c>
    </row>
    <row r="11" spans="1:16" x14ac:dyDescent="0.25">
      <c r="A11" s="2" t="s">
        <v>28</v>
      </c>
      <c r="B11" s="3">
        <v>531.4</v>
      </c>
      <c r="C11" s="3">
        <v>191.61</v>
      </c>
      <c r="D11" s="3">
        <v>265.7</v>
      </c>
      <c r="E11" s="3">
        <v>342.34</v>
      </c>
      <c r="F11" s="3" t="s">
        <v>99</v>
      </c>
      <c r="G11" s="3">
        <v>434.32</v>
      </c>
      <c r="H11" s="3">
        <v>1943.69</v>
      </c>
      <c r="I11" s="3">
        <v>747.08</v>
      </c>
      <c r="J11" s="3" t="s">
        <v>99</v>
      </c>
      <c r="K11" s="3" t="s">
        <v>99</v>
      </c>
      <c r="L11" s="3" t="s">
        <v>99</v>
      </c>
      <c r="M11" s="3">
        <v>750.91</v>
      </c>
      <c r="N11" s="3">
        <v>7664.4</v>
      </c>
      <c r="O11" s="3">
        <v>1675.95</v>
      </c>
      <c r="P11" s="3">
        <v>4292.0600000000004</v>
      </c>
    </row>
    <row r="12" spans="1:16" x14ac:dyDescent="0.25">
      <c r="A12" s="2" t="s">
        <v>27</v>
      </c>
      <c r="B12" s="3">
        <v>497.12</v>
      </c>
      <c r="C12" s="3">
        <v>179.25</v>
      </c>
      <c r="D12" s="3">
        <v>248.56</v>
      </c>
      <c r="E12" s="3">
        <v>320.26</v>
      </c>
      <c r="F12" s="3" t="s">
        <v>99</v>
      </c>
      <c r="G12" s="3">
        <v>406.3</v>
      </c>
      <c r="H12" s="3">
        <v>1818.32</v>
      </c>
      <c r="I12" s="3">
        <v>698.89</v>
      </c>
      <c r="J12" s="3" t="s">
        <v>99</v>
      </c>
      <c r="K12" s="3" t="s">
        <v>99</v>
      </c>
      <c r="L12" s="3" t="s">
        <v>99</v>
      </c>
      <c r="M12" s="3">
        <v>702.48</v>
      </c>
      <c r="N12" s="3">
        <v>7170.05</v>
      </c>
      <c r="O12" s="3">
        <v>1567.85</v>
      </c>
      <c r="P12" s="3">
        <v>4015.23</v>
      </c>
    </row>
    <row r="13" spans="1:16" x14ac:dyDescent="0.25">
      <c r="A13" s="2" t="s">
        <v>26</v>
      </c>
      <c r="B13" s="3">
        <v>509.3</v>
      </c>
      <c r="C13" s="3">
        <v>183.64</v>
      </c>
      <c r="D13" s="3">
        <v>254.65</v>
      </c>
      <c r="E13" s="3">
        <v>328.11</v>
      </c>
      <c r="F13" s="3" t="s">
        <v>99</v>
      </c>
      <c r="G13" s="3">
        <v>416.26</v>
      </c>
      <c r="H13" s="3">
        <v>1862.87</v>
      </c>
      <c r="I13" s="3">
        <v>716.02</v>
      </c>
      <c r="J13" s="3" t="s">
        <v>99</v>
      </c>
      <c r="K13" s="3" t="s">
        <v>99</v>
      </c>
      <c r="L13" s="3" t="s">
        <v>99</v>
      </c>
      <c r="M13" s="3">
        <v>719.69</v>
      </c>
      <c r="N13" s="3">
        <v>7345.71</v>
      </c>
      <c r="O13" s="3">
        <v>1606.26</v>
      </c>
      <c r="P13" s="3">
        <v>4113.6000000000004</v>
      </c>
    </row>
    <row r="15" spans="1:16" x14ac:dyDescent="0.25">
      <c r="A15" s="4" t="s">
        <v>16</v>
      </c>
      <c r="B15" s="4" t="s">
        <v>17</v>
      </c>
    </row>
    <row r="17" spans="2:16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2:16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2:16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2:16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2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2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2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2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97FA-0678-41DE-87C1-8795FBCAC2CA}">
  <dimension ref="A5:O15"/>
  <sheetViews>
    <sheetView showGridLines="0" workbookViewId="0">
      <selection activeCell="D9" sqref="D9"/>
    </sheetView>
  </sheetViews>
  <sheetFormatPr defaultRowHeight="15" x14ac:dyDescent="0.25"/>
  <cols>
    <col min="1" max="15" width="30.42578125" customWidth="1"/>
    <col min="16" max="16" width="25" customWidth="1"/>
  </cols>
  <sheetData>
    <row r="5" spans="1:15" ht="26.25" x14ac:dyDescent="0.25">
      <c r="A5" s="1" t="s">
        <v>13</v>
      </c>
      <c r="B5" s="1" t="s">
        <v>25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1" t="s">
        <v>24</v>
      </c>
      <c r="I5" s="5" t="s">
        <v>129</v>
      </c>
      <c r="J5" s="5" t="s">
        <v>130</v>
      </c>
      <c r="K5" s="5" t="s">
        <v>23</v>
      </c>
      <c r="L5" s="5" t="s">
        <v>23</v>
      </c>
      <c r="M5" s="5" t="s">
        <v>22</v>
      </c>
      <c r="N5" s="5" t="s">
        <v>21</v>
      </c>
      <c r="O5" s="1" t="s">
        <v>20</v>
      </c>
    </row>
    <row r="6" spans="1:15" x14ac:dyDescent="0.25">
      <c r="A6" s="2" t="s">
        <v>19</v>
      </c>
      <c r="B6" s="3">
        <v>678.31</v>
      </c>
      <c r="C6" s="3">
        <v>391.33</v>
      </c>
      <c r="D6" s="3">
        <v>417.42</v>
      </c>
      <c r="E6" s="3">
        <v>608.74</v>
      </c>
      <c r="F6" s="3">
        <v>408.72</v>
      </c>
      <c r="G6" s="3">
        <v>521.78</v>
      </c>
      <c r="H6" s="3" t="s">
        <v>99</v>
      </c>
      <c r="I6" s="3">
        <v>608.74</v>
      </c>
      <c r="J6" s="3">
        <v>965.29</v>
      </c>
      <c r="K6" s="3" t="s">
        <v>99</v>
      </c>
      <c r="L6" s="3">
        <v>2174.0700000000002</v>
      </c>
      <c r="M6" s="3">
        <v>3043.7</v>
      </c>
      <c r="N6" s="3">
        <v>1304.44</v>
      </c>
      <c r="O6" s="3">
        <v>2282.77</v>
      </c>
    </row>
    <row r="7" spans="1:15" x14ac:dyDescent="0.25">
      <c r="A7" s="2" t="s">
        <v>14</v>
      </c>
      <c r="B7" s="3">
        <v>696.77</v>
      </c>
      <c r="C7" s="3">
        <v>401.99</v>
      </c>
      <c r="D7" s="3">
        <v>428.78</v>
      </c>
      <c r="E7" s="3">
        <v>625.30999999999995</v>
      </c>
      <c r="F7" s="3">
        <v>419.85</v>
      </c>
      <c r="G7" s="3">
        <v>535.98</v>
      </c>
      <c r="H7" s="3" t="s">
        <v>99</v>
      </c>
      <c r="I7" s="3">
        <v>625.30999999999995</v>
      </c>
      <c r="J7" s="3">
        <v>991.56</v>
      </c>
      <c r="K7" s="3" t="s">
        <v>99</v>
      </c>
      <c r="L7" s="3">
        <v>2233.25</v>
      </c>
      <c r="M7" s="3">
        <v>3126.55</v>
      </c>
      <c r="N7" s="3">
        <v>1339.95</v>
      </c>
      <c r="O7" s="3">
        <v>2344.91</v>
      </c>
    </row>
    <row r="8" spans="1:15" x14ac:dyDescent="0.25">
      <c r="A8" s="2" t="s">
        <v>15</v>
      </c>
      <c r="B8" s="6">
        <v>780</v>
      </c>
      <c r="C8" s="6">
        <v>450</v>
      </c>
      <c r="D8" s="6">
        <v>480</v>
      </c>
      <c r="E8" s="6">
        <v>700</v>
      </c>
      <c r="F8" s="6">
        <v>470</v>
      </c>
      <c r="G8" s="6">
        <v>600</v>
      </c>
      <c r="H8" s="3" t="s">
        <v>99</v>
      </c>
      <c r="I8" s="6">
        <v>700</v>
      </c>
      <c r="J8" s="6">
        <v>1110</v>
      </c>
      <c r="K8" s="3" t="s">
        <v>99</v>
      </c>
      <c r="L8" s="6">
        <v>2500</v>
      </c>
      <c r="M8" s="6">
        <v>3500</v>
      </c>
      <c r="N8" s="6">
        <v>1500</v>
      </c>
      <c r="O8" s="6">
        <v>2625</v>
      </c>
    </row>
    <row r="9" spans="1:15" x14ac:dyDescent="0.25">
      <c r="A9" s="29" t="s">
        <v>120</v>
      </c>
      <c r="B9">
        <v>780</v>
      </c>
      <c r="C9">
        <v>450</v>
      </c>
      <c r="D9">
        <v>480</v>
      </c>
      <c r="E9">
        <v>700</v>
      </c>
      <c r="F9">
        <v>470</v>
      </c>
      <c r="G9">
        <v>600</v>
      </c>
      <c r="N9">
        <v>1500</v>
      </c>
    </row>
    <row r="10" spans="1:15" x14ac:dyDescent="0.25">
      <c r="A10" s="29" t="s">
        <v>123</v>
      </c>
      <c r="B10" s="30">
        <f>(B9-B8)/B9</f>
        <v>0</v>
      </c>
      <c r="C10" s="30">
        <f t="shared" ref="C10:O10" si="0">(C9-C8)/C9</f>
        <v>0</v>
      </c>
      <c r="D10" s="30">
        <f t="shared" si="0"/>
        <v>0</v>
      </c>
      <c r="E10" s="30">
        <f t="shared" si="0"/>
        <v>0</v>
      </c>
      <c r="F10" s="30">
        <f t="shared" si="0"/>
        <v>0</v>
      </c>
      <c r="G10" s="30">
        <f t="shared" si="0"/>
        <v>0</v>
      </c>
      <c r="H10" s="30" t="e">
        <f t="shared" si="0"/>
        <v>#VALUE!</v>
      </c>
      <c r="I10" s="30" t="e">
        <f t="shared" si="0"/>
        <v>#DIV/0!</v>
      </c>
      <c r="J10" s="30" t="e">
        <f t="shared" si="0"/>
        <v>#DIV/0!</v>
      </c>
      <c r="K10" s="30" t="e">
        <f t="shared" si="0"/>
        <v>#VALUE!</v>
      </c>
      <c r="L10" s="30" t="e">
        <f t="shared" si="0"/>
        <v>#DIV/0!</v>
      </c>
      <c r="M10" s="30" t="e">
        <f t="shared" si="0"/>
        <v>#DIV/0!</v>
      </c>
      <c r="N10" s="30">
        <f t="shared" si="0"/>
        <v>0</v>
      </c>
      <c r="O10" s="30" t="e">
        <f t="shared" si="0"/>
        <v>#DIV/0!</v>
      </c>
    </row>
    <row r="11" spans="1:15" x14ac:dyDescent="0.25">
      <c r="A11" s="4" t="s">
        <v>16</v>
      </c>
      <c r="B11" s="4" t="s">
        <v>17</v>
      </c>
    </row>
    <row r="13" spans="1:15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31D9-AC47-4D7D-B672-6E8BB65C5DAB}">
  <dimension ref="A5:N24"/>
  <sheetViews>
    <sheetView showGridLines="0" workbookViewId="0">
      <selection activeCell="D17" sqref="D17"/>
    </sheetView>
  </sheetViews>
  <sheetFormatPr defaultRowHeight="15" x14ac:dyDescent="0.25"/>
  <cols>
    <col min="1" max="1" width="12.85546875" customWidth="1"/>
    <col min="2" max="14" width="15.5703125" customWidth="1"/>
  </cols>
  <sheetData>
    <row r="5" spans="1:14" x14ac:dyDescent="0.25">
      <c r="A5" s="1" t="s">
        <v>13</v>
      </c>
      <c r="B5" s="1" t="s">
        <v>44</v>
      </c>
      <c r="C5" s="1" t="s">
        <v>43</v>
      </c>
      <c r="D5" s="1" t="s">
        <v>42</v>
      </c>
      <c r="E5" s="1" t="s">
        <v>41</v>
      </c>
      <c r="F5" s="1" t="s">
        <v>40</v>
      </c>
      <c r="G5" s="1" t="s">
        <v>39</v>
      </c>
      <c r="H5" s="1" t="s">
        <v>38</v>
      </c>
      <c r="I5" s="1" t="s">
        <v>37</v>
      </c>
      <c r="J5" s="1" t="s">
        <v>36</v>
      </c>
      <c r="K5" s="1" t="s">
        <v>35</v>
      </c>
      <c r="L5" s="1" t="s">
        <v>34</v>
      </c>
      <c r="M5" s="1" t="s">
        <v>33</v>
      </c>
      <c r="N5" s="1" t="s">
        <v>32</v>
      </c>
    </row>
    <row r="6" spans="1:14" x14ac:dyDescent="0.25">
      <c r="A6" s="2" t="s">
        <v>31</v>
      </c>
      <c r="B6" s="3">
        <v>172.36</v>
      </c>
      <c r="C6" s="3">
        <v>85.97</v>
      </c>
      <c r="D6" s="3">
        <v>150.82</v>
      </c>
      <c r="E6" s="3">
        <v>8581.66</v>
      </c>
      <c r="F6" s="3">
        <v>2146.92</v>
      </c>
      <c r="G6" s="13">
        <v>7756206.9000000004</v>
      </c>
      <c r="H6" s="13">
        <v>180978160.94</v>
      </c>
      <c r="I6" s="13">
        <v>43090038.32</v>
      </c>
      <c r="J6" s="13">
        <v>8618007.6600000001</v>
      </c>
      <c r="K6" s="3">
        <v>603.26</v>
      </c>
      <c r="L6" s="3">
        <v>1719.29</v>
      </c>
      <c r="M6" s="3">
        <v>1004.86</v>
      </c>
      <c r="N6" s="13">
        <v>15512413.800000001</v>
      </c>
    </row>
    <row r="7" spans="1:14" x14ac:dyDescent="0.25">
      <c r="A7" s="2" t="s">
        <v>14</v>
      </c>
      <c r="B7" s="3">
        <v>178.89</v>
      </c>
      <c r="C7" s="3">
        <v>88.83</v>
      </c>
      <c r="D7" s="3">
        <v>156.53</v>
      </c>
      <c r="E7" s="3">
        <v>8906.76</v>
      </c>
      <c r="F7" s="3">
        <v>2228.25</v>
      </c>
      <c r="G7" s="13">
        <v>8050033.1100000003</v>
      </c>
      <c r="H7" s="13">
        <v>187834105.80000001</v>
      </c>
      <c r="I7" s="13">
        <v>44722406.140000001</v>
      </c>
      <c r="J7" s="13">
        <v>8944481.2300000004</v>
      </c>
      <c r="K7" s="3">
        <v>626.11</v>
      </c>
      <c r="L7" s="3">
        <v>1784.42</v>
      </c>
      <c r="M7" s="3">
        <v>1042.93</v>
      </c>
      <c r="N7" s="13">
        <v>16100066.210000001</v>
      </c>
    </row>
    <row r="8" spans="1:14" x14ac:dyDescent="0.25">
      <c r="A8" s="2" t="s">
        <v>30</v>
      </c>
      <c r="B8" s="3">
        <v>185.67</v>
      </c>
      <c r="C8" s="3">
        <v>91.79</v>
      </c>
      <c r="D8" s="3">
        <v>162.46</v>
      </c>
      <c r="E8" s="3">
        <v>9244.17</v>
      </c>
      <c r="F8" s="3">
        <v>2312.66</v>
      </c>
      <c r="G8" s="13">
        <v>8354990.25</v>
      </c>
      <c r="H8" s="13">
        <v>194949772.5</v>
      </c>
      <c r="I8" s="13">
        <v>46416612.5</v>
      </c>
      <c r="J8" s="13">
        <v>9283322.5</v>
      </c>
      <c r="K8" s="3">
        <v>649.83000000000004</v>
      </c>
      <c r="L8" s="3">
        <v>1852.02</v>
      </c>
      <c r="M8" s="3">
        <v>1082.44</v>
      </c>
      <c r="N8" s="13">
        <v>16709980.5</v>
      </c>
    </row>
    <row r="9" spans="1:14" x14ac:dyDescent="0.25">
      <c r="A9" s="2" t="s">
        <v>15</v>
      </c>
      <c r="B9" s="3">
        <v>192.7</v>
      </c>
      <c r="C9" s="3">
        <v>94.84</v>
      </c>
      <c r="D9" s="3">
        <v>168.61</v>
      </c>
      <c r="E9" s="3">
        <v>9635</v>
      </c>
      <c r="F9" s="3">
        <v>2400.27</v>
      </c>
      <c r="G9" s="13">
        <v>8671500</v>
      </c>
      <c r="H9" s="13">
        <v>202335000</v>
      </c>
      <c r="I9" s="13">
        <v>48175000</v>
      </c>
      <c r="J9" s="13">
        <v>9635000</v>
      </c>
      <c r="K9" s="3">
        <v>674.45</v>
      </c>
      <c r="L9" s="3">
        <v>1922.18</v>
      </c>
      <c r="M9" s="3">
        <v>1123.44</v>
      </c>
      <c r="N9" s="13">
        <v>17343000</v>
      </c>
    </row>
    <row r="10" spans="1:14" x14ac:dyDescent="0.25">
      <c r="A10" s="2" t="s">
        <v>29</v>
      </c>
      <c r="B10" s="6">
        <v>200</v>
      </c>
      <c r="C10" s="6">
        <v>98</v>
      </c>
      <c r="D10" s="6">
        <v>175</v>
      </c>
      <c r="E10" s="6">
        <v>10000</v>
      </c>
      <c r="F10" s="3">
        <v>2491.1999999999998</v>
      </c>
      <c r="G10" s="14">
        <v>9000000</v>
      </c>
      <c r="H10" s="14">
        <v>210000000</v>
      </c>
      <c r="I10" s="14">
        <v>50000000</v>
      </c>
      <c r="J10" s="14">
        <v>10000000</v>
      </c>
      <c r="K10" s="6">
        <v>700</v>
      </c>
      <c r="L10" s="6">
        <v>1995</v>
      </c>
      <c r="M10" s="6">
        <v>1166</v>
      </c>
      <c r="N10" s="14">
        <v>18000000</v>
      </c>
    </row>
    <row r="11" spans="1:14" x14ac:dyDescent="0.25">
      <c r="A11" s="2" t="s">
        <v>28</v>
      </c>
      <c r="B11" s="3">
        <v>216.86</v>
      </c>
      <c r="C11" s="3">
        <v>106.26</v>
      </c>
      <c r="D11" s="3">
        <v>189.75</v>
      </c>
      <c r="E11" s="3">
        <v>10843</v>
      </c>
      <c r="F11" s="3">
        <v>2701.21</v>
      </c>
      <c r="G11" s="13">
        <v>9758700</v>
      </c>
      <c r="H11" s="13">
        <v>227703000</v>
      </c>
      <c r="I11" s="13">
        <v>54215000</v>
      </c>
      <c r="J11" s="13">
        <v>10843000</v>
      </c>
      <c r="K11" s="3">
        <v>759.01</v>
      </c>
      <c r="L11" s="3">
        <v>2163.1799999999998</v>
      </c>
      <c r="M11" s="3">
        <v>1264.29</v>
      </c>
      <c r="N11" s="13">
        <v>19517400</v>
      </c>
    </row>
    <row r="12" spans="1:14" x14ac:dyDescent="0.25">
      <c r="A12" s="2" t="s">
        <v>27</v>
      </c>
      <c r="B12" s="3">
        <v>235.14</v>
      </c>
      <c r="C12" s="3">
        <v>115.22</v>
      </c>
      <c r="D12" s="3">
        <v>205.75</v>
      </c>
      <c r="E12" s="3">
        <v>11757.06</v>
      </c>
      <c r="F12" s="3">
        <v>2928.92</v>
      </c>
      <c r="G12" s="13">
        <v>10581358.41</v>
      </c>
      <c r="H12" s="13">
        <v>246898362.90000001</v>
      </c>
      <c r="I12" s="13">
        <v>58785324.5</v>
      </c>
      <c r="J12" s="13">
        <v>11757064.9</v>
      </c>
      <c r="K12" s="3">
        <v>822.99</v>
      </c>
      <c r="L12" s="3">
        <v>2345.5300000000002</v>
      </c>
      <c r="M12" s="3">
        <v>1370.87</v>
      </c>
      <c r="N12" s="13">
        <v>21162716.82</v>
      </c>
    </row>
    <row r="13" spans="1:14" x14ac:dyDescent="0.25">
      <c r="A13" s="2" t="s">
        <v>26</v>
      </c>
      <c r="B13" s="3">
        <v>254.96</v>
      </c>
      <c r="C13" s="3">
        <v>124.93</v>
      </c>
      <c r="D13" s="3">
        <v>223.09</v>
      </c>
      <c r="E13" s="3">
        <v>12748.19</v>
      </c>
      <c r="F13" s="3">
        <v>3175.83</v>
      </c>
      <c r="G13" s="13">
        <v>11473366.92</v>
      </c>
      <c r="H13" s="13">
        <v>267711894.88999999</v>
      </c>
      <c r="I13" s="13">
        <v>63740927.359999999</v>
      </c>
      <c r="J13" s="13">
        <v>12748185.470000001</v>
      </c>
      <c r="K13" s="3">
        <v>892.37</v>
      </c>
      <c r="L13" s="3">
        <v>2543.2600000000002</v>
      </c>
      <c r="M13" s="3">
        <v>1486.44</v>
      </c>
      <c r="N13" s="13">
        <v>22946733.850000001</v>
      </c>
    </row>
    <row r="14" spans="1:14" x14ac:dyDescent="0.25">
      <c r="E14" s="9"/>
    </row>
    <row r="15" spans="1:14" x14ac:dyDescent="0.25">
      <c r="A15" s="4" t="s">
        <v>16</v>
      </c>
      <c r="B15" s="4" t="s">
        <v>17</v>
      </c>
      <c r="E15" s="9"/>
    </row>
    <row r="16" spans="1:14" x14ac:dyDescent="0.25">
      <c r="E16" s="9"/>
      <c r="F16" s="1" t="s">
        <v>39</v>
      </c>
      <c r="G16" t="s">
        <v>105</v>
      </c>
    </row>
    <row r="17" spans="2:14" x14ac:dyDescent="0.25">
      <c r="B17" s="9"/>
      <c r="C17" s="9"/>
      <c r="D17" s="9"/>
      <c r="E17" s="9"/>
      <c r="F17" s="1" t="s">
        <v>38</v>
      </c>
      <c r="G17" s="9" t="s">
        <v>106</v>
      </c>
      <c r="H17" s="9"/>
      <c r="I17" s="9"/>
      <c r="J17" s="9"/>
      <c r="K17" s="9"/>
      <c r="L17" s="9"/>
      <c r="M17" s="9"/>
      <c r="N17" s="9"/>
    </row>
    <row r="18" spans="2:14" x14ac:dyDescent="0.25">
      <c r="B18" s="9"/>
      <c r="C18" s="9"/>
      <c r="D18" s="9"/>
      <c r="E18" s="9"/>
      <c r="F18" s="1" t="s">
        <v>37</v>
      </c>
      <c r="G18" s="9" t="s">
        <v>107</v>
      </c>
      <c r="H18" s="9"/>
      <c r="I18" s="9"/>
      <c r="J18" s="9"/>
      <c r="K18" s="9"/>
      <c r="L18" s="9"/>
      <c r="M18" s="9"/>
      <c r="N18" s="9"/>
    </row>
    <row r="19" spans="2:14" x14ac:dyDescent="0.25">
      <c r="B19" s="9"/>
      <c r="C19" s="9"/>
      <c r="D19" s="9"/>
      <c r="E19" s="9"/>
      <c r="F19" s="1" t="s">
        <v>36</v>
      </c>
      <c r="G19" s="9" t="s">
        <v>108</v>
      </c>
      <c r="H19" s="9"/>
      <c r="I19" s="9"/>
      <c r="J19" s="9"/>
      <c r="K19" s="9"/>
      <c r="L19" s="9"/>
      <c r="M19" s="9"/>
      <c r="N19" s="9"/>
    </row>
    <row r="20" spans="2:14" x14ac:dyDescent="0.25">
      <c r="B20" s="9"/>
      <c r="C20" s="9"/>
      <c r="D20" s="9"/>
      <c r="E20" s="9"/>
      <c r="F20" s="1" t="s">
        <v>32</v>
      </c>
      <c r="G20" s="9" t="s">
        <v>109</v>
      </c>
      <c r="H20" s="9"/>
      <c r="I20" s="9"/>
      <c r="J20" s="9"/>
      <c r="K20" s="9"/>
      <c r="L20" s="9"/>
      <c r="M20" s="9"/>
      <c r="N20" s="9"/>
    </row>
    <row r="21" spans="2:14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E540-209F-4319-82E3-F8481175B113}">
  <dimension ref="A5:O15"/>
  <sheetViews>
    <sheetView showGridLines="0" workbookViewId="0">
      <selection activeCell="D9" sqref="D9"/>
    </sheetView>
  </sheetViews>
  <sheetFormatPr defaultRowHeight="15" x14ac:dyDescent="0.25"/>
  <cols>
    <col min="1" max="10" width="33.5703125" customWidth="1"/>
    <col min="11" max="11" width="41" bestFit="1" customWidth="1"/>
    <col min="12" max="12" width="33.5703125" customWidth="1"/>
    <col min="13" max="13" width="41.85546875" bestFit="1" customWidth="1"/>
    <col min="14" max="14" width="38.85546875" bestFit="1" customWidth="1"/>
    <col min="15" max="15" width="33.5703125" customWidth="1"/>
  </cols>
  <sheetData>
    <row r="5" spans="1:15" x14ac:dyDescent="0.25">
      <c r="A5" s="1" t="s">
        <v>13</v>
      </c>
      <c r="B5" s="1" t="s">
        <v>86</v>
      </c>
      <c r="C5" s="1" t="s">
        <v>87</v>
      </c>
      <c r="D5" s="1" t="s">
        <v>88</v>
      </c>
      <c r="E5" s="1" t="s">
        <v>89</v>
      </c>
      <c r="F5" s="1" t="s">
        <v>90</v>
      </c>
      <c r="G5" s="1" t="s">
        <v>91</v>
      </c>
      <c r="H5" s="1" t="s">
        <v>92</v>
      </c>
      <c r="I5" s="1" t="s">
        <v>93</v>
      </c>
      <c r="J5" s="1" t="s">
        <v>94</v>
      </c>
      <c r="K5" s="1" t="s">
        <v>95</v>
      </c>
      <c r="L5" s="1" t="s">
        <v>96</v>
      </c>
      <c r="M5" s="1" t="s">
        <v>97</v>
      </c>
      <c r="N5" s="1" t="s">
        <v>98</v>
      </c>
      <c r="O5" s="1" t="s">
        <v>117</v>
      </c>
    </row>
    <row r="6" spans="1:15" x14ac:dyDescent="0.25">
      <c r="A6" s="2" t="s">
        <v>19</v>
      </c>
      <c r="B6" s="3">
        <v>119.04</v>
      </c>
      <c r="C6" s="3">
        <v>117.34</v>
      </c>
      <c r="D6" s="3">
        <v>190.79</v>
      </c>
      <c r="E6" s="3">
        <v>281.14</v>
      </c>
      <c r="F6" s="3">
        <v>203.99</v>
      </c>
      <c r="G6" s="3">
        <v>97.3</v>
      </c>
      <c r="H6" s="3">
        <v>158.9</v>
      </c>
      <c r="I6" s="3">
        <v>258.51</v>
      </c>
      <c r="J6" s="3">
        <v>126.48</v>
      </c>
      <c r="K6" s="3">
        <v>445.88</v>
      </c>
      <c r="L6" s="3">
        <v>637.74</v>
      </c>
      <c r="M6" s="3">
        <v>467.14</v>
      </c>
      <c r="N6" s="3">
        <v>483.62</v>
      </c>
      <c r="O6" s="3">
        <v>690.88</v>
      </c>
    </row>
    <row r="7" spans="1:15" x14ac:dyDescent="0.25">
      <c r="A7" s="2" t="s">
        <v>14</v>
      </c>
      <c r="B7" s="3">
        <v>123.04</v>
      </c>
      <c r="C7" s="3">
        <v>121.29</v>
      </c>
      <c r="D7" s="3">
        <v>197.2</v>
      </c>
      <c r="E7" s="3">
        <v>290.58</v>
      </c>
      <c r="F7" s="3">
        <v>210.84</v>
      </c>
      <c r="G7" s="3">
        <v>100.57</v>
      </c>
      <c r="H7" s="3">
        <v>164.24</v>
      </c>
      <c r="I7" s="3">
        <v>267.19</v>
      </c>
      <c r="J7" s="3">
        <v>130.72999999999999</v>
      </c>
      <c r="K7" s="3">
        <v>460.86</v>
      </c>
      <c r="L7" s="3">
        <v>659.16</v>
      </c>
      <c r="M7" s="3">
        <v>482.83</v>
      </c>
      <c r="N7" s="3">
        <v>499.86</v>
      </c>
      <c r="O7" s="3">
        <v>714.09</v>
      </c>
    </row>
    <row r="8" spans="1:15" x14ac:dyDescent="0.25">
      <c r="A8" s="2" t="s">
        <v>15</v>
      </c>
      <c r="B8" s="3">
        <v>134.4</v>
      </c>
      <c r="C8" s="3">
        <v>132.47999999999999</v>
      </c>
      <c r="D8" s="3">
        <v>215.4</v>
      </c>
      <c r="E8" s="3">
        <v>317.39999999999998</v>
      </c>
      <c r="F8" s="3">
        <v>230.3</v>
      </c>
      <c r="G8" s="3">
        <v>109.85</v>
      </c>
      <c r="H8" s="3">
        <v>179.4</v>
      </c>
      <c r="I8" s="3">
        <v>291.85000000000002</v>
      </c>
      <c r="J8" s="3">
        <v>142.80000000000001</v>
      </c>
      <c r="K8" s="3">
        <v>503.4</v>
      </c>
      <c r="L8" s="3">
        <v>720</v>
      </c>
      <c r="M8" s="3">
        <v>527.4</v>
      </c>
      <c r="N8" s="3">
        <v>546</v>
      </c>
      <c r="O8" s="3">
        <v>780</v>
      </c>
    </row>
    <row r="9" spans="1:15" x14ac:dyDescent="0.25">
      <c r="A9" s="29" t="s">
        <v>121</v>
      </c>
      <c r="B9" s="19">
        <v>460</v>
      </c>
      <c r="E9" s="19">
        <v>840</v>
      </c>
      <c r="F9" s="19">
        <v>320</v>
      </c>
      <c r="G9" s="19">
        <v>700</v>
      </c>
      <c r="H9" s="19">
        <v>2200</v>
      </c>
      <c r="I9" s="19">
        <v>1200</v>
      </c>
      <c r="J9" s="21">
        <v>1520</v>
      </c>
      <c r="L9" s="19">
        <v>1800</v>
      </c>
      <c r="M9" s="19">
        <v>840</v>
      </c>
      <c r="N9" s="19">
        <v>1500</v>
      </c>
      <c r="O9" s="21">
        <v>1436</v>
      </c>
    </row>
    <row r="10" spans="1:15" x14ac:dyDescent="0.25">
      <c r="A10" s="31" t="s">
        <v>123</v>
      </c>
      <c r="B10" s="32">
        <f>(B9-B8)/B9</f>
        <v>0.70782608695652183</v>
      </c>
      <c r="C10" s="32" t="e">
        <f t="shared" ref="C10:O10" si="0">(C9-C8)/C9</f>
        <v>#DIV/0!</v>
      </c>
      <c r="D10" s="32" t="e">
        <f t="shared" si="0"/>
        <v>#DIV/0!</v>
      </c>
      <c r="E10" s="32">
        <f t="shared" si="0"/>
        <v>0.62214285714285722</v>
      </c>
      <c r="F10" s="32">
        <f t="shared" si="0"/>
        <v>0.28031249999999996</v>
      </c>
      <c r="G10" s="32">
        <f t="shared" si="0"/>
        <v>0.84307142857142858</v>
      </c>
      <c r="H10" s="32">
        <f t="shared" si="0"/>
        <v>0.91845454545454541</v>
      </c>
      <c r="I10" s="32">
        <f t="shared" si="0"/>
        <v>0.75679166666666664</v>
      </c>
      <c r="J10" s="32">
        <f t="shared" si="0"/>
        <v>0.90605263157894744</v>
      </c>
      <c r="K10" s="32" t="e">
        <f t="shared" si="0"/>
        <v>#DIV/0!</v>
      </c>
      <c r="L10" s="32">
        <f t="shared" si="0"/>
        <v>0.6</v>
      </c>
      <c r="M10" s="32">
        <f t="shared" si="0"/>
        <v>0.37214285714285716</v>
      </c>
      <c r="N10" s="32">
        <f t="shared" si="0"/>
        <v>0.63600000000000001</v>
      </c>
      <c r="O10" s="32">
        <f t="shared" si="0"/>
        <v>0.45682451253481893</v>
      </c>
    </row>
    <row r="11" spans="1:15" x14ac:dyDescent="0.25">
      <c r="A11" s="4" t="s">
        <v>16</v>
      </c>
      <c r="B11" s="4" t="s">
        <v>17</v>
      </c>
      <c r="I11" s="3">
        <v>291.85000000000002</v>
      </c>
      <c r="J11" s="3">
        <v>142.80000000000001</v>
      </c>
      <c r="K11" s="3">
        <v>503.4</v>
      </c>
      <c r="O11" s="3">
        <v>780</v>
      </c>
    </row>
    <row r="12" spans="1:15" x14ac:dyDescent="0.25">
      <c r="I12" s="24">
        <f>I11*25%</f>
        <v>72.962500000000006</v>
      </c>
      <c r="J12" s="21">
        <f>J11*75%</f>
        <v>107.10000000000001</v>
      </c>
      <c r="K12" s="24">
        <f>K11*11%</f>
        <v>55.373999999999995</v>
      </c>
      <c r="O12" s="21">
        <f>O11*8%+O11*64%</f>
        <v>561.6</v>
      </c>
    </row>
    <row r="13" spans="1:15" x14ac:dyDescent="0.25">
      <c r="B13" s="9"/>
      <c r="C13" s="9"/>
      <c r="D13" s="9"/>
      <c r="E13" s="9"/>
      <c r="F13" s="9"/>
      <c r="G13" s="9"/>
      <c r="H13" s="9"/>
      <c r="I13" s="9"/>
      <c r="J13" s="9"/>
      <c r="K13" s="3">
        <v>503.4</v>
      </c>
      <c r="L13" s="9"/>
      <c r="M13" s="9"/>
      <c r="N13" s="9"/>
      <c r="O13" s="9">
        <f>359*4</f>
        <v>1436</v>
      </c>
    </row>
    <row r="14" spans="1:15" x14ac:dyDescent="0.25">
      <c r="B14" s="9"/>
      <c r="C14" s="9"/>
      <c r="D14" s="9"/>
      <c r="E14" s="9"/>
      <c r="F14" s="9"/>
      <c r="G14" s="9"/>
      <c r="H14" s="9"/>
      <c r="I14" s="9"/>
      <c r="J14" s="9">
        <f>380*4</f>
        <v>1520</v>
      </c>
      <c r="K14" s="24">
        <f>K13*18.3%</f>
        <v>92.122199999999992</v>
      </c>
      <c r="L14" s="9"/>
      <c r="M14" s="9"/>
      <c r="N14" s="9"/>
      <c r="O14" s="9"/>
    </row>
    <row r="15" spans="1:15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16DD-E76C-4670-AA59-E8686A9B93ED}">
  <dimension ref="A5:AB23"/>
  <sheetViews>
    <sheetView showGridLines="0" zoomScale="95" workbookViewId="0">
      <selection activeCell="C17" sqref="C17"/>
    </sheetView>
  </sheetViews>
  <sheetFormatPr defaultColWidth="20.140625" defaultRowHeight="15" x14ac:dyDescent="0.25"/>
  <sheetData>
    <row r="5" spans="1:28" x14ac:dyDescent="0.25">
      <c r="A5" s="1" t="s">
        <v>13</v>
      </c>
      <c r="B5" s="1" t="s">
        <v>85</v>
      </c>
      <c r="C5" s="1" t="s">
        <v>84</v>
      </c>
      <c r="D5" s="1" t="s">
        <v>83</v>
      </c>
      <c r="E5" s="1" t="s">
        <v>82</v>
      </c>
      <c r="F5" s="1" t="s">
        <v>81</v>
      </c>
      <c r="G5" s="1" t="s">
        <v>80</v>
      </c>
      <c r="H5" s="1" t="s">
        <v>79</v>
      </c>
      <c r="I5" s="1" t="s">
        <v>78</v>
      </c>
      <c r="J5" s="1" t="s">
        <v>77</v>
      </c>
      <c r="K5" s="1" t="s">
        <v>76</v>
      </c>
      <c r="L5" s="1" t="s">
        <v>75</v>
      </c>
      <c r="M5" s="1" t="s">
        <v>74</v>
      </c>
      <c r="N5" s="1" t="s">
        <v>73</v>
      </c>
      <c r="O5" s="1" t="s">
        <v>72</v>
      </c>
      <c r="P5" s="1" t="s">
        <v>71</v>
      </c>
      <c r="Q5" s="1" t="s">
        <v>70</v>
      </c>
      <c r="R5" s="1" t="s">
        <v>69</v>
      </c>
      <c r="S5" s="1" t="s">
        <v>68</v>
      </c>
      <c r="T5" s="1" t="s">
        <v>67</v>
      </c>
      <c r="U5" s="1" t="s">
        <v>66</v>
      </c>
      <c r="V5" s="1" t="s">
        <v>65</v>
      </c>
      <c r="W5" s="1" t="s">
        <v>64</v>
      </c>
      <c r="X5" s="1" t="s">
        <v>63</v>
      </c>
      <c r="Y5" s="1" t="s">
        <v>62</v>
      </c>
      <c r="Z5" s="1" t="s">
        <v>61</v>
      </c>
      <c r="AA5" s="1" t="s">
        <v>60</v>
      </c>
      <c r="AB5" s="1" t="s">
        <v>59</v>
      </c>
    </row>
    <row r="6" spans="1:28" x14ac:dyDescent="0.25">
      <c r="A6" s="2" t="s">
        <v>31</v>
      </c>
      <c r="B6" s="8">
        <v>607.96</v>
      </c>
      <c r="C6" s="8">
        <v>2338.3000000000002</v>
      </c>
      <c r="D6" s="8">
        <v>58.46</v>
      </c>
      <c r="E6" s="11">
        <v>20951185.239999998</v>
      </c>
      <c r="F6" s="11">
        <v>58074651.170000002</v>
      </c>
      <c r="G6" s="11">
        <v>3682825.53</v>
      </c>
      <c r="H6" s="8">
        <v>1461.44</v>
      </c>
      <c r="I6" s="11">
        <v>409202836.77999997</v>
      </c>
      <c r="J6" s="8">
        <v>526.12</v>
      </c>
      <c r="K6" s="8">
        <v>556.37</v>
      </c>
      <c r="L6" s="8">
        <v>1373.75</v>
      </c>
      <c r="M6" s="8">
        <v>226.76</v>
      </c>
      <c r="N6" s="8">
        <v>529.79999999999995</v>
      </c>
      <c r="O6" s="8">
        <v>570.84</v>
      </c>
      <c r="P6" s="8">
        <v>12758.62</v>
      </c>
      <c r="Q6" s="8">
        <v>683.95</v>
      </c>
      <c r="R6" s="8">
        <v>107.85</v>
      </c>
      <c r="S6" s="8">
        <v>6793.54</v>
      </c>
      <c r="T6" s="11">
        <v>4197719.6100000003</v>
      </c>
      <c r="U6" s="3" t="s">
        <v>99</v>
      </c>
      <c r="V6" s="8">
        <v>526.12</v>
      </c>
      <c r="W6" s="8">
        <v>3944.54</v>
      </c>
      <c r="X6" s="8">
        <v>1315.29</v>
      </c>
      <c r="Y6" s="8">
        <v>11379.86</v>
      </c>
      <c r="Z6" s="8">
        <v>184.14</v>
      </c>
      <c r="AA6" s="8">
        <v>733.93</v>
      </c>
      <c r="AB6" s="11">
        <v>3577601.94</v>
      </c>
    </row>
    <row r="7" spans="1:28" x14ac:dyDescent="0.25">
      <c r="A7" s="2" t="s">
        <v>14</v>
      </c>
      <c r="B7" s="8">
        <v>695.29</v>
      </c>
      <c r="C7" s="8">
        <v>2674.18</v>
      </c>
      <c r="D7" s="8">
        <v>66.849999999999994</v>
      </c>
      <c r="E7" s="11">
        <v>23960641.859999999</v>
      </c>
      <c r="F7" s="11">
        <v>66416572.700000003</v>
      </c>
      <c r="G7" s="11">
        <v>4211831.58</v>
      </c>
      <c r="H7" s="8">
        <v>1671.36</v>
      </c>
      <c r="I7" s="11">
        <v>467981286.35000002</v>
      </c>
      <c r="J7" s="8">
        <v>601.69000000000005</v>
      </c>
      <c r="K7" s="8">
        <v>636.29</v>
      </c>
      <c r="L7" s="8">
        <v>1571.08</v>
      </c>
      <c r="M7" s="8">
        <v>259.33</v>
      </c>
      <c r="N7" s="8">
        <v>605.9</v>
      </c>
      <c r="O7" s="8">
        <v>652.83000000000004</v>
      </c>
      <c r="P7" s="8">
        <v>14591.28</v>
      </c>
      <c r="Q7" s="8">
        <v>782.2</v>
      </c>
      <c r="R7" s="8">
        <v>123.35</v>
      </c>
      <c r="S7" s="8">
        <v>7769.37</v>
      </c>
      <c r="T7" s="11">
        <v>4800685.74</v>
      </c>
      <c r="U7" s="3" t="s">
        <v>99</v>
      </c>
      <c r="V7" s="8">
        <v>601.69000000000005</v>
      </c>
      <c r="W7" s="8">
        <v>4511.1400000000003</v>
      </c>
      <c r="X7" s="8">
        <v>1504.23</v>
      </c>
      <c r="Y7" s="8">
        <v>13014.48</v>
      </c>
      <c r="Z7" s="8">
        <v>210.59</v>
      </c>
      <c r="AA7" s="8">
        <v>839.36</v>
      </c>
      <c r="AB7" s="11">
        <v>4091493.53</v>
      </c>
    </row>
    <row r="8" spans="1:28" x14ac:dyDescent="0.25">
      <c r="A8" s="2" t="s">
        <v>30</v>
      </c>
      <c r="B8" s="8">
        <v>795.16</v>
      </c>
      <c r="C8" s="8">
        <v>3058.3</v>
      </c>
      <c r="D8" s="8">
        <v>76.459999999999994</v>
      </c>
      <c r="E8" s="11">
        <v>27402380.899999999</v>
      </c>
      <c r="F8" s="11">
        <v>75956739.140000001</v>
      </c>
      <c r="G8" s="11">
        <v>4816824.7699999996</v>
      </c>
      <c r="H8" s="8">
        <v>1911.44</v>
      </c>
      <c r="I8" s="11">
        <v>535202752</v>
      </c>
      <c r="J8" s="8">
        <v>688.12</v>
      </c>
      <c r="K8" s="8">
        <v>727.69</v>
      </c>
      <c r="L8" s="8">
        <v>1796.75</v>
      </c>
      <c r="M8" s="8">
        <v>296.58</v>
      </c>
      <c r="N8" s="8">
        <v>692.93</v>
      </c>
      <c r="O8" s="8">
        <v>746.61</v>
      </c>
      <c r="P8" s="8">
        <v>16687.2</v>
      </c>
      <c r="Q8" s="8">
        <v>894.55</v>
      </c>
      <c r="R8" s="8">
        <v>141.06</v>
      </c>
      <c r="S8" s="8">
        <v>8885.3700000000008</v>
      </c>
      <c r="T8" s="11">
        <v>5490262.75</v>
      </c>
      <c r="U8" s="3" t="s">
        <v>99</v>
      </c>
      <c r="V8" s="8">
        <v>688.12</v>
      </c>
      <c r="W8" s="8">
        <v>5159.13</v>
      </c>
      <c r="X8" s="8">
        <v>1720.29</v>
      </c>
      <c r="Y8" s="8">
        <v>14883.9</v>
      </c>
      <c r="Z8" s="8">
        <v>240.84</v>
      </c>
      <c r="AA8" s="8">
        <v>959.92</v>
      </c>
      <c r="AB8" s="11">
        <v>4679201.2</v>
      </c>
    </row>
    <row r="9" spans="1:28" x14ac:dyDescent="0.25">
      <c r="A9" s="2" t="s">
        <v>15</v>
      </c>
      <c r="B9" s="8">
        <v>909.38</v>
      </c>
      <c r="C9" s="8">
        <v>3497.6</v>
      </c>
      <c r="D9" s="8">
        <v>87.44</v>
      </c>
      <c r="E9" s="11">
        <v>31338496</v>
      </c>
      <c r="F9" s="11">
        <v>86867268</v>
      </c>
      <c r="G9" s="11">
        <v>5508720</v>
      </c>
      <c r="H9" s="8">
        <v>2186</v>
      </c>
      <c r="I9" s="11">
        <v>612080000</v>
      </c>
      <c r="J9" s="8">
        <v>786.96</v>
      </c>
      <c r="K9" s="8">
        <v>832.22</v>
      </c>
      <c r="L9" s="8">
        <v>2054.84</v>
      </c>
      <c r="M9" s="8">
        <v>339.18</v>
      </c>
      <c r="N9" s="8">
        <v>792.47</v>
      </c>
      <c r="O9" s="8">
        <v>853.85</v>
      </c>
      <c r="P9" s="8">
        <v>19084.169999999998</v>
      </c>
      <c r="Q9" s="8">
        <v>1023.05</v>
      </c>
      <c r="R9" s="8">
        <v>161.33000000000001</v>
      </c>
      <c r="S9" s="8">
        <v>10161.68</v>
      </c>
      <c r="T9" s="11">
        <v>6278891.5199999996</v>
      </c>
      <c r="U9" s="3" t="s">
        <v>99</v>
      </c>
      <c r="V9" s="8">
        <v>786.96</v>
      </c>
      <c r="W9" s="8">
        <v>5900.2</v>
      </c>
      <c r="X9" s="8">
        <v>1967.4</v>
      </c>
      <c r="Y9" s="8">
        <v>17021.84</v>
      </c>
      <c r="Z9" s="8">
        <v>275.44</v>
      </c>
      <c r="AA9" s="8">
        <v>1097.81</v>
      </c>
      <c r="AB9" s="11">
        <v>5351328</v>
      </c>
    </row>
    <row r="10" spans="1:28" x14ac:dyDescent="0.25">
      <c r="A10" s="2" t="s">
        <v>29</v>
      </c>
      <c r="B10" s="7">
        <v>1040</v>
      </c>
      <c r="C10" s="7">
        <v>4000</v>
      </c>
      <c r="D10" s="7">
        <v>100</v>
      </c>
      <c r="E10" s="12">
        <v>35840000</v>
      </c>
      <c r="F10" s="12">
        <v>99345000</v>
      </c>
      <c r="G10" s="12">
        <v>6300000</v>
      </c>
      <c r="H10" s="7">
        <v>2500</v>
      </c>
      <c r="I10" s="12">
        <v>700000000</v>
      </c>
      <c r="J10" s="7">
        <v>900</v>
      </c>
      <c r="K10" s="8">
        <v>951.76</v>
      </c>
      <c r="L10" s="7">
        <v>2350</v>
      </c>
      <c r="M10" s="8">
        <v>387.9</v>
      </c>
      <c r="N10" s="8">
        <v>906.3</v>
      </c>
      <c r="O10" s="8">
        <v>976.5</v>
      </c>
      <c r="P10" s="8">
        <v>21825.439999999999</v>
      </c>
      <c r="Q10" s="7">
        <v>1170</v>
      </c>
      <c r="R10" s="8">
        <v>184.5</v>
      </c>
      <c r="S10" s="8">
        <v>11621.31</v>
      </c>
      <c r="T10" s="12">
        <v>7180800</v>
      </c>
      <c r="U10" s="3" t="s">
        <v>99</v>
      </c>
      <c r="V10" s="7">
        <v>900</v>
      </c>
      <c r="W10" s="8">
        <v>6747.71</v>
      </c>
      <c r="X10" s="8">
        <v>2250</v>
      </c>
      <c r="Y10" s="8">
        <v>19466.88</v>
      </c>
      <c r="Z10" s="8">
        <v>315</v>
      </c>
      <c r="AA10" s="8">
        <v>1255.5</v>
      </c>
      <c r="AB10" s="12">
        <v>6120000</v>
      </c>
    </row>
    <row r="11" spans="1:28" x14ac:dyDescent="0.25">
      <c r="A11" s="2" t="s">
        <v>28</v>
      </c>
      <c r="B11" s="3">
        <v>1191.1099999999999</v>
      </c>
      <c r="C11" s="3">
        <v>4581.2</v>
      </c>
      <c r="D11" s="3">
        <v>114.53</v>
      </c>
      <c r="E11" s="13">
        <v>41047552</v>
      </c>
      <c r="F11" s="13">
        <v>113779828.5</v>
      </c>
      <c r="G11" s="13">
        <v>7215390</v>
      </c>
      <c r="H11" s="3">
        <v>2863.25</v>
      </c>
      <c r="I11" s="13">
        <v>801710000</v>
      </c>
      <c r="J11" s="3">
        <v>1030.77</v>
      </c>
      <c r="K11" s="3">
        <v>1090.05</v>
      </c>
      <c r="L11" s="3">
        <v>2691.46</v>
      </c>
      <c r="M11" s="3">
        <v>444.26</v>
      </c>
      <c r="N11" s="3">
        <v>1037.99</v>
      </c>
      <c r="O11" s="3">
        <v>1118.3900000000001</v>
      </c>
      <c r="P11" s="3">
        <v>24996.68</v>
      </c>
      <c r="Q11" s="3">
        <v>1340</v>
      </c>
      <c r="R11" s="3">
        <v>211.31</v>
      </c>
      <c r="S11" s="3">
        <v>13309.89</v>
      </c>
      <c r="T11" s="13">
        <v>8224170.2400000002</v>
      </c>
      <c r="U11" s="3" t="s">
        <v>99</v>
      </c>
      <c r="V11" s="3">
        <v>1030.77</v>
      </c>
      <c r="W11" s="3">
        <v>7728.15</v>
      </c>
      <c r="X11" s="3">
        <v>2576.9299999999998</v>
      </c>
      <c r="Y11" s="3">
        <v>22295.42</v>
      </c>
      <c r="Z11" s="3">
        <v>360.77</v>
      </c>
      <c r="AA11" s="3">
        <v>1437.92</v>
      </c>
      <c r="AB11" s="13">
        <v>7009236</v>
      </c>
    </row>
    <row r="12" spans="1:28" x14ac:dyDescent="0.25">
      <c r="A12" s="2" t="s">
        <v>27</v>
      </c>
      <c r="B12" s="3">
        <v>1065.69</v>
      </c>
      <c r="C12" s="3">
        <v>4098.8</v>
      </c>
      <c r="D12" s="3">
        <v>102.47</v>
      </c>
      <c r="E12" s="13">
        <v>36725244.770000003</v>
      </c>
      <c r="F12" s="13">
        <v>101798812.56</v>
      </c>
      <c r="G12" s="13">
        <v>6455609.4299999997</v>
      </c>
      <c r="H12" s="3">
        <v>2561.75</v>
      </c>
      <c r="I12" s="13">
        <v>717289937</v>
      </c>
      <c r="J12" s="3">
        <v>922.23</v>
      </c>
      <c r="K12" s="3">
        <v>975.26</v>
      </c>
      <c r="L12" s="3">
        <v>2408.04</v>
      </c>
      <c r="M12" s="3">
        <v>397.48</v>
      </c>
      <c r="N12" s="3">
        <v>928.69</v>
      </c>
      <c r="O12" s="3">
        <v>1000.62</v>
      </c>
      <c r="P12" s="3">
        <v>22364.53</v>
      </c>
      <c r="Q12" s="3">
        <v>1198.9000000000001</v>
      </c>
      <c r="R12" s="3">
        <v>189.06</v>
      </c>
      <c r="S12" s="3">
        <v>11908.36</v>
      </c>
      <c r="T12" s="13">
        <v>7358165.1100000003</v>
      </c>
      <c r="U12" s="3" t="s">
        <v>99</v>
      </c>
      <c r="V12" s="3">
        <v>922.23</v>
      </c>
      <c r="W12" s="3">
        <v>6914.38</v>
      </c>
      <c r="X12" s="3">
        <v>2305.5700000000002</v>
      </c>
      <c r="Y12" s="3">
        <v>19947.71</v>
      </c>
      <c r="Z12" s="3">
        <v>322.77999999999997</v>
      </c>
      <c r="AA12" s="3">
        <v>1286.51</v>
      </c>
      <c r="AB12" s="13">
        <v>6271163.4500000002</v>
      </c>
    </row>
    <row r="13" spans="1:28" x14ac:dyDescent="0.25">
      <c r="A13" s="2" t="s">
        <v>26</v>
      </c>
      <c r="B13" s="3">
        <v>1122.28</v>
      </c>
      <c r="C13" s="3">
        <v>4316.45</v>
      </c>
      <c r="D13" s="3">
        <v>107.91</v>
      </c>
      <c r="E13" s="13">
        <v>38675355.270000003</v>
      </c>
      <c r="F13" s="13">
        <v>107204329.51000001</v>
      </c>
      <c r="G13" s="13">
        <v>6798402.29</v>
      </c>
      <c r="H13" s="3">
        <v>2697.78</v>
      </c>
      <c r="I13" s="13">
        <v>755378032.64999998</v>
      </c>
      <c r="J13" s="3">
        <v>971.2</v>
      </c>
      <c r="K13" s="3">
        <v>1027.05</v>
      </c>
      <c r="L13" s="3">
        <v>2535.91</v>
      </c>
      <c r="M13" s="3">
        <v>418.59</v>
      </c>
      <c r="N13" s="3">
        <v>978</v>
      </c>
      <c r="O13" s="3">
        <v>1053.75</v>
      </c>
      <c r="P13" s="3">
        <v>23552.09</v>
      </c>
      <c r="Q13" s="3">
        <v>1262.56</v>
      </c>
      <c r="R13" s="3">
        <v>199.1</v>
      </c>
      <c r="S13" s="3">
        <v>12540.69</v>
      </c>
      <c r="T13" s="13">
        <v>7748883.6799999997</v>
      </c>
      <c r="U13" s="3" t="s">
        <v>99</v>
      </c>
      <c r="V13" s="3">
        <v>971.2</v>
      </c>
      <c r="W13" s="3">
        <v>7281.53</v>
      </c>
      <c r="X13" s="3">
        <v>2428</v>
      </c>
      <c r="Y13" s="3">
        <v>21006.93</v>
      </c>
      <c r="Z13" s="3">
        <v>339.92</v>
      </c>
      <c r="AA13" s="3">
        <v>1354.82</v>
      </c>
      <c r="AB13" s="13">
        <v>6604162.2300000004</v>
      </c>
    </row>
    <row r="15" spans="1:28" x14ac:dyDescent="0.25">
      <c r="A15" s="4" t="s">
        <v>16</v>
      </c>
      <c r="B15" s="4" t="s">
        <v>17</v>
      </c>
    </row>
    <row r="16" spans="1:28" x14ac:dyDescent="0.25">
      <c r="D16" s="1" t="s">
        <v>110</v>
      </c>
      <c r="E16" t="s">
        <v>100</v>
      </c>
    </row>
    <row r="17" spans="4:7" x14ac:dyDescent="0.25">
      <c r="D17" s="1" t="s">
        <v>111</v>
      </c>
      <c r="E17" s="15" t="s">
        <v>101</v>
      </c>
    </row>
    <row r="18" spans="4:7" x14ac:dyDescent="0.25">
      <c r="D18" s="1" t="s">
        <v>80</v>
      </c>
      <c r="E18" s="15" t="s">
        <v>102</v>
      </c>
    </row>
    <row r="19" spans="4:7" x14ac:dyDescent="0.25">
      <c r="D19" s="1" t="s">
        <v>78</v>
      </c>
      <c r="E19" s="15" t="s">
        <v>103</v>
      </c>
    </row>
    <row r="20" spans="4:7" x14ac:dyDescent="0.25">
      <c r="D20" s="1" t="s">
        <v>67</v>
      </c>
    </row>
    <row r="21" spans="4:7" x14ac:dyDescent="0.25">
      <c r="D21" s="1" t="s">
        <v>59</v>
      </c>
    </row>
    <row r="23" spans="4:7" x14ac:dyDescent="0.25">
      <c r="G23" s="16"/>
    </row>
  </sheetData>
  <hyperlinks>
    <hyperlink ref="E17" r:id="rId1" display="https://www.molport.com/shop/moleculelink/HRBKVYFZANMGRE-UHFFFAOYSA-N/3933352?searchkey=42BK5D8G7PE6D1GO0OL9LB&amp;searchtype=text-search" xr:uid="{6D73E08E-E876-4C68-9029-13097272B2D1}"/>
    <hyperlink ref="E18" r:id="rId2" display="https://www.molport.com/shop/moleculelink/GCKZANITAMOIAR-XWVCPFKXSA-N/16638383?searchtype=text-search&amp;searchkey=6VDJ8KVMDD1361GO0RTQBA" xr:uid="{3948CEE8-9D26-4021-AB73-CE3BF65B00E9}"/>
    <hyperlink ref="E19" r:id="rId3" display="https://www.molport.com/shop/moleculelink/WOWBFOBYOAGEEA-UHFFFAOYSA-N/20001387?searchtype=text-search" xr:uid="{96F44DD4-13AC-4591-9CB7-4386406B3C2F}"/>
  </hyperlinks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D4B2-CF48-45A9-A4E3-89F9701DFA9B}">
  <dimension ref="A5:T19"/>
  <sheetViews>
    <sheetView showGridLines="0" tabSelected="1" topLeftCell="A3" workbookViewId="0">
      <selection activeCell="C11" sqref="C11"/>
    </sheetView>
  </sheetViews>
  <sheetFormatPr defaultColWidth="35.28515625" defaultRowHeight="15" x14ac:dyDescent="0.25"/>
  <cols>
    <col min="6" max="6" width="33.140625" customWidth="1"/>
  </cols>
  <sheetData>
    <row r="5" spans="1:20" ht="29.25" customHeight="1" x14ac:dyDescent="0.25">
      <c r="A5" s="1" t="s">
        <v>13</v>
      </c>
      <c r="B5" s="1" t="s">
        <v>0</v>
      </c>
      <c r="C5" s="5" t="s">
        <v>1</v>
      </c>
      <c r="D5" s="5" t="s">
        <v>122</v>
      </c>
      <c r="E5" s="5" t="s">
        <v>104</v>
      </c>
      <c r="F5" s="5" t="s">
        <v>113</v>
      </c>
      <c r="G5" s="5" t="s">
        <v>18</v>
      </c>
      <c r="H5" s="1" t="s">
        <v>112</v>
      </c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  <c r="N5" s="5" t="s">
        <v>7</v>
      </c>
      <c r="O5" s="5" t="s">
        <v>8</v>
      </c>
      <c r="P5" s="5" t="s">
        <v>9</v>
      </c>
      <c r="Q5" s="5" t="s">
        <v>10</v>
      </c>
      <c r="R5" s="5" t="s">
        <v>11</v>
      </c>
      <c r="S5" s="5" t="s">
        <v>12</v>
      </c>
      <c r="T5" s="1" t="s">
        <v>118</v>
      </c>
    </row>
    <row r="6" spans="1:20" x14ac:dyDescent="0.25">
      <c r="A6" s="2" t="s">
        <v>19</v>
      </c>
      <c r="B6" s="3">
        <v>117.38</v>
      </c>
      <c r="C6" s="3">
        <v>6707.43</v>
      </c>
      <c r="D6" s="3">
        <v>503.06</v>
      </c>
      <c r="E6" s="3">
        <v>419.21</v>
      </c>
      <c r="F6" s="3">
        <v>603.66999999999996</v>
      </c>
      <c r="G6" s="3">
        <v>704.28</v>
      </c>
      <c r="H6" s="3">
        <v>2096.0700000000002</v>
      </c>
      <c r="I6" s="3">
        <v>754.59</v>
      </c>
      <c r="J6" s="3">
        <v>1425.33</v>
      </c>
      <c r="K6" s="3">
        <v>687.51</v>
      </c>
      <c r="L6" s="3">
        <v>1593.01</v>
      </c>
      <c r="M6" s="3">
        <v>1006.11</v>
      </c>
      <c r="N6" s="3">
        <v>1173.8</v>
      </c>
      <c r="O6" s="3">
        <v>788.12</v>
      </c>
      <c r="P6" s="3" t="s">
        <v>99</v>
      </c>
      <c r="Q6" s="3">
        <v>5030.57</v>
      </c>
      <c r="R6" s="3">
        <v>5449.79</v>
      </c>
      <c r="S6" s="3">
        <v>838.43</v>
      </c>
      <c r="T6" s="3">
        <v>7545.86</v>
      </c>
    </row>
    <row r="7" spans="1:20" x14ac:dyDescent="0.25">
      <c r="A7" s="2" t="s">
        <v>14</v>
      </c>
      <c r="B7" s="3">
        <v>122.67</v>
      </c>
      <c r="C7" s="3">
        <v>7009.54</v>
      </c>
      <c r="D7" s="3">
        <v>525.72</v>
      </c>
      <c r="E7" s="3">
        <v>438.1</v>
      </c>
      <c r="F7" s="3">
        <v>630.86</v>
      </c>
      <c r="G7" s="3">
        <v>736</v>
      </c>
      <c r="H7" s="3">
        <v>2190.48</v>
      </c>
      <c r="I7" s="3">
        <v>788.57</v>
      </c>
      <c r="J7" s="3">
        <v>1489.53</v>
      </c>
      <c r="K7" s="3">
        <v>718.48</v>
      </c>
      <c r="L7" s="3">
        <v>1664.77</v>
      </c>
      <c r="M7" s="3">
        <v>1051.43</v>
      </c>
      <c r="N7" s="3">
        <v>1226.67</v>
      </c>
      <c r="O7" s="3">
        <v>823.62</v>
      </c>
      <c r="P7" s="3" t="s">
        <v>99</v>
      </c>
      <c r="Q7" s="3">
        <v>5257.16</v>
      </c>
      <c r="R7" s="3">
        <v>5695.25</v>
      </c>
      <c r="S7" s="3">
        <v>876.19</v>
      </c>
      <c r="T7" s="3">
        <v>7885.73</v>
      </c>
    </row>
    <row r="8" spans="1:20" x14ac:dyDescent="0.25">
      <c r="A8" s="2" t="s">
        <v>15</v>
      </c>
      <c r="B8" s="3">
        <v>133.97</v>
      </c>
      <c r="C8" s="3">
        <v>7655.2</v>
      </c>
      <c r="D8" s="3">
        <v>574.14</v>
      </c>
      <c r="E8" s="3">
        <v>478.45</v>
      </c>
      <c r="F8" s="3">
        <v>688.97</v>
      </c>
      <c r="G8" s="3">
        <v>803.8</v>
      </c>
      <c r="H8" s="3">
        <v>2392.25</v>
      </c>
      <c r="I8" s="3">
        <v>861.21</v>
      </c>
      <c r="J8" s="3">
        <v>1626.73</v>
      </c>
      <c r="K8" s="3">
        <v>784.66</v>
      </c>
      <c r="L8" s="3">
        <v>1818.11</v>
      </c>
      <c r="M8" s="3">
        <v>1148.28</v>
      </c>
      <c r="N8" s="3">
        <v>1339.66</v>
      </c>
      <c r="O8" s="3">
        <v>899.49</v>
      </c>
      <c r="P8" s="3" t="s">
        <v>99</v>
      </c>
      <c r="Q8" s="3">
        <v>5741.4</v>
      </c>
      <c r="R8" s="3">
        <v>6219.85</v>
      </c>
      <c r="S8" s="3">
        <v>956.9</v>
      </c>
      <c r="T8" s="3">
        <v>8612.1</v>
      </c>
    </row>
    <row r="9" spans="1:20" x14ac:dyDescent="0.25">
      <c r="A9" s="29" t="s">
        <v>121</v>
      </c>
      <c r="B9" s="19">
        <v>160</v>
      </c>
      <c r="F9" s="19">
        <v>760</v>
      </c>
      <c r="G9" s="19">
        <v>840</v>
      </c>
      <c r="H9" s="21">
        <f>680*4</f>
        <v>2720</v>
      </c>
      <c r="I9" s="19">
        <v>900</v>
      </c>
      <c r="J9" s="19">
        <v>1700</v>
      </c>
      <c r="K9" s="19">
        <v>820</v>
      </c>
      <c r="L9" s="21">
        <f>950*2</f>
        <v>1900</v>
      </c>
      <c r="M9" s="21">
        <f>610*2</f>
        <v>1220</v>
      </c>
      <c r="N9" s="21">
        <f>1400</f>
        <v>1400</v>
      </c>
      <c r="O9" s="19">
        <v>940</v>
      </c>
      <c r="P9" s="21">
        <v>689.56</v>
      </c>
      <c r="Q9" s="19">
        <v>6600</v>
      </c>
      <c r="R9" s="21">
        <f>1550*4</f>
        <v>6200</v>
      </c>
      <c r="S9" s="19">
        <v>1200</v>
      </c>
      <c r="T9" s="21">
        <f>T11*1000</f>
        <v>10250</v>
      </c>
    </row>
    <row r="10" spans="1:20" x14ac:dyDescent="0.25">
      <c r="A10" s="29" t="s">
        <v>123</v>
      </c>
      <c r="B10" s="32">
        <f>(B9-B8)/B9</f>
        <v>0.16268750000000001</v>
      </c>
      <c r="C10" s="32" t="e">
        <f t="shared" ref="C10:T10" si="0">(C9-C8)/C9</f>
        <v>#DIV/0!</v>
      </c>
      <c r="D10" s="32" t="e">
        <f t="shared" si="0"/>
        <v>#DIV/0!</v>
      </c>
      <c r="E10" s="32" t="e">
        <f t="shared" si="0"/>
        <v>#DIV/0!</v>
      </c>
      <c r="F10" s="32">
        <f t="shared" si="0"/>
        <v>9.3460526315789438E-2</v>
      </c>
      <c r="G10" s="32">
        <f t="shared" si="0"/>
        <v>4.3095238095238152E-2</v>
      </c>
      <c r="H10" s="32">
        <f t="shared" si="0"/>
        <v>0.12049632352941177</v>
      </c>
      <c r="I10" s="32">
        <f t="shared" si="0"/>
        <v>4.3099999999999958E-2</v>
      </c>
      <c r="J10" s="32">
        <f t="shared" si="0"/>
        <v>4.3099999999999992E-2</v>
      </c>
      <c r="K10" s="32">
        <f t="shared" si="0"/>
        <v>4.3097560975609794E-2</v>
      </c>
      <c r="L10" s="32">
        <f t="shared" si="0"/>
        <v>4.3100000000000055E-2</v>
      </c>
      <c r="M10" s="32">
        <f t="shared" si="0"/>
        <v>5.8786885245901664E-2</v>
      </c>
      <c r="N10" s="32">
        <f t="shared" si="0"/>
        <v>4.3099999999999944E-2</v>
      </c>
      <c r="O10" s="32">
        <f t="shared" si="0"/>
        <v>4.3095744680851054E-2</v>
      </c>
      <c r="P10" s="32" t="e">
        <f t="shared" si="0"/>
        <v>#VALUE!</v>
      </c>
      <c r="Q10" s="32">
        <f t="shared" si="0"/>
        <v>0.13009090909090915</v>
      </c>
      <c r="R10" s="32">
        <f t="shared" si="0"/>
        <v>-3.2016129032258651E-3</v>
      </c>
      <c r="S10" s="32">
        <f t="shared" si="0"/>
        <v>0.20258333333333337</v>
      </c>
      <c r="T10" s="32">
        <f t="shared" si="0"/>
        <v>0.15979512195121948</v>
      </c>
    </row>
    <row r="11" spans="1:20" x14ac:dyDescent="0.25">
      <c r="A11" s="4" t="s">
        <v>16</v>
      </c>
      <c r="B11" s="4" t="s">
        <v>17</v>
      </c>
      <c r="D11" s="18">
        <v>1</v>
      </c>
      <c r="E11" s="19">
        <v>478</v>
      </c>
      <c r="N11" s="21"/>
      <c r="T11">
        <f>410/40</f>
        <v>10.25</v>
      </c>
    </row>
    <row r="12" spans="1:20" x14ac:dyDescent="0.25">
      <c r="E12" s="21">
        <f>E11/D11</f>
        <v>478</v>
      </c>
      <c r="F12" s="18">
        <v>1</v>
      </c>
      <c r="G12" s="20">
        <v>803.8</v>
      </c>
      <c r="H12" s="9">
        <f>H8</f>
        <v>2392.25</v>
      </c>
      <c r="L12" s="9">
        <f>L8</f>
        <v>1818.11</v>
      </c>
    </row>
    <row r="13" spans="1:20" x14ac:dyDescent="0.25">
      <c r="E13" s="21">
        <f>E12*20%</f>
        <v>95.600000000000009</v>
      </c>
      <c r="G13" s="23">
        <f>G12*5%</f>
        <v>40.19</v>
      </c>
      <c r="H13" s="22">
        <f>H12*5%</f>
        <v>119.61250000000001</v>
      </c>
      <c r="L13" s="22">
        <f>L12*50%</f>
        <v>909.05499999999995</v>
      </c>
    </row>
    <row r="14" spans="1:20" x14ac:dyDescent="0.25">
      <c r="E14" s="21">
        <f>E12-E13</f>
        <v>382.4</v>
      </c>
      <c r="G14" s="25">
        <f>G12*50%</f>
        <v>401.9</v>
      </c>
      <c r="H14" s="17"/>
    </row>
    <row r="15" spans="1:20" x14ac:dyDescent="0.25">
      <c r="G15" s="10">
        <f>G14+G13</f>
        <v>442.09</v>
      </c>
      <c r="H15" s="16"/>
      <c r="I15" s="17"/>
    </row>
    <row r="16" spans="1:20" x14ac:dyDescent="0.25">
      <c r="A16" t="s">
        <v>115</v>
      </c>
      <c r="B16">
        <f>230*76%</f>
        <v>174.8</v>
      </c>
      <c r="G16" s="17"/>
      <c r="H16" s="17"/>
    </row>
    <row r="17" spans="1:4" x14ac:dyDescent="0.25">
      <c r="A17" t="s">
        <v>114</v>
      </c>
      <c r="B17" s="22">
        <f>B16*3%</f>
        <v>5.2439999999999998</v>
      </c>
    </row>
    <row r="18" spans="1:4" x14ac:dyDescent="0.25">
      <c r="A18" t="s">
        <v>116</v>
      </c>
      <c r="B18" s="22">
        <f>390*78.32%</f>
        <v>305.44799999999998</v>
      </c>
      <c r="D18" s="33"/>
    </row>
    <row r="19" spans="1:4" x14ac:dyDescent="0.25">
      <c r="A19" t="s">
        <v>59</v>
      </c>
      <c r="B19" s="22">
        <f>B18*25%</f>
        <v>76.361999999999995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F389-1AFC-4B9C-87A3-D1ABF4573EF2}">
  <dimension ref="A5:I16"/>
  <sheetViews>
    <sheetView showGridLines="0" workbookViewId="0">
      <selection activeCell="L14" sqref="L14"/>
    </sheetView>
  </sheetViews>
  <sheetFormatPr defaultRowHeight="12.75" x14ac:dyDescent="0.2"/>
  <cols>
    <col min="1" max="1" width="19.85546875" style="26" bestFit="1" customWidth="1"/>
    <col min="2" max="9" width="9.42578125" style="26" customWidth="1"/>
    <col min="10" max="16384" width="9.140625" style="26"/>
  </cols>
  <sheetData>
    <row r="5" spans="1:9" x14ac:dyDescent="0.2">
      <c r="A5" s="28" t="s">
        <v>119</v>
      </c>
      <c r="B5" s="28" t="s">
        <v>31</v>
      </c>
      <c r="C5" s="28" t="s">
        <v>14</v>
      </c>
      <c r="D5" s="28" t="s">
        <v>30</v>
      </c>
      <c r="E5" s="28" t="s">
        <v>15</v>
      </c>
      <c r="F5" s="28" t="s">
        <v>29</v>
      </c>
      <c r="G5" s="28" t="s">
        <v>28</v>
      </c>
      <c r="H5" s="28" t="s">
        <v>27</v>
      </c>
      <c r="I5" s="28" t="s">
        <v>26</v>
      </c>
    </row>
    <row r="6" spans="1:9" x14ac:dyDescent="0.2">
      <c r="A6" s="27" t="s">
        <v>82</v>
      </c>
      <c r="B6" s="3">
        <v>95.57</v>
      </c>
      <c r="C6" s="3">
        <v>107.06</v>
      </c>
      <c r="D6" s="3">
        <v>122.52</v>
      </c>
      <c r="E6" s="3">
        <v>143.4</v>
      </c>
      <c r="F6" s="3">
        <v>161.41999999999999</v>
      </c>
      <c r="G6" s="3">
        <v>176.15</v>
      </c>
      <c r="H6" s="3">
        <v>189.33</v>
      </c>
      <c r="I6" s="3">
        <v>198.45</v>
      </c>
    </row>
    <row r="7" spans="1:9" x14ac:dyDescent="0.2">
      <c r="A7" s="27" t="s">
        <v>81</v>
      </c>
      <c r="B7" s="3">
        <v>50.34</v>
      </c>
      <c r="C7" s="3">
        <v>55.39</v>
      </c>
      <c r="D7" s="3">
        <v>63.54</v>
      </c>
      <c r="E7" s="3">
        <v>73.55</v>
      </c>
      <c r="F7" s="3">
        <v>83.63</v>
      </c>
      <c r="G7" s="3">
        <v>91.87</v>
      </c>
      <c r="H7" s="3">
        <v>99.94</v>
      </c>
      <c r="I7" s="3">
        <v>105.13</v>
      </c>
    </row>
    <row r="8" spans="1:9" x14ac:dyDescent="0.2">
      <c r="A8" s="27" t="s">
        <v>80</v>
      </c>
      <c r="B8" s="3">
        <v>80.94</v>
      </c>
      <c r="C8" s="3">
        <v>88.55</v>
      </c>
      <c r="D8" s="3">
        <v>98.19</v>
      </c>
      <c r="E8" s="3">
        <v>111.24</v>
      </c>
      <c r="F8" s="3">
        <v>123.03</v>
      </c>
      <c r="G8" s="3">
        <v>134.54</v>
      </c>
      <c r="H8" s="3">
        <v>145.1</v>
      </c>
      <c r="I8" s="3">
        <v>149.84</v>
      </c>
    </row>
    <row r="9" spans="1:9" x14ac:dyDescent="0.2">
      <c r="A9" s="27" t="s">
        <v>78</v>
      </c>
      <c r="B9" s="3">
        <v>808.55</v>
      </c>
      <c r="C9" s="3">
        <v>904.62</v>
      </c>
      <c r="D9" s="3">
        <v>1024.48</v>
      </c>
      <c r="E9" s="3">
        <v>1181.78</v>
      </c>
      <c r="F9" s="3">
        <v>1319.21</v>
      </c>
      <c r="G9" s="3">
        <v>1439.66</v>
      </c>
      <c r="H9" s="3">
        <v>1547.34</v>
      </c>
      <c r="I9" s="3">
        <v>1618.67</v>
      </c>
    </row>
    <row r="10" spans="1:9" x14ac:dyDescent="0.2">
      <c r="A10" s="27" t="s">
        <v>67</v>
      </c>
      <c r="B10" s="3">
        <v>8.51</v>
      </c>
      <c r="C10" s="3">
        <v>9.48</v>
      </c>
      <c r="D10" s="3">
        <v>10.76</v>
      </c>
      <c r="E10" s="3">
        <v>12.05</v>
      </c>
      <c r="F10" s="3">
        <v>13.82</v>
      </c>
      <c r="G10" s="3">
        <v>15.25</v>
      </c>
      <c r="H10" s="3">
        <v>16.579999999999998</v>
      </c>
      <c r="I10" s="3">
        <v>17.62</v>
      </c>
    </row>
    <row r="11" spans="1:9" x14ac:dyDescent="0.2">
      <c r="A11" s="27" t="s">
        <v>59</v>
      </c>
      <c r="B11" s="3">
        <v>64.150000000000006</v>
      </c>
      <c r="C11" s="3">
        <v>72.430000000000007</v>
      </c>
      <c r="D11" s="3">
        <v>81</v>
      </c>
      <c r="E11" s="3">
        <v>91.63</v>
      </c>
      <c r="F11" s="3">
        <v>104.34</v>
      </c>
      <c r="G11" s="3">
        <v>115.08</v>
      </c>
      <c r="H11" s="3">
        <v>122.96</v>
      </c>
      <c r="I11" s="3">
        <v>129.4</v>
      </c>
    </row>
    <row r="12" spans="1:9" x14ac:dyDescent="0.2">
      <c r="A12" s="27" t="s">
        <v>39</v>
      </c>
      <c r="B12" s="3">
        <v>73.489999999999995</v>
      </c>
      <c r="C12" s="3">
        <v>80.84</v>
      </c>
      <c r="D12" s="3">
        <v>91.77</v>
      </c>
      <c r="E12" s="3">
        <v>105.79</v>
      </c>
      <c r="F12" s="3">
        <v>117.91</v>
      </c>
      <c r="G12" s="3">
        <v>130.24</v>
      </c>
      <c r="H12" s="3">
        <v>139.77000000000001</v>
      </c>
      <c r="I12" s="3">
        <v>147.04</v>
      </c>
    </row>
    <row r="13" spans="1:9" x14ac:dyDescent="0.2">
      <c r="A13" s="27" t="s">
        <v>38</v>
      </c>
      <c r="B13" s="3">
        <v>123.75</v>
      </c>
      <c r="C13" s="3">
        <v>139.61000000000001</v>
      </c>
      <c r="D13" s="3">
        <v>161.33000000000001</v>
      </c>
      <c r="E13" s="3">
        <v>192.78</v>
      </c>
      <c r="F13" s="3">
        <v>215.14</v>
      </c>
      <c r="G13" s="3">
        <v>232.63</v>
      </c>
      <c r="H13" s="3">
        <v>253.1</v>
      </c>
      <c r="I13" s="3">
        <v>261</v>
      </c>
    </row>
    <row r="14" spans="1:9" x14ac:dyDescent="0.2">
      <c r="A14" s="27" t="s">
        <v>37</v>
      </c>
      <c r="B14" s="3">
        <v>35.19</v>
      </c>
      <c r="C14" s="3">
        <v>38.81</v>
      </c>
      <c r="D14" s="3">
        <v>43.43</v>
      </c>
      <c r="E14" s="3">
        <v>49.83</v>
      </c>
      <c r="F14" s="3">
        <v>55.64</v>
      </c>
      <c r="G14" s="3">
        <v>60.83</v>
      </c>
      <c r="H14" s="3">
        <v>65.55</v>
      </c>
      <c r="I14" s="3">
        <v>68.3</v>
      </c>
    </row>
    <row r="15" spans="1:9" x14ac:dyDescent="0.2">
      <c r="A15" s="27" t="s">
        <v>36</v>
      </c>
      <c r="B15" s="3">
        <v>58.35</v>
      </c>
      <c r="C15" s="3">
        <v>65.010000000000005</v>
      </c>
      <c r="D15" s="3">
        <v>76.08</v>
      </c>
      <c r="E15" s="3">
        <v>87.05</v>
      </c>
      <c r="F15" s="3">
        <v>96.29</v>
      </c>
      <c r="G15" s="3">
        <v>104.27</v>
      </c>
      <c r="H15" s="3">
        <v>111.37</v>
      </c>
      <c r="I15" s="3">
        <v>117.16</v>
      </c>
    </row>
    <row r="16" spans="1:9" x14ac:dyDescent="0.2">
      <c r="A16" s="27" t="s">
        <v>32</v>
      </c>
      <c r="B16" s="3">
        <v>518.89</v>
      </c>
      <c r="C16" s="3">
        <v>567.89</v>
      </c>
      <c r="D16" s="3">
        <v>650</v>
      </c>
      <c r="E16" s="3">
        <v>760.41</v>
      </c>
      <c r="F16" s="3">
        <v>879.03</v>
      </c>
      <c r="G16" s="3">
        <v>968.07</v>
      </c>
      <c r="H16" s="3">
        <v>1046.49</v>
      </c>
      <c r="I16" s="3">
        <v>1069.82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Herbicides Raw Material</vt:lpstr>
      <vt:lpstr>Herbicides Formulation</vt:lpstr>
      <vt:lpstr>Fungicides Raw Material</vt:lpstr>
      <vt:lpstr>Fungicides Formulation</vt:lpstr>
      <vt:lpstr>Insecticides Raw Material</vt:lpstr>
      <vt:lpstr>Insecticides Formulation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2023-01-05T11:48:38Z</dcterms:created>
  <dcterms:modified xsi:type="dcterms:W3CDTF">2023-02-15T10:32:44Z</dcterms:modified>
</cp:coreProperties>
</file>