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NEDO\"/>
    </mc:Choice>
  </mc:AlternateContent>
  <xr:revisionPtr revIDLastSave="0" documentId="13_ncr:1_{30F64B0C-8994-43B0-902B-AC67B336D3D1}" xr6:coauthVersionLast="47" xr6:coauthVersionMax="47" xr10:uidLastSave="{00000000-0000-0000-0000-000000000000}"/>
  <bookViews>
    <workbookView xWindow="-120" yWindow="-120" windowWidth="20730" windowHeight="11160" activeTab="2" xr2:uid="{E4811974-FC68-4824-92E5-5D4AF642A340}"/>
  </bookViews>
  <sheets>
    <sheet name="AI" sheetId="1" r:id="rId1"/>
    <sheet name="Robotics" sheetId="3" r:id="rId2"/>
    <sheet name="Space" sheetId="6" r:id="rId3"/>
    <sheet name="Quantum" sheetId="7" r:id="rId4"/>
    <sheet name="SC" sheetId="2" r:id="rId5"/>
    <sheet name="Link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6" l="1"/>
  <c r="M21" i="6"/>
  <c r="M22" i="6"/>
  <c r="M19" i="6"/>
  <c r="M8" i="6"/>
  <c r="N14" i="6"/>
  <c r="R16" i="6"/>
  <c r="R17" i="6" s="1"/>
  <c r="S19" i="6"/>
  <c r="S20" i="6"/>
  <c r="O21" i="6"/>
  <c r="N19" i="6" s="1"/>
  <c r="S21" i="6"/>
  <c r="S23" i="6"/>
  <c r="S24" i="6"/>
  <c r="S25" i="6"/>
  <c r="R26" i="6"/>
  <c r="S22" i="6" s="1"/>
  <c r="R36" i="6"/>
  <c r="C40" i="6"/>
  <c r="C42" i="6"/>
  <c r="C38" i="6"/>
  <c r="C15" i="6"/>
  <c r="C16" i="6" s="1"/>
  <c r="G15" i="6"/>
  <c r="G16" i="6" s="1"/>
  <c r="K15" i="6"/>
  <c r="K16" i="6" s="1"/>
  <c r="P7" i="7"/>
  <c r="O8" i="7"/>
  <c r="P5" i="7"/>
  <c r="O7" i="7"/>
  <c r="O6" i="7"/>
  <c r="O5" i="7"/>
  <c r="G20" i="7"/>
  <c r="G22" i="7"/>
  <c r="K15" i="7"/>
  <c r="G15" i="7" s="1"/>
  <c r="K16" i="7"/>
  <c r="G16" i="7" s="1"/>
  <c r="K17" i="7"/>
  <c r="G17" i="7" s="1"/>
  <c r="K18" i="7"/>
  <c r="G18" i="7" s="1"/>
  <c r="K19" i="7"/>
  <c r="G19" i="7" s="1"/>
  <c r="K20" i="7"/>
  <c r="K21" i="7"/>
  <c r="G21" i="7" s="1"/>
  <c r="K22" i="7"/>
  <c r="K14" i="7"/>
  <c r="G14" i="7" s="1"/>
  <c r="K9" i="7"/>
  <c r="G9" i="7" s="1"/>
  <c r="K10" i="7"/>
  <c r="G10" i="7" s="1"/>
  <c r="K11" i="7"/>
  <c r="G11" i="7" s="1"/>
  <c r="K8" i="7"/>
  <c r="G8" i="7" s="1"/>
  <c r="K5" i="7"/>
  <c r="J5" i="7"/>
  <c r="I5" i="7"/>
  <c r="I6" i="7" s="1"/>
  <c r="D16" i="6"/>
  <c r="E16" i="6"/>
  <c r="F16" i="6"/>
  <c r="H16" i="6"/>
  <c r="I16" i="6"/>
  <c r="J16" i="6"/>
  <c r="G34" i="6"/>
  <c r="G35" i="6" s="1"/>
  <c r="K34" i="6"/>
  <c r="C34" i="6"/>
  <c r="C35" i="6" s="1"/>
  <c r="L8" i="6"/>
  <c r="L8" i="3"/>
  <c r="K51" i="6"/>
  <c r="K58" i="6" s="1"/>
  <c r="J51" i="6"/>
  <c r="I51" i="6"/>
  <c r="H51" i="6"/>
  <c r="H52" i="6" s="1"/>
  <c r="G51" i="6"/>
  <c r="G52" i="6" s="1"/>
  <c r="F51" i="6"/>
  <c r="F52" i="6" s="1"/>
  <c r="E51" i="6"/>
  <c r="E52" i="6" s="1"/>
  <c r="D51" i="6"/>
  <c r="D52" i="6" s="1"/>
  <c r="C51" i="6"/>
  <c r="C52" i="6" s="1"/>
  <c r="J31" i="6"/>
  <c r="I31" i="6"/>
  <c r="H31" i="6"/>
  <c r="H34" i="6" s="1"/>
  <c r="H35" i="6" s="1"/>
  <c r="F31" i="6"/>
  <c r="E31" i="6"/>
  <c r="D31" i="6"/>
  <c r="B23" i="6"/>
  <c r="K22" i="6"/>
  <c r="K42" i="6" s="1"/>
  <c r="C22" i="6"/>
  <c r="C43" i="6" s="1"/>
  <c r="B22" i="6"/>
  <c r="B21" i="6"/>
  <c r="G20" i="6"/>
  <c r="B20" i="6"/>
  <c r="B19" i="6"/>
  <c r="M10" i="6"/>
  <c r="K57" i="6"/>
  <c r="J8" i="6"/>
  <c r="I8" i="6"/>
  <c r="I22" i="6" s="1"/>
  <c r="I39" i="6" s="1"/>
  <c r="H8" i="6"/>
  <c r="H22" i="6" s="1"/>
  <c r="H40" i="6" s="1"/>
  <c r="G55" i="6"/>
  <c r="F8" i="6"/>
  <c r="F56" i="6" s="1"/>
  <c r="E8" i="6"/>
  <c r="E57" i="6" s="1"/>
  <c r="D8" i="6"/>
  <c r="D56" i="6" s="1"/>
  <c r="C57" i="6"/>
  <c r="M7" i="6"/>
  <c r="L7" i="6"/>
  <c r="K5" i="6"/>
  <c r="J5" i="6"/>
  <c r="I5" i="6"/>
  <c r="H5" i="6"/>
  <c r="G5" i="6"/>
  <c r="F5" i="6"/>
  <c r="E5" i="6"/>
  <c r="D5" i="6"/>
  <c r="C5" i="6"/>
  <c r="D53" i="3"/>
  <c r="E53" i="3"/>
  <c r="F53" i="3"/>
  <c r="G53" i="3"/>
  <c r="H53" i="3"/>
  <c r="I53" i="3"/>
  <c r="J53" i="3"/>
  <c r="K53" i="3"/>
  <c r="C53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D49" i="3"/>
  <c r="E49" i="3"/>
  <c r="F49" i="3"/>
  <c r="G49" i="3"/>
  <c r="H49" i="3"/>
  <c r="I49" i="3"/>
  <c r="J49" i="3"/>
  <c r="K49" i="3"/>
  <c r="C49" i="3"/>
  <c r="F46" i="3"/>
  <c r="K46" i="3"/>
  <c r="H45" i="3"/>
  <c r="H46" i="3" s="1"/>
  <c r="I45" i="3"/>
  <c r="I46" i="3" s="1"/>
  <c r="J45" i="3"/>
  <c r="J46" i="3" s="1"/>
  <c r="K45" i="3"/>
  <c r="C45" i="3"/>
  <c r="C46" i="3" s="1"/>
  <c r="D45" i="3"/>
  <c r="D46" i="3" s="1"/>
  <c r="E45" i="3"/>
  <c r="E46" i="3" s="1"/>
  <c r="F45" i="3"/>
  <c r="G45" i="3"/>
  <c r="G46" i="3" s="1"/>
  <c r="H31" i="3"/>
  <c r="I31" i="3"/>
  <c r="J31" i="3"/>
  <c r="K31" i="3"/>
  <c r="C31" i="3"/>
  <c r="D31" i="3"/>
  <c r="E31" i="3"/>
  <c r="F31" i="3"/>
  <c r="G31" i="3"/>
  <c r="B23" i="3"/>
  <c r="B22" i="3"/>
  <c r="B21" i="3"/>
  <c r="B20" i="3"/>
  <c r="B19" i="3"/>
  <c r="N14" i="3"/>
  <c r="M10" i="3"/>
  <c r="I41" i="6" l="1"/>
  <c r="H41" i="6"/>
  <c r="N18" i="6"/>
  <c r="C41" i="6"/>
  <c r="U17" i="6"/>
  <c r="T17" i="6"/>
  <c r="S17" i="6"/>
  <c r="I43" i="6"/>
  <c r="H38" i="6"/>
  <c r="H39" i="6"/>
  <c r="H43" i="6"/>
  <c r="N20" i="6"/>
  <c r="N17" i="6"/>
  <c r="I42" i="6"/>
  <c r="I38" i="6"/>
  <c r="H44" i="6"/>
  <c r="H42" i="6"/>
  <c r="K39" i="6"/>
  <c r="C39" i="6"/>
  <c r="K41" i="6"/>
  <c r="K40" i="6"/>
  <c r="K45" i="6" s="1"/>
  <c r="I40" i="6"/>
  <c r="K44" i="6"/>
  <c r="K38" i="6"/>
  <c r="K43" i="6"/>
  <c r="C44" i="6"/>
  <c r="C45" i="6" s="1"/>
  <c r="K35" i="6"/>
  <c r="J34" i="6"/>
  <c r="I34" i="6"/>
  <c r="F34" i="6"/>
  <c r="E34" i="6"/>
  <c r="E35" i="6" s="1"/>
  <c r="D34" i="6"/>
  <c r="I23" i="6"/>
  <c r="J55" i="6"/>
  <c r="H23" i="6"/>
  <c r="J20" i="6"/>
  <c r="J23" i="6"/>
  <c r="K52" i="6"/>
  <c r="M11" i="6"/>
  <c r="H21" i="6"/>
  <c r="H55" i="6"/>
  <c r="H19" i="6"/>
  <c r="D22" i="6"/>
  <c r="I58" i="6"/>
  <c r="D57" i="6"/>
  <c r="F20" i="6"/>
  <c r="D19" i="6"/>
  <c r="H20" i="6"/>
  <c r="J22" i="6"/>
  <c r="J58" i="6"/>
  <c r="H57" i="6"/>
  <c r="D20" i="6"/>
  <c r="C58" i="6"/>
  <c r="I19" i="6"/>
  <c r="D58" i="6"/>
  <c r="J19" i="6"/>
  <c r="D21" i="6"/>
  <c r="D23" i="6"/>
  <c r="I52" i="6"/>
  <c r="G56" i="6"/>
  <c r="F57" i="6"/>
  <c r="E58" i="6"/>
  <c r="C19" i="6"/>
  <c r="K19" i="6"/>
  <c r="I20" i="6"/>
  <c r="G21" i="6"/>
  <c r="E22" i="6"/>
  <c r="E41" i="6" s="1"/>
  <c r="C23" i="6"/>
  <c r="K23" i="6"/>
  <c r="J52" i="6"/>
  <c r="I55" i="6"/>
  <c r="H56" i="6"/>
  <c r="G57" i="6"/>
  <c r="L57" i="6" s="1"/>
  <c r="F58" i="6"/>
  <c r="G58" i="6"/>
  <c r="E19" i="6"/>
  <c r="C20" i="6"/>
  <c r="L20" i="6" s="1"/>
  <c r="K20" i="6"/>
  <c r="I21" i="6"/>
  <c r="G22" i="6"/>
  <c r="G44" i="6" s="1"/>
  <c r="E23" i="6"/>
  <c r="C55" i="6"/>
  <c r="L55" i="6" s="1"/>
  <c r="K55" i="6"/>
  <c r="J56" i="6"/>
  <c r="I57" i="6"/>
  <c r="H58" i="6"/>
  <c r="E21" i="6"/>
  <c r="F21" i="6"/>
  <c r="J21" i="6"/>
  <c r="F23" i="6"/>
  <c r="D55" i="6"/>
  <c r="C56" i="6"/>
  <c r="K56" i="6"/>
  <c r="J57" i="6"/>
  <c r="F22" i="6"/>
  <c r="F41" i="6" s="1"/>
  <c r="I56" i="6"/>
  <c r="F19" i="6"/>
  <c r="G19" i="6"/>
  <c r="E20" i="6"/>
  <c r="C21" i="6"/>
  <c r="K21" i="6"/>
  <c r="G23" i="6"/>
  <c r="E55" i="6"/>
  <c r="F55" i="6"/>
  <c r="E56" i="6"/>
  <c r="C38" i="3"/>
  <c r="J38" i="3"/>
  <c r="F38" i="3"/>
  <c r="M11" i="3"/>
  <c r="K8" i="3"/>
  <c r="H8" i="3"/>
  <c r="H38" i="3" s="1"/>
  <c r="G8" i="3"/>
  <c r="F8" i="3"/>
  <c r="E8" i="3"/>
  <c r="E38" i="3" s="1"/>
  <c r="D8" i="3"/>
  <c r="C8" i="3"/>
  <c r="L7" i="3"/>
  <c r="M7" i="3"/>
  <c r="J8" i="3"/>
  <c r="I8" i="3"/>
  <c r="I38" i="3" s="1"/>
  <c r="C5" i="3"/>
  <c r="D5" i="3"/>
  <c r="E5" i="3"/>
  <c r="G5" i="3"/>
  <c r="H5" i="3"/>
  <c r="I5" i="3"/>
  <c r="J5" i="3"/>
  <c r="K5" i="3"/>
  <c r="F5" i="3"/>
  <c r="F44" i="6" l="1"/>
  <c r="J35" i="6"/>
  <c r="J44" i="6"/>
  <c r="D41" i="6"/>
  <c r="D38" i="6"/>
  <c r="D42" i="6"/>
  <c r="D43" i="6"/>
  <c r="D39" i="6"/>
  <c r="D40" i="6"/>
  <c r="I35" i="6"/>
  <c r="I44" i="6"/>
  <c r="I45" i="6" s="1"/>
  <c r="E40" i="6"/>
  <c r="E38" i="6"/>
  <c r="E42" i="6"/>
  <c r="E39" i="6"/>
  <c r="E43" i="6"/>
  <c r="M43" i="6"/>
  <c r="L22" i="6"/>
  <c r="G39" i="6"/>
  <c r="L39" i="6" s="1"/>
  <c r="G40" i="6"/>
  <c r="L40" i="6" s="1"/>
  <c r="G41" i="6"/>
  <c r="L41" i="6" s="1"/>
  <c r="G38" i="6"/>
  <c r="L38" i="6" s="1"/>
  <c r="G42" i="6"/>
  <c r="G43" i="6"/>
  <c r="L43" i="6" s="1"/>
  <c r="D44" i="6"/>
  <c r="J42" i="6"/>
  <c r="J43" i="6"/>
  <c r="J39" i="6"/>
  <c r="J41" i="6"/>
  <c r="J38" i="6"/>
  <c r="J45" i="6" s="1"/>
  <c r="J40" i="6"/>
  <c r="F39" i="6"/>
  <c r="F40" i="6"/>
  <c r="F38" i="6"/>
  <c r="F45" i="6" s="1"/>
  <c r="F42" i="6"/>
  <c r="F43" i="6"/>
  <c r="E44" i="6"/>
  <c r="M44" i="6"/>
  <c r="L44" i="6"/>
  <c r="F35" i="6"/>
  <c r="D35" i="6"/>
  <c r="H45" i="6"/>
  <c r="H24" i="6"/>
  <c r="J24" i="6"/>
  <c r="F59" i="6"/>
  <c r="I59" i="6"/>
  <c r="D59" i="6"/>
  <c r="L58" i="6"/>
  <c r="D24" i="6"/>
  <c r="I24" i="6"/>
  <c r="H59" i="6"/>
  <c r="L23" i="6"/>
  <c r="L19" i="6"/>
  <c r="L21" i="6"/>
  <c r="G59" i="6"/>
  <c r="L56" i="6"/>
  <c r="C59" i="6"/>
  <c r="E59" i="6"/>
  <c r="G24" i="6"/>
  <c r="K24" i="6"/>
  <c r="F24" i="6"/>
  <c r="C24" i="6"/>
  <c r="K59" i="6"/>
  <c r="E24" i="6"/>
  <c r="J59" i="6"/>
  <c r="C20" i="3"/>
  <c r="C21" i="3"/>
  <c r="C22" i="3"/>
  <c r="C36" i="3"/>
  <c r="C23" i="3"/>
  <c r="C37" i="3"/>
  <c r="C19" i="3"/>
  <c r="C35" i="3"/>
  <c r="C39" i="3" s="1"/>
  <c r="E35" i="3"/>
  <c r="E39" i="3" s="1"/>
  <c r="E19" i="3"/>
  <c r="E20" i="3"/>
  <c r="E21" i="3"/>
  <c r="E22" i="3"/>
  <c r="E23" i="3"/>
  <c r="E37" i="3"/>
  <c r="E36" i="3"/>
  <c r="K19" i="3"/>
  <c r="K24" i="3" s="1"/>
  <c r="K20" i="3"/>
  <c r="K21" i="3"/>
  <c r="K22" i="3"/>
  <c r="K23" i="3"/>
  <c r="K36" i="3"/>
  <c r="K37" i="3"/>
  <c r="K35" i="3"/>
  <c r="D19" i="3"/>
  <c r="D24" i="3" s="1"/>
  <c r="D20" i="3"/>
  <c r="D21" i="3"/>
  <c r="D22" i="3"/>
  <c r="D23" i="3"/>
  <c r="D35" i="3"/>
  <c r="D38" i="3"/>
  <c r="D36" i="3"/>
  <c r="D37" i="3"/>
  <c r="F37" i="3"/>
  <c r="F35" i="3"/>
  <c r="F19" i="3"/>
  <c r="F20" i="3"/>
  <c r="F21" i="3"/>
  <c r="F22" i="3"/>
  <c r="F23" i="3"/>
  <c r="F36" i="3"/>
  <c r="I36" i="3"/>
  <c r="I37" i="3"/>
  <c r="I35" i="3"/>
  <c r="I19" i="3"/>
  <c r="I20" i="3"/>
  <c r="I21" i="3"/>
  <c r="I22" i="3"/>
  <c r="I23" i="3"/>
  <c r="G36" i="3"/>
  <c r="G37" i="3"/>
  <c r="G38" i="3"/>
  <c r="G35" i="3"/>
  <c r="G39" i="3" s="1"/>
  <c r="G22" i="3"/>
  <c r="G19" i="3"/>
  <c r="G20" i="3"/>
  <c r="G21" i="3"/>
  <c r="G23" i="3"/>
  <c r="J36" i="3"/>
  <c r="J19" i="3"/>
  <c r="J20" i="3"/>
  <c r="J22" i="3"/>
  <c r="J37" i="3"/>
  <c r="J23" i="3"/>
  <c r="J35" i="3"/>
  <c r="J39" i="3" s="1"/>
  <c r="J21" i="3"/>
  <c r="H36" i="3"/>
  <c r="H37" i="3"/>
  <c r="H35" i="3"/>
  <c r="H39" i="3" s="1"/>
  <c r="H19" i="3"/>
  <c r="H20" i="3"/>
  <c r="H21" i="3"/>
  <c r="H22" i="3"/>
  <c r="H23" i="3"/>
  <c r="K38" i="3"/>
  <c r="T13" i="1"/>
  <c r="U13" i="1"/>
  <c r="V13" i="1" s="1"/>
  <c r="W13" i="1" s="1"/>
  <c r="Q13" i="1"/>
  <c r="R13" i="1" s="1"/>
  <c r="S13" i="1" s="1"/>
  <c r="P13" i="1"/>
  <c r="Q5" i="1"/>
  <c r="P5" i="1"/>
  <c r="Q3" i="1"/>
  <c r="P3" i="1"/>
  <c r="R5" i="2"/>
  <c r="Q5" i="2"/>
  <c r="D45" i="6" l="1"/>
  <c r="E45" i="6"/>
  <c r="M40" i="6"/>
  <c r="L42" i="6"/>
  <c r="M42" i="6"/>
  <c r="G45" i="6"/>
  <c r="M38" i="6"/>
  <c r="M41" i="6"/>
  <c r="M39" i="6"/>
  <c r="K39" i="3"/>
  <c r="G24" i="3"/>
  <c r="C24" i="3"/>
  <c r="H24" i="3"/>
  <c r="D39" i="3"/>
  <c r="I24" i="3"/>
  <c r="J24" i="3"/>
  <c r="I39" i="3"/>
  <c r="F24" i="3"/>
  <c r="F39" i="3"/>
  <c r="E24" i="3"/>
  <c r="F26" i="1"/>
  <c r="F27" i="1"/>
  <c r="F28" i="1"/>
  <c r="F29" i="1"/>
  <c r="F30" i="1"/>
  <c r="F31" i="1"/>
  <c r="F32" i="1"/>
  <c r="E26" i="1"/>
  <c r="E27" i="1"/>
  <c r="E28" i="1"/>
  <c r="E29" i="1"/>
  <c r="E30" i="1"/>
  <c r="E31" i="1"/>
  <c r="E32" i="1"/>
  <c r="D26" i="1"/>
  <c r="D27" i="1"/>
  <c r="D28" i="1"/>
  <c r="D29" i="1"/>
  <c r="D30" i="1"/>
  <c r="D31" i="1"/>
  <c r="D32" i="1"/>
  <c r="F25" i="1"/>
  <c r="E25" i="1"/>
  <c r="D25" i="1"/>
  <c r="L32" i="1"/>
  <c r="J32" i="1"/>
  <c r="K32" i="1"/>
  <c r="O34" i="1"/>
  <c r="P34" i="1"/>
  <c r="Q34" i="1"/>
  <c r="R34" i="1"/>
  <c r="S34" i="1"/>
  <c r="T34" i="1"/>
  <c r="U34" i="1"/>
  <c r="F12" i="1"/>
  <c r="F13" i="1" l="1"/>
  <c r="F14" i="1"/>
  <c r="F15" i="1"/>
  <c r="F16" i="1"/>
  <c r="F17" i="1"/>
  <c r="F18" i="1"/>
  <c r="D18" i="1"/>
  <c r="D13" i="1"/>
  <c r="D14" i="1"/>
  <c r="D15" i="1"/>
  <c r="D16" i="1"/>
  <c r="D17" i="1"/>
  <c r="D12" i="1"/>
  <c r="M18" i="1"/>
  <c r="K18" i="1"/>
  <c r="E13" i="1"/>
  <c r="E14" i="1"/>
  <c r="E15" i="1"/>
  <c r="E16" i="1"/>
  <c r="E17" i="1"/>
  <c r="E18" i="1"/>
  <c r="E12" i="1"/>
  <c r="L18" i="1"/>
  <c r="F22" i="1"/>
  <c r="F21" i="1"/>
  <c r="E22" i="1"/>
  <c r="E21" i="1"/>
  <c r="D22" i="1"/>
  <c r="D21" i="1"/>
  <c r="K22" i="1"/>
  <c r="L22" i="1"/>
  <c r="J22" i="1"/>
  <c r="F8" i="1"/>
  <c r="F9" i="1"/>
  <c r="F7" i="1"/>
  <c r="D8" i="1"/>
  <c r="D9" i="1"/>
  <c r="D7" i="1"/>
  <c r="I8" i="1"/>
  <c r="I9" i="1"/>
  <c r="I7" i="1"/>
  <c r="N10" i="1"/>
  <c r="K3" i="1"/>
  <c r="L3" i="1" s="1"/>
  <c r="M3" i="1" s="1"/>
  <c r="P6" i="2"/>
  <c r="P5" i="2"/>
  <c r="L9" i="2" l="1"/>
  <c r="L10" i="2"/>
  <c r="L11" i="2"/>
  <c r="L12" i="2"/>
  <c r="L13" i="2"/>
  <c r="L14" i="2"/>
  <c r="L8" i="2"/>
  <c r="K15" i="2"/>
  <c r="J5" i="2"/>
  <c r="K5" i="2" s="1"/>
  <c r="L5" i="2" s="1"/>
  <c r="M5" i="2" s="1"/>
  <c r="E18" i="2"/>
  <c r="E19" i="2"/>
  <c r="E20" i="2"/>
  <c r="E21" i="2"/>
  <c r="E17" i="2"/>
  <c r="J22" i="2"/>
  <c r="E22" i="2" s="1"/>
  <c r="G18" i="2"/>
  <c r="G19" i="2"/>
  <c r="G20" i="2"/>
  <c r="G21" i="2"/>
  <c r="G17" i="2"/>
  <c r="L22" i="2"/>
  <c r="G22" i="2" s="1"/>
  <c r="F18" i="2"/>
  <c r="F19" i="2"/>
  <c r="F20" i="2"/>
  <c r="F21" i="2"/>
  <c r="F17" i="2"/>
  <c r="K22" i="2"/>
  <c r="F22" i="2" s="1"/>
</calcChain>
</file>

<file path=xl/sharedStrings.xml><?xml version="1.0" encoding="utf-8"?>
<sst xmlns="http://schemas.openxmlformats.org/spreadsheetml/2006/main" count="229" uniqueCount="157">
  <si>
    <t>By Component</t>
  </si>
  <si>
    <t>Hardware</t>
  </si>
  <si>
    <t>Software</t>
  </si>
  <si>
    <t>Services</t>
  </si>
  <si>
    <t>By Function</t>
  </si>
  <si>
    <t>HR</t>
  </si>
  <si>
    <t>Sales &amp; Marketing</t>
  </si>
  <si>
    <t>Supply Chain Management</t>
  </si>
  <si>
    <t>Others</t>
  </si>
  <si>
    <t>By Deployment</t>
  </si>
  <si>
    <t>On Cloud</t>
  </si>
  <si>
    <t>On Premises</t>
  </si>
  <si>
    <t>By Industry</t>
  </si>
  <si>
    <t>Healthcare</t>
  </si>
  <si>
    <t xml:space="preserve">Retail </t>
  </si>
  <si>
    <t>IT &amp; Telecom</t>
  </si>
  <si>
    <t>BFSI</t>
  </si>
  <si>
    <t>Automotive</t>
  </si>
  <si>
    <t>Advertising</t>
  </si>
  <si>
    <t>Artificial Intelligence</t>
  </si>
  <si>
    <t>Manufacturing</t>
  </si>
  <si>
    <t>Memory</t>
  </si>
  <si>
    <t>Micro Component</t>
  </si>
  <si>
    <t>Analog</t>
  </si>
  <si>
    <t>Logic</t>
  </si>
  <si>
    <t>Optoelectronic</t>
  </si>
  <si>
    <t>Sensor</t>
  </si>
  <si>
    <t>Discrete Component</t>
  </si>
  <si>
    <t>Communication</t>
  </si>
  <si>
    <t>Industrial</t>
  </si>
  <si>
    <t>Data Processing</t>
  </si>
  <si>
    <t>Consumer Electronics</t>
  </si>
  <si>
    <t>By Application</t>
  </si>
  <si>
    <t xml:space="preserve">Overall Market Size </t>
  </si>
  <si>
    <t>Semi-Conductor</t>
  </si>
  <si>
    <t>IT</t>
  </si>
  <si>
    <t>Finance &amp; Accounting</t>
  </si>
  <si>
    <t>Customer Services</t>
  </si>
  <si>
    <t>https://www.tcs.com/content/dam/tcs/pdf/Industries/global-trend-studies/ai/TCS-GTS-how-AI-elevating-performance-global-companies.pdf</t>
  </si>
  <si>
    <t>CAGR(2017-21)</t>
  </si>
  <si>
    <t>CAGR (2021-25)</t>
  </si>
  <si>
    <t>https://asianroboticsreview.com/home337-html</t>
  </si>
  <si>
    <t>Total</t>
  </si>
  <si>
    <t>Electronics</t>
  </si>
  <si>
    <t xml:space="preserve">Articulated </t>
  </si>
  <si>
    <t>Collaborative</t>
  </si>
  <si>
    <t>SCARA</t>
  </si>
  <si>
    <t>Others (Delta, Automated Guided Vehicle,Autonomous Mobile Robot, Humanoid Robot</t>
  </si>
  <si>
    <t>India Robotics,  By  End User, Share</t>
  </si>
  <si>
    <t>India Robotics,  By  End User, Size</t>
  </si>
  <si>
    <t>India Robotics, By Type, Share</t>
  </si>
  <si>
    <t>India Robotics, By Type, Size</t>
  </si>
  <si>
    <t>timesofindia.indiatimes.com/india/india-doubles-number-of-industrial-robots-in-5-years/articleshow/78407600.cms</t>
  </si>
  <si>
    <t>Military &amp; Defence</t>
  </si>
  <si>
    <t>India Robotics, By Function, Size</t>
  </si>
  <si>
    <t>Material Handling</t>
  </si>
  <si>
    <t xml:space="preserve">India Overall Market Size </t>
  </si>
  <si>
    <t>Global Overall Market Size</t>
  </si>
  <si>
    <t>E-commerce</t>
  </si>
  <si>
    <t xml:space="preserve">Welding </t>
  </si>
  <si>
    <t>Links</t>
  </si>
  <si>
    <t>https://www.technoxian.com/techiela/robotics-development-in-india/</t>
  </si>
  <si>
    <t>India market</t>
  </si>
  <si>
    <t>https://www.indianlogisticsinfo.com/robotics/index.html</t>
  </si>
  <si>
    <t>Drivers</t>
  </si>
  <si>
    <t>https://news.siliconindia.com/technology/how-the-growth-of-robotics-market-in-india-affect-the-economy-nid-211739-cid-2.html</t>
  </si>
  <si>
    <t>India's position</t>
  </si>
  <si>
    <t>Robotics Topic</t>
  </si>
  <si>
    <t>https://www.electricalindia.in/robotics-in-india/</t>
  </si>
  <si>
    <t>Robotic trend- India</t>
  </si>
  <si>
    <t>https://www.robotic-hitechsolutions.com/industrial-robotics-trend-in-india/</t>
  </si>
  <si>
    <t>Market Number</t>
  </si>
  <si>
    <t>https://www.zeebiz.com/technology/news-how-make-in-india-robots-are-creating-global-benchmarks-the-new-game-changers-176660</t>
  </si>
  <si>
    <t>https://www.bisinfotech.com/leaders-on-robotics-market-in-india-perspective/</t>
  </si>
  <si>
    <t>Market in units inst.</t>
  </si>
  <si>
    <t>https://ifr.org/img/worldrobotics/Executive_Summary_WR_Industrial_Robots_2022.pdf</t>
  </si>
  <si>
    <t>Asia market</t>
  </si>
  <si>
    <t>https://www.outlookindia.com/website/story/the-age-of-robotics/392449</t>
  </si>
  <si>
    <t>Global Robotics</t>
  </si>
  <si>
    <t>https://thekootneeti.in/2022/08/13/coming-of-age-for-robotics-in-india-the-japan-factor/</t>
  </si>
  <si>
    <t>CAGR(2017-2021)</t>
  </si>
  <si>
    <t>CAGR(2022E-2025F)</t>
  </si>
  <si>
    <t>https://www.mckinsey.com/~/media/mckinsey/industries/advanced%20electronics/our%20insights/growth%20dynamics%20in%20industrial%20robotics/industrial-robotics-insights-into-the-sectors-future-growth-dynamics.ashx</t>
  </si>
  <si>
    <t xml:space="preserve">Industrial robotics market </t>
  </si>
  <si>
    <t>Others( Food &amp; Beverages, Chemical, Plastics &amp; Rubbers, Metal healthcare, Airport, Hospitality,etc)</t>
  </si>
  <si>
    <t>Countries share</t>
  </si>
  <si>
    <t>Assembling-Disassembling</t>
  </si>
  <si>
    <t>India Space, By Type, Share</t>
  </si>
  <si>
    <t>India Space, By Function, Size</t>
  </si>
  <si>
    <t xml:space="preserve">Satellite Manufacturing </t>
  </si>
  <si>
    <t>Ground Segment</t>
  </si>
  <si>
    <t>Launch Services</t>
  </si>
  <si>
    <t>Satellite Services</t>
  </si>
  <si>
    <t>Agriculture</t>
  </si>
  <si>
    <t>India Space, By End Users, Size</t>
  </si>
  <si>
    <t>Quantum</t>
  </si>
  <si>
    <t>By Technologies</t>
  </si>
  <si>
    <t>Computing</t>
  </si>
  <si>
    <t>Communications</t>
  </si>
  <si>
    <t>Materials</t>
  </si>
  <si>
    <t>Sensing</t>
  </si>
  <si>
    <t>Public administration and defence</t>
  </si>
  <si>
    <t>High-tech</t>
  </si>
  <si>
    <t>Heavy industries</t>
  </si>
  <si>
    <t>Financial services</t>
  </si>
  <si>
    <t>Telecom and broadcasting</t>
  </si>
  <si>
    <t>Travel and transportation</t>
  </si>
  <si>
    <t>Healthcare and life sciences</t>
  </si>
  <si>
    <t>India Space,  By  Type, Size</t>
  </si>
  <si>
    <t>Satellite</t>
  </si>
  <si>
    <t> INSAT satellites, GSAT-10 satellite. </t>
  </si>
  <si>
    <t>GSAT-7 and GSAT-7A.</t>
  </si>
  <si>
    <t>Aerospace and defence</t>
  </si>
  <si>
    <t>https://vajiramandravi.s3.us-east-1.amazonaws.com/media/2022/10/16/12/59/6/ISRO_proposes_dedicated_satellites_for_the_agricultural_sector.pdf</t>
  </si>
  <si>
    <t>C-band transponders of INSAT-3A, INSAT-3C, and INSAT-4B,  INSAT satellites, GSAT-10 satellite. </t>
  </si>
  <si>
    <t>BBC</t>
  </si>
  <si>
    <t>Bloomberg LP</t>
  </si>
  <si>
    <t>CBTC</t>
  </si>
  <si>
    <t>Cignal TV</t>
  </si>
  <si>
    <t>CNET</t>
  </si>
  <si>
    <t>CNN</t>
  </si>
  <si>
    <t>Dish Media Network</t>
  </si>
  <si>
    <t>Eande Broadcasting Company</t>
  </si>
  <si>
    <t>Envision Digital Media</t>
  </si>
  <si>
    <t>Facebook</t>
  </si>
  <si>
    <t>Globecast Americas</t>
  </si>
  <si>
    <t>Hope Channel</t>
  </si>
  <si>
    <t>iNDEMAND</t>
  </si>
  <si>
    <t>Mediacorp</t>
  </si>
  <si>
    <t>NBC News Washington</t>
  </si>
  <si>
    <t>NBC Universal</t>
  </si>
  <si>
    <t>NPR</t>
  </si>
  <si>
    <t>Sirius XM Radio</t>
  </si>
  <si>
    <t>INSAT-IB</t>
  </si>
  <si>
    <t>INSAT series Geostationary Satellite INSAT-4B</t>
  </si>
  <si>
    <t>INSAT-4A and GSAT-10 satellite.</t>
  </si>
  <si>
    <t>LEO Satellites</t>
  </si>
  <si>
    <t>GSAT-11</t>
  </si>
  <si>
    <t>India has two SAR satellites, RISAT 1 and 2, which possess submarine-detecting capability.</t>
  </si>
  <si>
    <t>)</t>
  </si>
  <si>
    <t>Satellite manufacturing</t>
  </si>
  <si>
    <t>Ground segment</t>
  </si>
  <si>
    <t>Media &amp; entertan</t>
  </si>
  <si>
    <t>Government</t>
  </si>
  <si>
    <t xml:space="preserve">Aviation </t>
  </si>
  <si>
    <t>Defense</t>
  </si>
  <si>
    <t>Aerospace</t>
  </si>
  <si>
    <t>India Satellite Services, By End Users, Share</t>
  </si>
  <si>
    <t>Retail &amp; enterprises</t>
  </si>
  <si>
    <t>Media &amp; entertainment</t>
  </si>
  <si>
    <t>https://www.investindia.gov.in/sector/space</t>
  </si>
  <si>
    <t>https://www.livemint.com/</t>
  </si>
  <si>
    <t>https://www.thehindu.com/news/national/study-values-indias-space-economy-at-36794-crore-in-2020-21/article65265007.ece</t>
  </si>
  <si>
    <t>https://timesofindia.indiatimes.com/home/science/indian-space-economy-set-for-a-growth-of-13b-by-2025-ispa-ey/articleshow/94766100.cms</t>
  </si>
  <si>
    <t>https://static.pib.gov.in/WriteReadData/specificdocs/documents/2022/nov/doc20221125136001.pdf</t>
  </si>
  <si>
    <t>https://www.ibef.org/news/india-s-space-economy-expected-to-be-worth-us-12-8-billion-by-2025-report</t>
  </si>
  <si>
    <t xml:space="preserve">Copied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</si>
</sst>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2"/>
    <xf numFmtId="2" fontId="0" fillId="0" borderId="1" xfId="0" applyNumberFormat="1" applyBorder="1"/>
    <xf numFmtId="164" fontId="0" fillId="0" borderId="1" xfId="0" applyNumberFormat="1" applyBorder="1"/>
    <xf numFmtId="9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/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1" xfId="0" applyBorder="1"/>
    <xf numFmtId="2" fontId="0" fillId="0" borderId="12" xfId="0" applyNumberFormat="1" applyBorder="1" applyAlignment="1">
      <alignment horizontal="center" vertical="center"/>
    </xf>
    <xf numFmtId="0" fontId="0" fillId="0" borderId="8" xfId="0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6" xfId="0" applyNumberFormat="1" applyBorder="1"/>
    <xf numFmtId="0" fontId="0" fillId="0" borderId="7" xfId="0" applyBorder="1"/>
    <xf numFmtId="0" fontId="0" fillId="0" borderId="12" xfId="0" applyBorder="1"/>
    <xf numFmtId="2" fontId="0" fillId="0" borderId="9" xfId="0" applyNumberFormat="1" applyBorder="1"/>
    <xf numFmtId="0" fontId="0" fillId="0" borderId="10" xfId="0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1" xfId="0" applyBorder="1"/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/>
    <xf numFmtId="2" fontId="0" fillId="0" borderId="0" xfId="0" applyNumberFormat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9" fontId="0" fillId="0" borderId="1" xfId="1" applyFont="1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9" fontId="0" fillId="0" borderId="9" xfId="0" applyNumberFormat="1" applyBorder="1"/>
    <xf numFmtId="164" fontId="0" fillId="0" borderId="7" xfId="0" applyNumberFormat="1" applyBorder="1"/>
    <xf numFmtId="0" fontId="0" fillId="0" borderId="14" xfId="0" applyBorder="1"/>
    <xf numFmtId="43" fontId="0" fillId="0" borderId="0" xfId="3" applyFont="1"/>
    <xf numFmtId="43" fontId="0" fillId="0" borderId="0" xfId="0" applyNumberFormat="1"/>
    <xf numFmtId="0" fontId="6" fillId="0" borderId="0" xfId="0" applyFont="1"/>
    <xf numFmtId="2" fontId="0" fillId="0" borderId="0" xfId="1" applyNumberFormat="1" applyFont="1"/>
    <xf numFmtId="0" fontId="2" fillId="5" borderId="8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0" fillId="5" borderId="0" xfId="0" applyFill="1"/>
    <xf numFmtId="164" fontId="0" fillId="5" borderId="0" xfId="0" applyNumberFormat="1" applyFill="1"/>
    <xf numFmtId="9" fontId="0" fillId="5" borderId="0" xfId="1" applyFont="1" applyFill="1"/>
    <xf numFmtId="0" fontId="2" fillId="5" borderId="11" xfId="0" applyFont="1" applyFill="1" applyBorder="1" applyAlignment="1">
      <alignment horizontal="center"/>
    </xf>
    <xf numFmtId="9" fontId="0" fillId="5" borderId="1" xfId="1" applyFont="1" applyFill="1" applyBorder="1"/>
    <xf numFmtId="0" fontId="0" fillId="5" borderId="1" xfId="0" applyFill="1" applyBorder="1"/>
    <xf numFmtId="9" fontId="0" fillId="5" borderId="1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 wrapText="1"/>
    </xf>
    <xf numFmtId="9" fontId="0" fillId="5" borderId="9" xfId="0" applyNumberFormat="1" applyFill="1" applyBorder="1"/>
    <xf numFmtId="0" fontId="0" fillId="5" borderId="0" xfId="0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9" xfId="0" applyNumberFormat="1" applyFill="1" applyBorder="1"/>
    <xf numFmtId="0" fontId="0" fillId="5" borderId="5" xfId="0" applyFill="1" applyBorder="1" applyAlignment="1">
      <alignment horizontal="center"/>
    </xf>
    <xf numFmtId="9" fontId="0" fillId="5" borderId="1" xfId="0" applyNumberFormat="1" applyFill="1" applyBorder="1"/>
    <xf numFmtId="0" fontId="2" fillId="5" borderId="14" xfId="0" applyFont="1" applyFill="1" applyBorder="1" applyAlignment="1">
      <alignment horizontal="center" wrapText="1"/>
    </xf>
    <xf numFmtId="9" fontId="0" fillId="5" borderId="15" xfId="0" applyNumberFormat="1" applyFill="1" applyBorder="1"/>
    <xf numFmtId="164" fontId="0" fillId="5" borderId="1" xfId="0" applyNumberFormat="1" applyFill="1" applyBorder="1"/>
    <xf numFmtId="0" fontId="0" fillId="3" borderId="0" xfId="0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400051</xdr:colOff>
      <xdr:row>35</xdr:row>
      <xdr:rowOff>171450</xdr:rowOff>
    </xdr:from>
    <xdr:to>
      <xdr:col>13</xdr:col>
      <xdr:colOff>228601</xdr:colOff>
      <xdr:row>51</xdr:row>
      <xdr:rowOff>19700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BCC59-C03B-78F7-BBFD-D526FE54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1" y="6981825"/>
          <a:ext cx="5924550" cy="289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cs.com/content/dam/tcs/pdf/Industries/global-trend-studies/ai/TCS-GTS-how-AI-elevating-performance-global-compan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vajiramandravi.s3.us-east-1.amazonaws.com/media/2022/10/16/12/59/6/ISRO_proposes_dedicated_satellites_for_the_agricultural_sector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713B-93D4-4189-BA34-9DC3A899816D}">
  <dimension ref="C2:W34"/>
  <sheetViews>
    <sheetView workbookViewId="0">
      <selection activeCell="D28" sqref="D28"/>
    </sheetView>
  </sheetViews>
  <sheetFormatPr defaultRowHeight="15" x14ac:dyDescent="0.25"/>
  <cols>
    <col min="3" max="3" width="28" bestFit="1" customWidth="1"/>
    <col min="16" max="16" width="14.140625" customWidth="1"/>
    <col min="17" max="17" width="21.5703125" customWidth="1"/>
  </cols>
  <sheetData>
    <row r="2" spans="3:23" ht="15.75" thickBot="1" x14ac:dyDescent="0.3">
      <c r="D2" s="87" t="s">
        <v>19</v>
      </c>
      <c r="E2" s="87"/>
      <c r="F2" s="87"/>
      <c r="J2">
        <v>17</v>
      </c>
      <c r="K2">
        <v>18</v>
      </c>
      <c r="L2">
        <v>19</v>
      </c>
      <c r="M2">
        <v>20</v>
      </c>
      <c r="P2" s="40" t="s">
        <v>39</v>
      </c>
      <c r="Q2" s="40" t="s">
        <v>40</v>
      </c>
    </row>
    <row r="3" spans="3:23" ht="15.75" thickBot="1" x14ac:dyDescent="0.3">
      <c r="D3" s="17">
        <v>2017</v>
      </c>
      <c r="E3" s="18">
        <v>2021</v>
      </c>
      <c r="F3" s="19">
        <v>2025</v>
      </c>
      <c r="J3">
        <v>2</v>
      </c>
      <c r="K3">
        <f>J3+(J3*K4)</f>
        <v>2.3199999999999998</v>
      </c>
      <c r="L3">
        <f t="shared" ref="L3:M3" si="0">K3+(K3*L4)</f>
        <v>2.6911999999999998</v>
      </c>
      <c r="M3">
        <f t="shared" si="0"/>
        <v>3.1217919999999997</v>
      </c>
      <c r="P3" s="41">
        <f>(E4/D4)^(1/4)-1</f>
        <v>0.33512334523728127</v>
      </c>
      <c r="Q3" s="41">
        <f>(F4/E4)^(1/4)-1</f>
        <v>0.1959332742426112</v>
      </c>
    </row>
    <row r="4" spans="3:23" ht="15.75" thickBot="1" x14ac:dyDescent="0.3">
      <c r="C4" s="15" t="s">
        <v>33</v>
      </c>
      <c r="D4" s="20">
        <v>1.2</v>
      </c>
      <c r="E4" s="21">
        <v>3.8130000000000002</v>
      </c>
      <c r="F4" s="22">
        <v>7.8</v>
      </c>
      <c r="K4" s="1">
        <v>0.16</v>
      </c>
      <c r="L4" s="1">
        <v>0.16</v>
      </c>
      <c r="M4" s="1">
        <v>0.16</v>
      </c>
    </row>
    <row r="5" spans="3:23" ht="15.75" thickBot="1" x14ac:dyDescent="0.3">
      <c r="D5" s="8"/>
      <c r="E5" s="12"/>
      <c r="F5" s="8"/>
      <c r="P5" s="3">
        <f>(E4/D4)^(1/4)-1</f>
        <v>0.33512334523728127</v>
      </c>
      <c r="Q5" s="3">
        <f>(F4/E4)^(1/4)-1</f>
        <v>0.1959332742426112</v>
      </c>
    </row>
    <row r="6" spans="3:23" ht="15.75" thickBot="1" x14ac:dyDescent="0.3">
      <c r="C6" s="16" t="s">
        <v>0</v>
      </c>
      <c r="D6" s="8"/>
      <c r="E6" s="8"/>
      <c r="F6" s="8"/>
    </row>
    <row r="7" spans="3:23" x14ac:dyDescent="0.25">
      <c r="C7" s="23" t="s">
        <v>1</v>
      </c>
      <c r="D7" s="24">
        <f>$D$4*J7</f>
        <v>0.24</v>
      </c>
      <c r="E7" s="24">
        <v>0.64821000000000006</v>
      </c>
      <c r="F7" s="25">
        <f>$F$4*L7</f>
        <v>1.2869999999999999</v>
      </c>
      <c r="I7" s="7">
        <f>$E$4*K7</f>
        <v>0.64821000000000006</v>
      </c>
      <c r="J7" s="1">
        <v>0.2</v>
      </c>
      <c r="K7" s="3">
        <v>0.17</v>
      </c>
      <c r="L7" s="1">
        <v>0.16500000000000001</v>
      </c>
    </row>
    <row r="8" spans="3:23" x14ac:dyDescent="0.25">
      <c r="C8" s="26" t="s">
        <v>2</v>
      </c>
      <c r="D8" s="13">
        <f>$D$4*J8</f>
        <v>0.66</v>
      </c>
      <c r="E8" s="13">
        <v>2.2877999999999998</v>
      </c>
      <c r="F8" s="27">
        <f t="shared" ref="F8:F9" si="1">$F$4*L8</f>
        <v>4.758</v>
      </c>
      <c r="I8" s="7">
        <f t="shared" ref="I8:I9" si="2">$E$4*K8</f>
        <v>2.2877999999999998</v>
      </c>
      <c r="J8" s="1">
        <v>0.55000000000000004</v>
      </c>
      <c r="K8" s="3">
        <v>0.6</v>
      </c>
      <c r="L8" s="1">
        <v>0.61</v>
      </c>
      <c r="N8">
        <v>328</v>
      </c>
    </row>
    <row r="9" spans="3:23" ht="15.75" thickBot="1" x14ac:dyDescent="0.3">
      <c r="C9" s="28" t="s">
        <v>3</v>
      </c>
      <c r="D9" s="29">
        <f>$D$4*J9</f>
        <v>0.3</v>
      </c>
      <c r="E9" s="29">
        <v>0.87699000000000005</v>
      </c>
      <c r="F9" s="30">
        <f t="shared" si="1"/>
        <v>1.7549999999999999</v>
      </c>
      <c r="H9" s="1">
        <v>0.35</v>
      </c>
      <c r="I9" s="7">
        <f t="shared" si="2"/>
        <v>0.87699000000000005</v>
      </c>
      <c r="J9" s="1">
        <v>0.25</v>
      </c>
      <c r="K9" s="3">
        <v>0.23</v>
      </c>
      <c r="L9" s="2">
        <v>0.22500000000000001</v>
      </c>
      <c r="N9">
        <v>191</v>
      </c>
    </row>
    <row r="10" spans="3:23" ht="15.75" thickBot="1" x14ac:dyDescent="0.3">
      <c r="D10" s="8"/>
      <c r="E10" s="8"/>
      <c r="F10" s="8"/>
      <c r="N10">
        <f>N9/N8</f>
        <v>0.58231707317073167</v>
      </c>
    </row>
    <row r="11" spans="3:23" ht="15.75" thickBot="1" x14ac:dyDescent="0.3">
      <c r="C11" s="16" t="s">
        <v>4</v>
      </c>
      <c r="D11" s="8"/>
      <c r="E11" s="8"/>
      <c r="F11" s="8"/>
    </row>
    <row r="12" spans="3:23" x14ac:dyDescent="0.25">
      <c r="C12" s="23" t="s">
        <v>5</v>
      </c>
      <c r="D12" s="24">
        <f>$D$4*K12</f>
        <v>1.7999999999999999E-2</v>
      </c>
      <c r="E12" s="24">
        <f>$E$4*L12</f>
        <v>6.8634000000000001E-2</v>
      </c>
      <c r="F12" s="25">
        <f>$F$4*M12</f>
        <v>0.156</v>
      </c>
      <c r="K12" s="5">
        <v>1.4999999999999999E-2</v>
      </c>
      <c r="L12" s="5">
        <v>1.7999999999999999E-2</v>
      </c>
      <c r="M12" s="5">
        <v>0.02</v>
      </c>
      <c r="O12" s="42">
        <v>17</v>
      </c>
      <c r="P12" s="42">
        <v>18</v>
      </c>
      <c r="Q12" s="42">
        <v>19</v>
      </c>
      <c r="R12" s="42">
        <v>20</v>
      </c>
      <c r="S12" s="42">
        <v>21</v>
      </c>
      <c r="T12" s="42">
        <v>22</v>
      </c>
      <c r="U12" s="42">
        <v>23</v>
      </c>
      <c r="V12" s="42">
        <v>24</v>
      </c>
      <c r="W12" s="42">
        <v>25</v>
      </c>
    </row>
    <row r="13" spans="3:23" x14ac:dyDescent="0.25">
      <c r="C13" s="26" t="s">
        <v>6</v>
      </c>
      <c r="D13" s="13">
        <f t="shared" ref="D13:D17" si="3">$D$4*K13</f>
        <v>0.22319999999999998</v>
      </c>
      <c r="E13" s="13">
        <f t="shared" ref="E13:E18" si="4">$E$4*L13</f>
        <v>0.72447000000000006</v>
      </c>
      <c r="F13" s="27">
        <f t="shared" ref="F13:F18" si="5">$F$4*M13</f>
        <v>1.5209999999999999</v>
      </c>
      <c r="K13" s="5">
        <v>0.186</v>
      </c>
      <c r="L13" s="5">
        <v>0.19</v>
      </c>
      <c r="M13" s="5">
        <v>0.19500000000000001</v>
      </c>
      <c r="O13">
        <v>1.2</v>
      </c>
      <c r="P13">
        <f>(O13+(O13*P14))</f>
        <v>1.6021480142847375</v>
      </c>
      <c r="Q13">
        <f t="shared" ref="Q13:S13" si="6">(P13+(P13*Q14))</f>
        <v>2.139065216397106</v>
      </c>
      <c r="R13">
        <f t="shared" si="6"/>
        <v>2.8559159073968123</v>
      </c>
      <c r="S13">
        <f t="shared" si="6"/>
        <v>3.8129999999999971</v>
      </c>
      <c r="T13">
        <f t="shared" ref="T13" si="7">(S13+(S13*T14))</f>
        <v>4.5600935746870732</v>
      </c>
      <c r="U13">
        <f t="shared" ref="U13" si="8">(T13+(T13*U14))</f>
        <v>5.4535676396282051</v>
      </c>
      <c r="V13">
        <f t="shared" ref="V13" si="9">(U13+(U13*V14))</f>
        <v>6.5221030035641085</v>
      </c>
      <c r="W13">
        <f t="shared" ref="W13" si="10">(V13+(V13*W14))</f>
        <v>7.7999999999999936</v>
      </c>
    </row>
    <row r="14" spans="3:23" x14ac:dyDescent="0.25">
      <c r="C14" s="26" t="s">
        <v>35</v>
      </c>
      <c r="D14" s="13">
        <f t="shared" si="3"/>
        <v>0.48</v>
      </c>
      <c r="E14" s="13">
        <f t="shared" si="4"/>
        <v>1.5328260000000002</v>
      </c>
      <c r="F14" s="27">
        <f t="shared" si="5"/>
        <v>3.3149999999999999</v>
      </c>
      <c r="K14" s="5">
        <v>0.4</v>
      </c>
      <c r="L14" s="5">
        <v>0.40200000000000002</v>
      </c>
      <c r="M14" s="5">
        <v>0.42499999999999999</v>
      </c>
      <c r="P14" s="3">
        <v>0.33512334523728127</v>
      </c>
      <c r="Q14" s="3">
        <v>0.33512334523728127</v>
      </c>
      <c r="R14" s="3">
        <v>0.33512334523728099</v>
      </c>
      <c r="S14" s="3">
        <v>0.33512334523728099</v>
      </c>
      <c r="T14">
        <v>0.1959332742426112</v>
      </c>
      <c r="U14">
        <v>0.1959332742426112</v>
      </c>
      <c r="V14">
        <v>0.1959332742426112</v>
      </c>
      <c r="W14">
        <v>0.1959332742426112</v>
      </c>
    </row>
    <row r="15" spans="3:23" x14ac:dyDescent="0.25">
      <c r="C15" s="26" t="s">
        <v>36</v>
      </c>
      <c r="D15" s="13">
        <f t="shared" si="3"/>
        <v>0.1008</v>
      </c>
      <c r="E15" s="13">
        <f t="shared" si="4"/>
        <v>0.33935700000000002</v>
      </c>
      <c r="F15" s="27">
        <f t="shared" si="5"/>
        <v>0.72539999999999993</v>
      </c>
      <c r="K15" s="5">
        <v>8.4000000000000005E-2</v>
      </c>
      <c r="L15" s="5">
        <v>8.8999999999999996E-2</v>
      </c>
      <c r="M15" s="5">
        <v>9.2999999999999999E-2</v>
      </c>
    </row>
    <row r="16" spans="3:23" x14ac:dyDescent="0.25">
      <c r="C16" s="26" t="s">
        <v>37</v>
      </c>
      <c r="D16" s="13">
        <f t="shared" si="3"/>
        <v>8.2799999999999999E-2</v>
      </c>
      <c r="E16" s="13">
        <f t="shared" si="4"/>
        <v>0.27072299999999999</v>
      </c>
      <c r="F16" s="27">
        <f t="shared" si="5"/>
        <v>0.58499999999999996</v>
      </c>
      <c r="K16" s="5">
        <v>6.9000000000000006E-2</v>
      </c>
      <c r="L16" s="5">
        <v>7.0999999999999994E-2</v>
      </c>
      <c r="M16" s="5">
        <v>7.4999999999999997E-2</v>
      </c>
    </row>
    <row r="17" spans="3:21" x14ac:dyDescent="0.25">
      <c r="C17" s="26" t="s">
        <v>7</v>
      </c>
      <c r="D17" s="13">
        <f t="shared" si="3"/>
        <v>4.3199999999999995E-2</v>
      </c>
      <c r="E17" s="13">
        <f t="shared" si="4"/>
        <v>0.15252000000000002</v>
      </c>
      <c r="F17" s="27">
        <f t="shared" si="5"/>
        <v>0.35099999999999998</v>
      </c>
      <c r="K17" s="5">
        <v>3.5999999999999997E-2</v>
      </c>
      <c r="L17" s="5">
        <v>0.04</v>
      </c>
      <c r="M17" s="5">
        <v>4.4999999999999998E-2</v>
      </c>
    </row>
    <row r="18" spans="3:21" ht="15.75" thickBot="1" x14ac:dyDescent="0.3">
      <c r="C18" s="28" t="s">
        <v>8</v>
      </c>
      <c r="D18" s="29">
        <f>$D$4*K18</f>
        <v>0.25199999999999995</v>
      </c>
      <c r="E18" s="29">
        <f t="shared" si="4"/>
        <v>0.72447000000000028</v>
      </c>
      <c r="F18" s="30">
        <f t="shared" si="5"/>
        <v>1.1466000000000001</v>
      </c>
      <c r="K18" s="5">
        <f>1-SUM(K12:K17)</f>
        <v>0.20999999999999996</v>
      </c>
      <c r="L18" s="5">
        <f>1-SUM(L12:L17)</f>
        <v>0.19000000000000006</v>
      </c>
      <c r="M18" s="5">
        <f>1-SUM(M12:M17)</f>
        <v>0.14700000000000002</v>
      </c>
    </row>
    <row r="19" spans="3:21" ht="15.75" thickBot="1" x14ac:dyDescent="0.3">
      <c r="D19" s="8"/>
      <c r="E19" s="8"/>
      <c r="F19" s="8"/>
    </row>
    <row r="20" spans="3:21" ht="15.75" thickBot="1" x14ac:dyDescent="0.3">
      <c r="C20" s="16" t="s">
        <v>9</v>
      </c>
      <c r="D20" s="8"/>
      <c r="E20" s="8"/>
      <c r="F20" s="8"/>
    </row>
    <row r="21" spans="3:21" x14ac:dyDescent="0.25">
      <c r="C21" s="23" t="s">
        <v>10</v>
      </c>
      <c r="D21" s="24">
        <f>$D$4*J21</f>
        <v>0.624</v>
      </c>
      <c r="E21" s="24">
        <f>$E$4*K21</f>
        <v>2.2115399999999998</v>
      </c>
      <c r="F21" s="25">
        <f>$F$4*L21</f>
        <v>4.8360000000000003</v>
      </c>
      <c r="J21" s="1">
        <v>0.52</v>
      </c>
      <c r="K21" s="1">
        <v>0.57999999999999996</v>
      </c>
      <c r="L21" s="1">
        <v>0.62</v>
      </c>
    </row>
    <row r="22" spans="3:21" ht="15.75" thickBot="1" x14ac:dyDescent="0.3">
      <c r="C22" s="28" t="s">
        <v>11</v>
      </c>
      <c r="D22" s="29">
        <f>$D$4*J22</f>
        <v>0.57599999999999996</v>
      </c>
      <c r="E22" s="29">
        <f>$E$4*K22</f>
        <v>1.6014600000000003</v>
      </c>
      <c r="F22" s="30">
        <f>$F$4*L22</f>
        <v>2.964</v>
      </c>
      <c r="J22" s="1">
        <f>1-J21</f>
        <v>0.48</v>
      </c>
      <c r="K22" s="1">
        <f t="shared" ref="K22:L22" si="11">1-K21</f>
        <v>0.42000000000000004</v>
      </c>
      <c r="L22" s="1">
        <f t="shared" si="11"/>
        <v>0.38</v>
      </c>
      <c r="N22" s="9" t="s">
        <v>38</v>
      </c>
    </row>
    <row r="23" spans="3:21" ht="15.75" thickBot="1" x14ac:dyDescent="0.3">
      <c r="D23" s="8"/>
      <c r="E23" s="8"/>
      <c r="F23" s="8"/>
    </row>
    <row r="24" spans="3:21" ht="15.75" thickBot="1" x14ac:dyDescent="0.3">
      <c r="C24" s="16" t="s">
        <v>12</v>
      </c>
      <c r="D24" s="8"/>
      <c r="E24" s="8"/>
      <c r="F24" s="8"/>
      <c r="L24">
        <v>328</v>
      </c>
    </row>
    <row r="25" spans="3:21" ht="15.75" thickBot="1" x14ac:dyDescent="0.3">
      <c r="C25" s="23" t="s">
        <v>13</v>
      </c>
      <c r="D25" s="24">
        <f>$D$4*J25</f>
        <v>3.3599999999999998E-2</v>
      </c>
      <c r="E25" s="24">
        <f>$E$4*K25</f>
        <v>0.11439000000000001</v>
      </c>
      <c r="F25" s="25">
        <f>$F$4*L25</f>
        <v>0.312</v>
      </c>
      <c r="J25" s="6">
        <v>2.8000000000000001E-2</v>
      </c>
      <c r="K25" s="2">
        <v>0.03</v>
      </c>
      <c r="L25" s="3">
        <v>0.04</v>
      </c>
    </row>
    <row r="26" spans="3:21" ht="15.75" thickBot="1" x14ac:dyDescent="0.3">
      <c r="C26" s="26" t="s">
        <v>14</v>
      </c>
      <c r="D26" s="24">
        <f t="shared" ref="D26:D32" si="12">$D$4*J26</f>
        <v>6.7199999999999996E-2</v>
      </c>
      <c r="E26" s="24">
        <f t="shared" ref="E26:E32" si="13">$E$4*K26</f>
        <v>0.22115400000000002</v>
      </c>
      <c r="F26" s="25">
        <f t="shared" ref="F26:F32" si="14">$F$4*L26</f>
        <v>0.48359999999999997</v>
      </c>
      <c r="J26" s="6">
        <v>5.6000000000000001E-2</v>
      </c>
      <c r="K26" s="2">
        <v>5.8000000000000003E-2</v>
      </c>
      <c r="L26" s="3">
        <v>6.2E-2</v>
      </c>
    </row>
    <row r="27" spans="3:21" ht="15.75" thickBot="1" x14ac:dyDescent="0.3">
      <c r="C27" s="26" t="s">
        <v>15</v>
      </c>
      <c r="D27" s="24">
        <f t="shared" si="12"/>
        <v>0.61199999999999999</v>
      </c>
      <c r="E27" s="24">
        <f t="shared" si="13"/>
        <v>2.0208900000000001</v>
      </c>
      <c r="F27" s="25">
        <f t="shared" si="14"/>
        <v>4.2119999999999997</v>
      </c>
      <c r="J27" s="6">
        <v>0.51</v>
      </c>
      <c r="K27" s="1">
        <v>0.53</v>
      </c>
      <c r="L27" s="3">
        <v>0.54</v>
      </c>
    </row>
    <row r="28" spans="3:21" ht="15.75" thickBot="1" x14ac:dyDescent="0.3">
      <c r="C28" s="26" t="s">
        <v>16</v>
      </c>
      <c r="D28" s="24">
        <f t="shared" si="12"/>
        <v>7.8E-2</v>
      </c>
      <c r="E28" s="24">
        <f t="shared" si="13"/>
        <v>0.26691000000000004</v>
      </c>
      <c r="F28" s="25">
        <f t="shared" si="14"/>
        <v>0.58499999999999996</v>
      </c>
      <c r="J28" s="6">
        <v>6.5000000000000002E-2</v>
      </c>
      <c r="K28" s="1">
        <v>7.0000000000000007E-2</v>
      </c>
      <c r="L28" s="3">
        <v>7.4999999999999997E-2</v>
      </c>
    </row>
    <row r="29" spans="3:21" ht="15.75" thickBot="1" x14ac:dyDescent="0.3">
      <c r="C29" s="26" t="s">
        <v>17</v>
      </c>
      <c r="D29" s="24">
        <f t="shared" si="12"/>
        <v>2.4E-2</v>
      </c>
      <c r="E29" s="24">
        <f t="shared" si="13"/>
        <v>9.5325000000000007E-2</v>
      </c>
      <c r="F29" s="25">
        <f t="shared" si="14"/>
        <v>0.27300000000000002</v>
      </c>
      <c r="J29" s="6">
        <v>0.02</v>
      </c>
      <c r="K29" s="1">
        <v>2.5000000000000001E-2</v>
      </c>
      <c r="L29" s="3">
        <v>3.5000000000000003E-2</v>
      </c>
    </row>
    <row r="30" spans="3:21" ht="15.75" thickBot="1" x14ac:dyDescent="0.3">
      <c r="C30" s="26" t="s">
        <v>18</v>
      </c>
      <c r="D30" s="24">
        <f t="shared" si="12"/>
        <v>7.1999999999999995E-2</v>
      </c>
      <c r="E30" s="24">
        <f t="shared" si="13"/>
        <v>0.26691000000000004</v>
      </c>
      <c r="F30" s="25">
        <f t="shared" si="14"/>
        <v>0.624</v>
      </c>
      <c r="J30" s="6">
        <v>0.06</v>
      </c>
      <c r="K30" s="1">
        <v>7.0000000000000007E-2</v>
      </c>
      <c r="L30" s="3">
        <v>0.08</v>
      </c>
      <c r="M30">
        <v>107</v>
      </c>
    </row>
    <row r="31" spans="3:21" ht="15.75" thickBot="1" x14ac:dyDescent="0.3">
      <c r="C31" s="26" t="s">
        <v>20</v>
      </c>
      <c r="D31" s="24">
        <f t="shared" si="12"/>
        <v>5.7599999999999998E-2</v>
      </c>
      <c r="E31" s="24">
        <f t="shared" si="13"/>
        <v>0.19065000000000001</v>
      </c>
      <c r="F31" s="25">
        <f t="shared" si="14"/>
        <v>0.41339999999999999</v>
      </c>
      <c r="J31" s="6">
        <v>4.8000000000000001E-2</v>
      </c>
      <c r="K31" s="1">
        <v>0.05</v>
      </c>
      <c r="L31" s="3">
        <v>5.2999999999999999E-2</v>
      </c>
      <c r="N31">
        <v>2021</v>
      </c>
      <c r="O31">
        <v>2022</v>
      </c>
      <c r="P31">
        <v>2023</v>
      </c>
      <c r="Q31">
        <v>2024</v>
      </c>
      <c r="R31">
        <v>2025</v>
      </c>
      <c r="S31">
        <v>2026</v>
      </c>
      <c r="T31">
        <v>2027</v>
      </c>
      <c r="U31">
        <v>2028</v>
      </c>
    </row>
    <row r="32" spans="3:21" ht="15.75" thickBot="1" x14ac:dyDescent="0.3">
      <c r="C32" s="28" t="s">
        <v>8</v>
      </c>
      <c r="D32" s="24">
        <f t="shared" si="12"/>
        <v>0.25559999999999983</v>
      </c>
      <c r="E32" s="24">
        <f t="shared" si="13"/>
        <v>0.6367710000000002</v>
      </c>
      <c r="F32" s="25">
        <f t="shared" si="14"/>
        <v>0.89699999999999991</v>
      </c>
      <c r="J32" s="2">
        <f>1-SUM(J25:J31)</f>
        <v>0.21299999999999986</v>
      </c>
      <c r="K32" s="2">
        <f>1-SUM(K25:K31)</f>
        <v>0.16700000000000004</v>
      </c>
      <c r="L32" s="2">
        <f>1-SUM(L25:L31)</f>
        <v>0.11499999999999999</v>
      </c>
      <c r="N32">
        <v>16</v>
      </c>
      <c r="O32">
        <v>21</v>
      </c>
      <c r="P32">
        <v>27</v>
      </c>
      <c r="Q32">
        <v>35</v>
      </c>
      <c r="R32">
        <v>46</v>
      </c>
      <c r="S32">
        <v>61</v>
      </c>
      <c r="T32">
        <v>81</v>
      </c>
      <c r="U32">
        <v>107</v>
      </c>
    </row>
    <row r="33" spans="15:21" x14ac:dyDescent="0.25">
      <c r="O33" s="1">
        <v>0.32</v>
      </c>
      <c r="P33" s="1">
        <v>0.32</v>
      </c>
      <c r="Q33" s="1">
        <v>0.32</v>
      </c>
      <c r="R33" s="1">
        <v>0.32</v>
      </c>
      <c r="S33" s="1">
        <v>0.32</v>
      </c>
      <c r="T33" s="1">
        <v>0.32</v>
      </c>
      <c r="U33" s="1">
        <v>0.32</v>
      </c>
    </row>
    <row r="34" spans="15:21" x14ac:dyDescent="0.25">
      <c r="O34">
        <f t="shared" ref="O34:T34" si="15">N32+(N32*O33)</f>
        <v>21.12</v>
      </c>
      <c r="P34">
        <f t="shared" si="15"/>
        <v>27.72</v>
      </c>
      <c r="Q34">
        <f t="shared" si="15"/>
        <v>35.64</v>
      </c>
      <c r="R34">
        <f t="shared" si="15"/>
        <v>46.2</v>
      </c>
      <c r="S34">
        <f t="shared" si="15"/>
        <v>60.72</v>
      </c>
      <c r="T34">
        <f t="shared" si="15"/>
        <v>80.52</v>
      </c>
      <c r="U34">
        <f>T32+(T32*U33)</f>
        <v>106.92</v>
      </c>
    </row>
  </sheetData>
  <mergeCells count="1">
    <mergeCell ref="D2:F2"/>
  </mergeCells>
  <hyperlinks>
    <hyperlink ref="N22" r:id="rId1" xr:uid="{E67B5928-BCA7-428B-B932-02407817FD7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E635-EB9D-408A-972E-4A6B976950AD}">
  <dimension ref="B1:Q53"/>
  <sheetViews>
    <sheetView workbookViewId="0">
      <pane ySplit="1" topLeftCell="A23" activePane="bottomLeft" state="frozen"/>
      <selection pane="bottomLeft" activeCell="G30" sqref="G30"/>
    </sheetView>
  </sheetViews>
  <sheetFormatPr defaultRowHeight="15" x14ac:dyDescent="0.25"/>
  <cols>
    <col min="2" max="2" width="39.140625" customWidth="1"/>
    <col min="3" max="3" width="11.7109375" customWidth="1"/>
    <col min="4" max="6" width="0" hidden="1" customWidth="1"/>
    <col min="8" max="8" width="7.28515625" hidden="1" customWidth="1"/>
    <col min="9" max="9" width="8.42578125" hidden="1" customWidth="1"/>
    <col min="10" max="10" width="8" hidden="1" customWidth="1"/>
    <col min="12" max="12" width="17.28515625" customWidth="1"/>
    <col min="13" max="13" width="18.28515625" bestFit="1" customWidth="1"/>
  </cols>
  <sheetData>
    <row r="1" spans="2:17" x14ac:dyDescent="0.25">
      <c r="B1" s="23"/>
      <c r="C1" s="47">
        <v>2017</v>
      </c>
      <c r="D1" s="47">
        <v>2018</v>
      </c>
      <c r="E1" s="47">
        <v>2019</v>
      </c>
      <c r="F1" s="47">
        <v>2020</v>
      </c>
      <c r="G1" s="47">
        <v>2021</v>
      </c>
      <c r="H1" s="47">
        <v>2022</v>
      </c>
      <c r="I1" s="47">
        <v>2023</v>
      </c>
      <c r="J1" s="47">
        <v>2024</v>
      </c>
      <c r="K1" s="47">
        <v>2025</v>
      </c>
      <c r="L1" t="s">
        <v>80</v>
      </c>
      <c r="M1" t="s">
        <v>81</v>
      </c>
    </row>
    <row r="2" spans="2:17" ht="15.75" hidden="1" thickBot="1" x14ac:dyDescent="0.3">
      <c r="B2" s="44" t="s">
        <v>56</v>
      </c>
      <c r="C2" s="39"/>
      <c r="D2" s="39"/>
      <c r="E2" s="39"/>
      <c r="F2" s="39"/>
      <c r="G2" s="39"/>
      <c r="H2" s="39"/>
      <c r="I2" s="39"/>
      <c r="J2" s="39"/>
      <c r="K2" s="39"/>
    </row>
    <row r="3" spans="2:17" hidden="1" x14ac:dyDescent="0.25">
      <c r="B3" s="40"/>
    </row>
    <row r="4" spans="2:17" hidden="1" x14ac:dyDescent="0.25">
      <c r="B4" s="46" t="s">
        <v>57</v>
      </c>
      <c r="C4" s="52">
        <v>25.4</v>
      </c>
      <c r="D4" s="52">
        <v>32.85</v>
      </c>
      <c r="E4" s="52">
        <v>41.6</v>
      </c>
      <c r="F4" s="52">
        <v>36.9</v>
      </c>
      <c r="G4" s="52">
        <v>46.5</v>
      </c>
      <c r="H4" s="52">
        <v>55.427999999999997</v>
      </c>
      <c r="I4" s="52">
        <v>67.250792399999995</v>
      </c>
      <c r="J4" s="52">
        <v>83.417882892959994</v>
      </c>
      <c r="K4" s="52">
        <v>105.47357112985861</v>
      </c>
    </row>
    <row r="5" spans="2:17" ht="15.75" hidden="1" thickBot="1" x14ac:dyDescent="0.3">
      <c r="B5" s="44"/>
      <c r="C5" s="53">
        <f t="shared" ref="C5:D5" si="0">C4*15%</f>
        <v>3.8099999999999996</v>
      </c>
      <c r="D5" s="53">
        <f t="shared" si="0"/>
        <v>4.9275000000000002</v>
      </c>
      <c r="E5" s="53">
        <f>E4*15%</f>
        <v>6.24</v>
      </c>
      <c r="F5" s="53">
        <f>F4* 12%</f>
        <v>4.4279999999999999</v>
      </c>
      <c r="G5" s="53">
        <f t="shared" ref="G5:K5" si="1">G4* 12%</f>
        <v>5.58</v>
      </c>
      <c r="H5" s="53">
        <f t="shared" si="1"/>
        <v>6.6513599999999995</v>
      </c>
      <c r="I5" s="53">
        <f t="shared" si="1"/>
        <v>8.0700950879999986</v>
      </c>
      <c r="J5" s="53">
        <f t="shared" si="1"/>
        <v>10.010145947155198</v>
      </c>
      <c r="K5" s="53">
        <f t="shared" si="1"/>
        <v>12.656828535583033</v>
      </c>
    </row>
    <row r="6" spans="2:17" ht="15.75" thickBot="1" x14ac:dyDescent="0.3">
      <c r="B6" s="40"/>
      <c r="C6" s="56"/>
      <c r="D6" s="56"/>
      <c r="E6" s="56"/>
      <c r="F6" s="56"/>
      <c r="G6" s="56"/>
      <c r="H6" s="56"/>
      <c r="I6" s="56"/>
      <c r="J6" s="56"/>
      <c r="K6" s="56"/>
    </row>
    <row r="7" spans="2:17" x14ac:dyDescent="0.25">
      <c r="B7" s="46" t="s">
        <v>57</v>
      </c>
      <c r="C7" s="52">
        <v>75.83</v>
      </c>
      <c r="D7" s="52">
        <v>86</v>
      </c>
      <c r="E7" s="52">
        <v>94.3</v>
      </c>
      <c r="F7" s="52">
        <v>103.95</v>
      </c>
      <c r="G7" s="52">
        <v>110</v>
      </c>
      <c r="H7" s="57">
        <v>120</v>
      </c>
      <c r="I7" s="52">
        <v>67.250792399999995</v>
      </c>
      <c r="J7" s="52">
        <v>83.417882892959994</v>
      </c>
      <c r="K7" s="52">
        <v>210</v>
      </c>
      <c r="L7" s="6">
        <f>(G7/C7)^(1/4)-1</f>
        <v>9.7457996518515611E-2</v>
      </c>
      <c r="M7" s="6">
        <f>(K7/H7)^(1/3)-1</f>
        <v>0.20507113208761507</v>
      </c>
    </row>
    <row r="8" spans="2:17" ht="15.75" thickBot="1" x14ac:dyDescent="0.3">
      <c r="B8" s="44" t="s">
        <v>56</v>
      </c>
      <c r="C8" s="53">
        <f>C7*9%</f>
        <v>6.8247</v>
      </c>
      <c r="D8" s="53">
        <f>D7*11%</f>
        <v>9.4600000000000009</v>
      </c>
      <c r="E8" s="53">
        <f>E7*12%</f>
        <v>11.315999999999999</v>
      </c>
      <c r="F8" s="53">
        <f>F7* 13%</f>
        <v>13.513500000000001</v>
      </c>
      <c r="G8" s="53">
        <f>G7* 15%</f>
        <v>16.5</v>
      </c>
      <c r="H8" s="53">
        <f>H7* 16%</f>
        <v>19.2</v>
      </c>
      <c r="I8" s="53">
        <f t="shared" ref="I8:J8" si="2">I7* 12%</f>
        <v>8.0700950879999986</v>
      </c>
      <c r="J8" s="53">
        <f t="shared" si="2"/>
        <v>10.010145947155198</v>
      </c>
      <c r="K8" s="53">
        <f>K7* 16%</f>
        <v>33.6</v>
      </c>
      <c r="L8" s="6">
        <f>(G8/C8)^(1/4)-1</f>
        <v>0.24695302952895903</v>
      </c>
    </row>
    <row r="9" spans="2:17" ht="15.75" thickBot="1" x14ac:dyDescent="0.3">
      <c r="C9" s="4"/>
      <c r="D9" s="3"/>
    </row>
    <row r="10" spans="2:17" x14ac:dyDescent="0.25">
      <c r="B10" s="89" t="s">
        <v>48</v>
      </c>
      <c r="C10" s="88"/>
      <c r="D10" s="88"/>
      <c r="E10" s="88"/>
      <c r="F10" s="88"/>
      <c r="G10" s="88"/>
      <c r="H10" s="88"/>
      <c r="I10" s="88"/>
      <c r="J10" s="88"/>
      <c r="K10" s="88"/>
      <c r="M10">
        <f>2.7*1000000</f>
        <v>2700000</v>
      </c>
      <c r="Q10" t="s">
        <v>52</v>
      </c>
    </row>
    <row r="11" spans="2:17" x14ac:dyDescent="0.25">
      <c r="B11" s="45" t="s">
        <v>17</v>
      </c>
      <c r="C11" s="58">
        <v>0.48</v>
      </c>
      <c r="D11" s="43"/>
      <c r="E11" s="43"/>
      <c r="F11" s="43"/>
      <c r="G11" s="51">
        <v>0.46</v>
      </c>
      <c r="H11" s="43"/>
      <c r="I11" s="43"/>
      <c r="J11" s="43"/>
      <c r="K11" s="58">
        <v>0.44</v>
      </c>
      <c r="M11" s="6">
        <f>(N14/M10)*100</f>
        <v>0.15925925925925924</v>
      </c>
      <c r="Q11" t="s">
        <v>41</v>
      </c>
    </row>
    <row r="12" spans="2:17" x14ac:dyDescent="0.25">
      <c r="B12" s="45" t="s">
        <v>43</v>
      </c>
      <c r="C12" s="58">
        <v>0.14000000000000001</v>
      </c>
      <c r="D12" s="43"/>
      <c r="E12" s="43"/>
      <c r="F12" s="43"/>
      <c r="G12" s="51">
        <v>0.15</v>
      </c>
      <c r="H12" s="43"/>
      <c r="I12" s="43"/>
      <c r="J12" s="43"/>
      <c r="K12" s="58">
        <v>0.16</v>
      </c>
    </row>
    <row r="13" spans="2:17" x14ac:dyDescent="0.25">
      <c r="B13" s="45" t="s">
        <v>58</v>
      </c>
      <c r="C13" s="58">
        <v>0.04</v>
      </c>
      <c r="D13" s="43"/>
      <c r="E13" s="43"/>
      <c r="F13" s="43"/>
      <c r="G13" s="51">
        <v>0.06</v>
      </c>
      <c r="H13" s="43"/>
      <c r="I13" s="43"/>
      <c r="J13" s="43"/>
      <c r="K13" s="58">
        <v>0.08</v>
      </c>
      <c r="Q13" s="1">
        <v>0.44</v>
      </c>
    </row>
    <row r="14" spans="2:17" x14ac:dyDescent="0.25">
      <c r="B14" s="45" t="s">
        <v>53</v>
      </c>
      <c r="C14" s="58">
        <v>0.05</v>
      </c>
      <c r="D14" s="43"/>
      <c r="E14" s="43"/>
      <c r="F14" s="43"/>
      <c r="G14" s="51">
        <v>0.06</v>
      </c>
      <c r="H14" s="43"/>
      <c r="I14" s="43"/>
      <c r="J14" s="43"/>
      <c r="K14" s="58">
        <v>0.09</v>
      </c>
      <c r="N14">
        <f>4.3*1000</f>
        <v>4300</v>
      </c>
      <c r="Q14" s="1"/>
    </row>
    <row r="15" spans="2:17" ht="45" x14ac:dyDescent="0.25">
      <c r="B15" s="48" t="s">
        <v>84</v>
      </c>
      <c r="C15" s="58">
        <v>0.28999999999999998</v>
      </c>
      <c r="D15" s="43"/>
      <c r="E15" s="43"/>
      <c r="F15" s="43"/>
      <c r="G15" s="51">
        <v>0.27</v>
      </c>
      <c r="H15" s="43"/>
      <c r="I15" s="43"/>
      <c r="J15" s="43"/>
      <c r="K15" s="58">
        <v>0.23</v>
      </c>
    </row>
    <row r="16" spans="2:17" ht="15.75" thickBot="1" x14ac:dyDescent="0.3">
      <c r="B16" s="44" t="s">
        <v>42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2:11" ht="15.75" thickBot="1" x14ac:dyDescent="0.3">
      <c r="B17" s="49"/>
    </row>
    <row r="18" spans="2:11" x14ac:dyDescent="0.25">
      <c r="B18" s="89" t="s">
        <v>49</v>
      </c>
      <c r="C18" s="88"/>
      <c r="D18" s="88"/>
      <c r="E18" s="88"/>
      <c r="F18" s="88"/>
      <c r="G18" s="88"/>
      <c r="H18" s="88"/>
      <c r="I18" s="88"/>
      <c r="J18" s="88"/>
      <c r="K18" s="88"/>
    </row>
    <row r="19" spans="2:11" x14ac:dyDescent="0.25">
      <c r="B19" s="45" t="str">
        <f>B11</f>
        <v>Automotive</v>
      </c>
      <c r="C19" s="59">
        <f>C11*C$8</f>
        <v>3.2758559999999997</v>
      </c>
      <c r="D19" s="59">
        <f t="shared" ref="D19:K19" si="3">D11*D$8</f>
        <v>0</v>
      </c>
      <c r="E19" s="59">
        <f t="shared" si="3"/>
        <v>0</v>
      </c>
      <c r="F19" s="59">
        <f t="shared" si="3"/>
        <v>0</v>
      </c>
      <c r="G19" s="59">
        <f t="shared" si="3"/>
        <v>7.5900000000000007</v>
      </c>
      <c r="H19" s="59">
        <f t="shared" si="3"/>
        <v>0</v>
      </c>
      <c r="I19" s="59">
        <f t="shared" si="3"/>
        <v>0</v>
      </c>
      <c r="J19" s="59">
        <f t="shared" si="3"/>
        <v>0</v>
      </c>
      <c r="K19" s="59">
        <f t="shared" si="3"/>
        <v>14.784000000000001</v>
      </c>
    </row>
    <row r="20" spans="2:11" x14ac:dyDescent="0.25">
      <c r="B20" s="45" t="str">
        <f t="shared" ref="B20:B23" si="4">B12</f>
        <v>Electronics</v>
      </c>
      <c r="C20" s="59">
        <f t="shared" ref="C20:K23" si="5">C12*C$8</f>
        <v>0.95545800000000014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2.4750000000000001</v>
      </c>
      <c r="H20" s="59">
        <f t="shared" si="5"/>
        <v>0</v>
      </c>
      <c r="I20" s="59">
        <f t="shared" si="5"/>
        <v>0</v>
      </c>
      <c r="J20" s="59">
        <f t="shared" si="5"/>
        <v>0</v>
      </c>
      <c r="K20" s="59">
        <f t="shared" si="5"/>
        <v>5.3760000000000003</v>
      </c>
    </row>
    <row r="21" spans="2:11" x14ac:dyDescent="0.25">
      <c r="B21" s="45" t="str">
        <f t="shared" si="4"/>
        <v>E-commerce</v>
      </c>
      <c r="C21" s="59">
        <f t="shared" si="5"/>
        <v>0.27298800000000001</v>
      </c>
      <c r="D21" s="59">
        <f t="shared" si="5"/>
        <v>0</v>
      </c>
      <c r="E21" s="59">
        <f t="shared" si="5"/>
        <v>0</v>
      </c>
      <c r="F21" s="59">
        <f t="shared" si="5"/>
        <v>0</v>
      </c>
      <c r="G21" s="59">
        <f t="shared" si="5"/>
        <v>0.99</v>
      </c>
      <c r="H21" s="59">
        <f t="shared" si="5"/>
        <v>0</v>
      </c>
      <c r="I21" s="59">
        <f t="shared" si="5"/>
        <v>0</v>
      </c>
      <c r="J21" s="59">
        <f t="shared" si="5"/>
        <v>0</v>
      </c>
      <c r="K21" s="59">
        <f t="shared" si="5"/>
        <v>2.6880000000000002</v>
      </c>
    </row>
    <row r="22" spans="2:11" x14ac:dyDescent="0.25">
      <c r="B22" s="45" t="str">
        <f t="shared" si="4"/>
        <v>Military &amp; Defence</v>
      </c>
      <c r="C22" s="59">
        <f t="shared" si="5"/>
        <v>0.34123500000000001</v>
      </c>
      <c r="D22" s="59">
        <f t="shared" si="5"/>
        <v>0</v>
      </c>
      <c r="E22" s="59">
        <f t="shared" si="5"/>
        <v>0</v>
      </c>
      <c r="F22" s="59">
        <f t="shared" si="5"/>
        <v>0</v>
      </c>
      <c r="G22" s="59">
        <f t="shared" si="5"/>
        <v>0.99</v>
      </c>
      <c r="H22" s="59">
        <f t="shared" si="5"/>
        <v>0</v>
      </c>
      <c r="I22" s="59">
        <f t="shared" si="5"/>
        <v>0</v>
      </c>
      <c r="J22" s="59">
        <f t="shared" si="5"/>
        <v>0</v>
      </c>
      <c r="K22" s="59">
        <f t="shared" si="5"/>
        <v>3.024</v>
      </c>
    </row>
    <row r="23" spans="2:11" ht="45" x14ac:dyDescent="0.25">
      <c r="B23" s="48" t="str">
        <f t="shared" si="4"/>
        <v>Others( Food &amp; Beverages, Chemical, Plastics &amp; Rubbers, Metal healthcare, Airport, Hospitality,etc)</v>
      </c>
      <c r="C23" s="59">
        <f t="shared" si="5"/>
        <v>1.9791629999999998</v>
      </c>
      <c r="D23" s="59">
        <f t="shared" si="5"/>
        <v>0</v>
      </c>
      <c r="E23" s="59">
        <f t="shared" si="5"/>
        <v>0</v>
      </c>
      <c r="F23" s="59">
        <f t="shared" si="5"/>
        <v>0</v>
      </c>
      <c r="G23" s="59">
        <f t="shared" si="5"/>
        <v>4.4550000000000001</v>
      </c>
      <c r="H23" s="59">
        <f t="shared" si="5"/>
        <v>0</v>
      </c>
      <c r="I23" s="59">
        <f t="shared" si="5"/>
        <v>0</v>
      </c>
      <c r="J23" s="59">
        <f t="shared" si="5"/>
        <v>0</v>
      </c>
      <c r="K23" s="59">
        <f t="shared" si="5"/>
        <v>7.7280000000000006</v>
      </c>
    </row>
    <row r="24" spans="2:11" ht="15.75" thickBot="1" x14ac:dyDescent="0.3">
      <c r="B24" s="44" t="s">
        <v>42</v>
      </c>
      <c r="C24" s="37">
        <f>SUM(C19:C23)</f>
        <v>6.8246999999999991</v>
      </c>
      <c r="D24" s="37">
        <f t="shared" ref="D24:K24" si="6">SUM(D19:D23)</f>
        <v>0</v>
      </c>
      <c r="E24" s="37">
        <f t="shared" si="6"/>
        <v>0</v>
      </c>
      <c r="F24" s="37">
        <f t="shared" si="6"/>
        <v>0</v>
      </c>
      <c r="G24" s="37">
        <f t="shared" si="6"/>
        <v>16.5</v>
      </c>
      <c r="H24" s="37">
        <f t="shared" si="6"/>
        <v>0</v>
      </c>
      <c r="I24" s="37">
        <f t="shared" si="6"/>
        <v>0</v>
      </c>
      <c r="J24" s="37">
        <f t="shared" si="6"/>
        <v>0</v>
      </c>
      <c r="K24" s="37">
        <f t="shared" si="6"/>
        <v>33.6</v>
      </c>
    </row>
    <row r="26" spans="2:11" ht="15.75" thickBot="1" x14ac:dyDescent="0.3"/>
    <row r="27" spans="2:11" x14ac:dyDescent="0.25">
      <c r="B27" s="50"/>
      <c r="C27" s="88" t="s">
        <v>50</v>
      </c>
      <c r="D27" s="88"/>
      <c r="E27" s="88"/>
      <c r="F27" s="88"/>
      <c r="G27" s="88"/>
      <c r="H27" s="88"/>
      <c r="I27" s="88"/>
      <c r="J27" s="88"/>
      <c r="K27" s="88"/>
    </row>
    <row r="28" spans="2:11" x14ac:dyDescent="0.25">
      <c r="B28" s="45" t="s">
        <v>44</v>
      </c>
      <c r="C28" s="58">
        <v>0.35</v>
      </c>
      <c r="D28" s="43"/>
      <c r="E28" s="43"/>
      <c r="F28" s="43"/>
      <c r="G28" s="60">
        <v>0.36</v>
      </c>
      <c r="H28" s="43"/>
      <c r="I28" s="43"/>
      <c r="J28" s="43"/>
      <c r="K28" s="60">
        <v>0.36</v>
      </c>
    </row>
    <row r="29" spans="2:11" x14ac:dyDescent="0.25">
      <c r="B29" s="45" t="s">
        <v>45</v>
      </c>
      <c r="C29" s="58">
        <v>0.1</v>
      </c>
      <c r="D29" s="43"/>
      <c r="E29" s="43"/>
      <c r="F29" s="43"/>
      <c r="G29" s="60">
        <v>0.11</v>
      </c>
      <c r="H29" s="43"/>
      <c r="I29" s="43"/>
      <c r="J29" s="43"/>
      <c r="K29" s="60">
        <v>0.12</v>
      </c>
    </row>
    <row r="30" spans="2:11" x14ac:dyDescent="0.25">
      <c r="B30" s="45" t="s">
        <v>46</v>
      </c>
      <c r="C30" s="58">
        <v>0.15</v>
      </c>
      <c r="D30" s="43"/>
      <c r="E30" s="43"/>
      <c r="F30" s="43"/>
      <c r="G30" s="60">
        <v>0.16</v>
      </c>
      <c r="H30" s="43"/>
      <c r="I30" s="43"/>
      <c r="J30" s="43"/>
      <c r="K30" s="60">
        <v>0.16</v>
      </c>
    </row>
    <row r="31" spans="2:11" ht="45" x14ac:dyDescent="0.25">
      <c r="B31" s="48" t="s">
        <v>47</v>
      </c>
      <c r="C31" s="60">
        <f t="shared" ref="C31:F31" si="7">1-SUM(C28:C30)</f>
        <v>0.4</v>
      </c>
      <c r="D31" s="60">
        <f t="shared" si="7"/>
        <v>1</v>
      </c>
      <c r="E31" s="60">
        <f t="shared" si="7"/>
        <v>1</v>
      </c>
      <c r="F31" s="60">
        <f t="shared" si="7"/>
        <v>1</v>
      </c>
      <c r="G31" s="60">
        <f>1-SUM(G28:G30)</f>
        <v>0.37</v>
      </c>
      <c r="H31" s="60">
        <f t="shared" ref="H31:K31" si="8">1-SUM(H28:H30)</f>
        <v>1</v>
      </c>
      <c r="I31" s="60">
        <f t="shared" si="8"/>
        <v>1</v>
      </c>
      <c r="J31" s="60">
        <f t="shared" si="8"/>
        <v>1</v>
      </c>
      <c r="K31" s="60">
        <f t="shared" si="8"/>
        <v>0.36</v>
      </c>
    </row>
    <row r="32" spans="2:11" ht="15.75" thickBot="1" x14ac:dyDescent="0.3">
      <c r="B32" s="44" t="s">
        <v>42</v>
      </c>
      <c r="C32" s="39"/>
      <c r="D32" s="39"/>
      <c r="E32" s="39"/>
      <c r="F32" s="39"/>
      <c r="G32" s="39"/>
      <c r="H32" s="39"/>
      <c r="I32" s="39"/>
      <c r="J32" s="39"/>
      <c r="K32" s="39"/>
    </row>
    <row r="33" spans="2:11" ht="15.75" thickBot="1" x14ac:dyDescent="0.3"/>
    <row r="34" spans="2:11" x14ac:dyDescent="0.25">
      <c r="B34" s="50"/>
      <c r="C34" s="88" t="s">
        <v>51</v>
      </c>
      <c r="D34" s="88"/>
      <c r="E34" s="88"/>
      <c r="F34" s="88"/>
      <c r="G34" s="88"/>
      <c r="H34" s="88"/>
      <c r="I34" s="88"/>
      <c r="J34" s="88"/>
      <c r="K34" s="88"/>
    </row>
    <row r="35" spans="2:11" x14ac:dyDescent="0.25">
      <c r="B35" s="45" t="s">
        <v>44</v>
      </c>
      <c r="C35" s="11">
        <f>C28*C$8</f>
        <v>2.3886449999999999</v>
      </c>
      <c r="D35" s="11">
        <f t="shared" ref="D35:K35" si="9">D28*D$8</f>
        <v>0</v>
      </c>
      <c r="E35" s="11">
        <f t="shared" si="9"/>
        <v>0</v>
      </c>
      <c r="F35" s="11">
        <f t="shared" si="9"/>
        <v>0</v>
      </c>
      <c r="G35" s="11">
        <f t="shared" si="9"/>
        <v>5.9399999999999995</v>
      </c>
      <c r="H35" s="11">
        <f t="shared" si="9"/>
        <v>0</v>
      </c>
      <c r="I35" s="11">
        <f t="shared" si="9"/>
        <v>0</v>
      </c>
      <c r="J35" s="11">
        <f t="shared" si="9"/>
        <v>0</v>
      </c>
      <c r="K35" s="11">
        <f t="shared" si="9"/>
        <v>12.096</v>
      </c>
    </row>
    <row r="36" spans="2:11" x14ac:dyDescent="0.25">
      <c r="B36" s="45" t="s">
        <v>45</v>
      </c>
      <c r="C36" s="11">
        <f t="shared" ref="C36:K36" si="10">C29*C$8</f>
        <v>0.68247000000000002</v>
      </c>
      <c r="D36" s="11">
        <f t="shared" si="10"/>
        <v>0</v>
      </c>
      <c r="E36" s="11">
        <f t="shared" si="10"/>
        <v>0</v>
      </c>
      <c r="F36" s="11">
        <f t="shared" si="10"/>
        <v>0</v>
      </c>
      <c r="G36" s="11">
        <f t="shared" si="10"/>
        <v>1.8149999999999999</v>
      </c>
      <c r="H36" s="11">
        <f t="shared" si="10"/>
        <v>0</v>
      </c>
      <c r="I36" s="11">
        <f t="shared" si="10"/>
        <v>0</v>
      </c>
      <c r="J36" s="11">
        <f t="shared" si="10"/>
        <v>0</v>
      </c>
      <c r="K36" s="11">
        <f t="shared" si="10"/>
        <v>4.032</v>
      </c>
    </row>
    <row r="37" spans="2:11" x14ac:dyDescent="0.25">
      <c r="B37" s="45" t="s">
        <v>46</v>
      </c>
      <c r="C37" s="11">
        <f t="shared" ref="C37:K37" si="11">C30*C$8</f>
        <v>1.0237049999999999</v>
      </c>
      <c r="D37" s="11">
        <f t="shared" si="11"/>
        <v>0</v>
      </c>
      <c r="E37" s="11">
        <f t="shared" si="11"/>
        <v>0</v>
      </c>
      <c r="F37" s="11">
        <f t="shared" si="11"/>
        <v>0</v>
      </c>
      <c r="G37" s="11">
        <f t="shared" si="11"/>
        <v>2.64</v>
      </c>
      <c r="H37" s="11">
        <f t="shared" si="11"/>
        <v>0</v>
      </c>
      <c r="I37" s="11">
        <f t="shared" si="11"/>
        <v>0</v>
      </c>
      <c r="J37" s="11">
        <f t="shared" si="11"/>
        <v>0</v>
      </c>
      <c r="K37" s="11">
        <f t="shared" si="11"/>
        <v>5.3760000000000003</v>
      </c>
    </row>
    <row r="38" spans="2:11" ht="45" x14ac:dyDescent="0.25">
      <c r="B38" s="48" t="s">
        <v>47</v>
      </c>
      <c r="C38" s="11">
        <f t="shared" ref="C38:K38" si="12">C31*C$8</f>
        <v>2.7298800000000001</v>
      </c>
      <c r="D38" s="11">
        <f t="shared" si="12"/>
        <v>9.4600000000000009</v>
      </c>
      <c r="E38" s="11">
        <f t="shared" si="12"/>
        <v>11.315999999999999</v>
      </c>
      <c r="F38" s="11">
        <f t="shared" si="12"/>
        <v>13.513500000000001</v>
      </c>
      <c r="G38" s="11">
        <f t="shared" si="12"/>
        <v>6.1049999999999995</v>
      </c>
      <c r="H38" s="11">
        <f t="shared" si="12"/>
        <v>19.2</v>
      </c>
      <c r="I38" s="11">
        <f t="shared" si="12"/>
        <v>8.0700950879999986</v>
      </c>
      <c r="J38" s="11">
        <f t="shared" si="12"/>
        <v>10.010145947155198</v>
      </c>
      <c r="K38" s="11">
        <f t="shared" si="12"/>
        <v>12.096</v>
      </c>
    </row>
    <row r="39" spans="2:11" ht="15.75" thickBot="1" x14ac:dyDescent="0.3">
      <c r="B39" s="44" t="s">
        <v>42</v>
      </c>
      <c r="C39" s="37">
        <f>SUM(C35:C38)</f>
        <v>6.8247</v>
      </c>
      <c r="D39" s="37">
        <f t="shared" ref="D39:K39" si="13">SUM(D35:D38)</f>
        <v>9.4600000000000009</v>
      </c>
      <c r="E39" s="37">
        <f t="shared" si="13"/>
        <v>11.315999999999999</v>
      </c>
      <c r="F39" s="37">
        <f t="shared" si="13"/>
        <v>13.513500000000001</v>
      </c>
      <c r="G39" s="37">
        <f t="shared" si="13"/>
        <v>16.5</v>
      </c>
      <c r="H39" s="37">
        <f t="shared" si="13"/>
        <v>19.2</v>
      </c>
      <c r="I39" s="37">
        <f t="shared" si="13"/>
        <v>8.0700950879999986</v>
      </c>
      <c r="J39" s="37">
        <f t="shared" si="13"/>
        <v>10.010145947155198</v>
      </c>
      <c r="K39" s="37">
        <f t="shared" si="13"/>
        <v>33.6</v>
      </c>
    </row>
    <row r="40" spans="2:11" ht="15.75" thickBot="1" x14ac:dyDescent="0.3"/>
    <row r="41" spans="2:11" x14ac:dyDescent="0.25">
      <c r="B41" s="50"/>
      <c r="C41" s="88" t="s">
        <v>54</v>
      </c>
      <c r="D41" s="88"/>
      <c r="E41" s="88"/>
      <c r="F41" s="88"/>
      <c r="G41" s="88"/>
      <c r="H41" s="88"/>
      <c r="I41" s="88"/>
      <c r="J41" s="88"/>
      <c r="K41" s="88"/>
    </row>
    <row r="42" spans="2:11" x14ac:dyDescent="0.25">
      <c r="B42" s="45" t="s">
        <v>59</v>
      </c>
      <c r="C42" s="60">
        <v>0.25</v>
      </c>
      <c r="D42" s="43"/>
      <c r="E42" s="43"/>
      <c r="F42" s="43"/>
      <c r="G42" s="60">
        <v>0.26</v>
      </c>
      <c r="H42" s="43"/>
      <c r="I42" s="43"/>
      <c r="J42" s="43"/>
      <c r="K42" s="60">
        <v>0.26</v>
      </c>
    </row>
    <row r="43" spans="2:11" x14ac:dyDescent="0.25">
      <c r="B43" s="45" t="s">
        <v>55</v>
      </c>
      <c r="C43" s="60">
        <v>0.23</v>
      </c>
      <c r="D43" s="43"/>
      <c r="E43" s="43"/>
      <c r="F43" s="43"/>
      <c r="G43" s="60">
        <v>0.24</v>
      </c>
      <c r="H43" s="43"/>
      <c r="I43" s="43"/>
      <c r="J43" s="43"/>
      <c r="K43" s="60">
        <v>0.26</v>
      </c>
    </row>
    <row r="44" spans="2:11" x14ac:dyDescent="0.25">
      <c r="B44" s="45" t="s">
        <v>86</v>
      </c>
      <c r="C44" s="60">
        <v>0.21</v>
      </c>
      <c r="D44" s="43"/>
      <c r="E44" s="43"/>
      <c r="F44" s="43"/>
      <c r="G44" s="60">
        <v>0.22</v>
      </c>
      <c r="H44" s="43"/>
      <c r="I44" s="43"/>
      <c r="J44" s="43"/>
      <c r="K44" s="60">
        <v>0.23</v>
      </c>
    </row>
    <row r="45" spans="2:11" x14ac:dyDescent="0.25">
      <c r="B45" s="48" t="s">
        <v>8</v>
      </c>
      <c r="C45" s="60">
        <f t="shared" ref="C45:F45" si="14">1-SUM(C42:C44)</f>
        <v>0.31000000000000005</v>
      </c>
      <c r="D45" s="60">
        <f t="shared" si="14"/>
        <v>1</v>
      </c>
      <c r="E45" s="60">
        <f t="shared" si="14"/>
        <v>1</v>
      </c>
      <c r="F45" s="60">
        <f t="shared" si="14"/>
        <v>1</v>
      </c>
      <c r="G45" s="60">
        <f>1-SUM(G42:G44)</f>
        <v>0.28000000000000003</v>
      </c>
      <c r="H45" s="60">
        <f t="shared" ref="H45:K45" si="15">1-SUM(H42:H44)</f>
        <v>1</v>
      </c>
      <c r="I45" s="60">
        <f t="shared" si="15"/>
        <v>1</v>
      </c>
      <c r="J45" s="60">
        <f t="shared" si="15"/>
        <v>1</v>
      </c>
      <c r="K45" s="60">
        <f t="shared" si="15"/>
        <v>0.25</v>
      </c>
    </row>
    <row r="46" spans="2:11" ht="15.75" thickBot="1" x14ac:dyDescent="0.3">
      <c r="B46" s="44" t="s">
        <v>42</v>
      </c>
      <c r="C46" s="61">
        <f>SUM(C42:C45)</f>
        <v>1</v>
      </c>
      <c r="D46" s="61">
        <f t="shared" ref="D46:K46" si="16">SUM(D42:D45)</f>
        <v>1</v>
      </c>
      <c r="E46" s="61">
        <f t="shared" si="16"/>
        <v>1</v>
      </c>
      <c r="F46" s="61">
        <f t="shared" si="16"/>
        <v>1</v>
      </c>
      <c r="G46" s="61">
        <f t="shared" si="16"/>
        <v>1</v>
      </c>
      <c r="H46" s="61">
        <f t="shared" si="16"/>
        <v>1</v>
      </c>
      <c r="I46" s="61">
        <f t="shared" si="16"/>
        <v>1</v>
      </c>
      <c r="J46" s="61">
        <f t="shared" si="16"/>
        <v>1</v>
      </c>
      <c r="K46" s="61">
        <f t="shared" si="16"/>
        <v>1</v>
      </c>
    </row>
    <row r="47" spans="2:11" ht="15.75" thickBot="1" x14ac:dyDescent="0.3"/>
    <row r="48" spans="2:11" x14ac:dyDescent="0.25">
      <c r="B48" s="50"/>
      <c r="C48" s="88" t="s">
        <v>54</v>
      </c>
      <c r="D48" s="88"/>
      <c r="E48" s="88"/>
      <c r="F48" s="88"/>
      <c r="G48" s="88"/>
      <c r="H48" s="88"/>
      <c r="I48" s="88"/>
      <c r="J48" s="88"/>
      <c r="K48" s="88"/>
    </row>
    <row r="49" spans="2:11" x14ac:dyDescent="0.25">
      <c r="B49" s="45" t="s">
        <v>59</v>
      </c>
      <c r="C49" s="10">
        <f>C42*C$8</f>
        <v>1.706175</v>
      </c>
      <c r="D49" s="10">
        <f t="shared" ref="D49:K49" si="17">D42*D$8</f>
        <v>0</v>
      </c>
      <c r="E49" s="10">
        <f t="shared" si="17"/>
        <v>0</v>
      </c>
      <c r="F49" s="10">
        <f t="shared" si="17"/>
        <v>0</v>
      </c>
      <c r="G49" s="10">
        <f t="shared" si="17"/>
        <v>4.29</v>
      </c>
      <c r="H49" s="10">
        <f t="shared" si="17"/>
        <v>0</v>
      </c>
      <c r="I49" s="10">
        <f t="shared" si="17"/>
        <v>0</v>
      </c>
      <c r="J49" s="10">
        <f t="shared" si="17"/>
        <v>0</v>
      </c>
      <c r="K49" s="10">
        <f t="shared" si="17"/>
        <v>8.7360000000000007</v>
      </c>
    </row>
    <row r="50" spans="2:11" x14ac:dyDescent="0.25">
      <c r="B50" s="45" t="s">
        <v>55</v>
      </c>
      <c r="C50" s="10">
        <f t="shared" ref="C50:K50" si="18">C43*C$8</f>
        <v>1.5696810000000001</v>
      </c>
      <c r="D50" s="10">
        <f t="shared" si="18"/>
        <v>0</v>
      </c>
      <c r="E50" s="10">
        <f t="shared" si="18"/>
        <v>0</v>
      </c>
      <c r="F50" s="10">
        <f t="shared" si="18"/>
        <v>0</v>
      </c>
      <c r="G50" s="10">
        <f t="shared" si="18"/>
        <v>3.96</v>
      </c>
      <c r="H50" s="10">
        <f t="shared" si="18"/>
        <v>0</v>
      </c>
      <c r="I50" s="10">
        <f t="shared" si="18"/>
        <v>0</v>
      </c>
      <c r="J50" s="10">
        <f t="shared" si="18"/>
        <v>0</v>
      </c>
      <c r="K50" s="10">
        <f t="shared" si="18"/>
        <v>8.7360000000000007</v>
      </c>
    </row>
    <row r="51" spans="2:11" x14ac:dyDescent="0.25">
      <c r="B51" s="45" t="s">
        <v>86</v>
      </c>
      <c r="C51" s="10">
        <f t="shared" ref="C51:K51" si="19">C44*C$8</f>
        <v>1.433187</v>
      </c>
      <c r="D51" s="10">
        <f t="shared" si="19"/>
        <v>0</v>
      </c>
      <c r="E51" s="10">
        <f t="shared" si="19"/>
        <v>0</v>
      </c>
      <c r="F51" s="10">
        <f t="shared" si="19"/>
        <v>0</v>
      </c>
      <c r="G51" s="10">
        <f t="shared" si="19"/>
        <v>3.63</v>
      </c>
      <c r="H51" s="10">
        <f t="shared" si="19"/>
        <v>0</v>
      </c>
      <c r="I51" s="10">
        <f t="shared" si="19"/>
        <v>0</v>
      </c>
      <c r="J51" s="10">
        <f t="shared" si="19"/>
        <v>0</v>
      </c>
      <c r="K51" s="10">
        <f t="shared" si="19"/>
        <v>7.7280000000000006</v>
      </c>
    </row>
    <row r="52" spans="2:11" x14ac:dyDescent="0.25">
      <c r="B52" s="48" t="s">
        <v>8</v>
      </c>
      <c r="C52" s="10">
        <f t="shared" ref="C52:K52" si="20">C45*C$8</f>
        <v>2.1156570000000006</v>
      </c>
      <c r="D52" s="10">
        <f t="shared" si="20"/>
        <v>9.4600000000000009</v>
      </c>
      <c r="E52" s="10">
        <f t="shared" si="20"/>
        <v>11.315999999999999</v>
      </c>
      <c r="F52" s="10">
        <f t="shared" si="20"/>
        <v>13.513500000000001</v>
      </c>
      <c r="G52" s="10">
        <f t="shared" si="20"/>
        <v>4.62</v>
      </c>
      <c r="H52" s="10">
        <f t="shared" si="20"/>
        <v>19.2</v>
      </c>
      <c r="I52" s="10">
        <f t="shared" si="20"/>
        <v>8.0700950879999986</v>
      </c>
      <c r="J52" s="10">
        <f t="shared" si="20"/>
        <v>10.010145947155198</v>
      </c>
      <c r="K52" s="10">
        <f t="shared" si="20"/>
        <v>8.4</v>
      </c>
    </row>
    <row r="53" spans="2:11" ht="15.75" thickBot="1" x14ac:dyDescent="0.3">
      <c r="B53" s="44" t="s">
        <v>42</v>
      </c>
      <c r="C53" s="34">
        <f>SUM(C49:C52)</f>
        <v>6.8247000000000009</v>
      </c>
      <c r="D53" s="34">
        <f t="shared" ref="D53:K53" si="21">SUM(D49:D52)</f>
        <v>9.4600000000000009</v>
      </c>
      <c r="E53" s="34">
        <f t="shared" si="21"/>
        <v>11.315999999999999</v>
      </c>
      <c r="F53" s="34">
        <f t="shared" si="21"/>
        <v>13.513500000000001</v>
      </c>
      <c r="G53" s="34">
        <f t="shared" si="21"/>
        <v>16.5</v>
      </c>
      <c r="H53" s="34">
        <f t="shared" si="21"/>
        <v>19.2</v>
      </c>
      <c r="I53" s="34">
        <f t="shared" si="21"/>
        <v>8.0700950879999986</v>
      </c>
      <c r="J53" s="34">
        <f t="shared" si="21"/>
        <v>10.010145947155198</v>
      </c>
      <c r="K53" s="34">
        <f t="shared" si="21"/>
        <v>33.6</v>
      </c>
    </row>
  </sheetData>
  <mergeCells count="6">
    <mergeCell ref="C48:K48"/>
    <mergeCell ref="B10:K10"/>
    <mergeCell ref="B18:K18"/>
    <mergeCell ref="C27:K27"/>
    <mergeCell ref="C34:K34"/>
    <mergeCell ref="C41:K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BE4A-0B33-4D75-A826-8E189AB4B751}">
  <dimension ref="B1:AC60"/>
  <sheetViews>
    <sheetView tabSelected="1" zoomScale="92" workbookViewId="0">
      <pane ySplit="1" topLeftCell="A6" activePane="bottomLeft" state="frozen"/>
      <selection pane="bottomLeft" activeCell="M20" sqref="M20"/>
    </sheetView>
  </sheetViews>
  <sheetFormatPr defaultRowHeight="15" x14ac:dyDescent="0.25"/>
  <cols>
    <col min="2" max="2" width="39.140625" customWidth="1"/>
    <col min="3" max="3" width="12.42578125" customWidth="1"/>
    <col min="4" max="6" width="5.5703125" hidden="1" customWidth="1"/>
    <col min="7" max="7" width="8.85546875" customWidth="1"/>
    <col min="8" max="9" width="5.5703125" hidden="1" customWidth="1"/>
    <col min="10" max="10" width="1" hidden="1" customWidth="1"/>
    <col min="12" max="12" width="17.28515625" customWidth="1"/>
    <col min="13" max="13" width="18.28515625" bestFit="1" customWidth="1"/>
    <col min="14" max="27" width="0" hidden="1" customWidth="1"/>
  </cols>
  <sheetData>
    <row r="1" spans="2:29" x14ac:dyDescent="0.25">
      <c r="B1" s="23"/>
      <c r="C1" s="47">
        <v>2017</v>
      </c>
      <c r="D1" s="47">
        <v>2018</v>
      </c>
      <c r="E1" s="47">
        <v>2019</v>
      </c>
      <c r="F1" s="47">
        <v>2020</v>
      </c>
      <c r="G1" s="47">
        <v>2021</v>
      </c>
      <c r="H1" s="47">
        <v>2022</v>
      </c>
      <c r="I1" s="47">
        <v>2023</v>
      </c>
      <c r="J1" s="47">
        <v>2024</v>
      </c>
      <c r="K1" s="47">
        <v>2025</v>
      </c>
      <c r="L1" t="s">
        <v>80</v>
      </c>
      <c r="M1" t="s">
        <v>81</v>
      </c>
    </row>
    <row r="2" spans="2:29" ht="15.75" hidden="1" thickBot="1" x14ac:dyDescent="0.3">
      <c r="B2" s="44" t="s">
        <v>56</v>
      </c>
      <c r="C2" s="39"/>
      <c r="D2" s="39"/>
      <c r="E2" s="39"/>
      <c r="F2" s="39"/>
      <c r="G2" s="39"/>
      <c r="H2" s="39"/>
      <c r="I2" s="39"/>
      <c r="J2" s="39"/>
      <c r="K2" s="39"/>
    </row>
    <row r="3" spans="2:29" hidden="1" x14ac:dyDescent="0.25">
      <c r="B3" s="40"/>
    </row>
    <row r="4" spans="2:29" hidden="1" x14ac:dyDescent="0.25">
      <c r="B4" s="46" t="s">
        <v>57</v>
      </c>
      <c r="C4" s="52">
        <v>25.4</v>
      </c>
      <c r="D4" s="52">
        <v>32.85</v>
      </c>
      <c r="E4" s="52">
        <v>41.6</v>
      </c>
      <c r="F4" s="52">
        <v>36.9</v>
      </c>
      <c r="G4" s="52">
        <v>46.5</v>
      </c>
      <c r="H4" s="52">
        <v>55.427999999999997</v>
      </c>
      <c r="I4" s="52">
        <v>67.250792399999995</v>
      </c>
      <c r="J4" s="52">
        <v>83.417882892959994</v>
      </c>
      <c r="K4" s="52">
        <v>105.47357112985861</v>
      </c>
    </row>
    <row r="5" spans="2:29" ht="15.75" hidden="1" thickBot="1" x14ac:dyDescent="0.3">
      <c r="B5" s="44"/>
      <c r="C5" s="53">
        <f t="shared" ref="C5:D5" si="0">C4*15%</f>
        <v>3.8099999999999996</v>
      </c>
      <c r="D5" s="53">
        <f t="shared" si="0"/>
        <v>4.9275000000000002</v>
      </c>
      <c r="E5" s="53">
        <f>E4*15%</f>
        <v>6.24</v>
      </c>
      <c r="F5" s="53">
        <f>F4* 12%</f>
        <v>4.4279999999999999</v>
      </c>
      <c r="G5" s="53">
        <f t="shared" ref="G5:K5" si="1">G4* 12%</f>
        <v>5.58</v>
      </c>
      <c r="H5" s="53">
        <f t="shared" si="1"/>
        <v>6.6513599999999995</v>
      </c>
      <c r="I5" s="53">
        <f t="shared" si="1"/>
        <v>8.0700950879999986</v>
      </c>
      <c r="J5" s="53">
        <f t="shared" si="1"/>
        <v>10.010145947155198</v>
      </c>
      <c r="K5" s="53">
        <f t="shared" si="1"/>
        <v>12.656828535583033</v>
      </c>
    </row>
    <row r="6" spans="2:29" x14ac:dyDescent="0.25">
      <c r="B6" s="40"/>
      <c r="C6" s="56"/>
      <c r="D6" s="56"/>
      <c r="E6" s="56"/>
      <c r="F6" s="56"/>
      <c r="G6" s="56"/>
      <c r="H6" s="56"/>
      <c r="I6" s="56"/>
      <c r="J6" s="56"/>
      <c r="K6" s="56"/>
    </row>
    <row r="7" spans="2:29" hidden="1" x14ac:dyDescent="0.25">
      <c r="B7" s="46" t="s">
        <v>57</v>
      </c>
      <c r="C7" s="52">
        <v>75.83</v>
      </c>
      <c r="D7" s="52">
        <v>86</v>
      </c>
      <c r="E7" s="52">
        <v>94.3</v>
      </c>
      <c r="F7" s="52">
        <v>103.95</v>
      </c>
      <c r="G7" s="52">
        <v>110</v>
      </c>
      <c r="H7" s="57">
        <v>120</v>
      </c>
      <c r="I7" s="52">
        <v>67.250792399999995</v>
      </c>
      <c r="J7" s="52">
        <v>83.417882892959994</v>
      </c>
      <c r="K7" s="52">
        <v>210</v>
      </c>
      <c r="L7" s="6">
        <f>(G7/C7)^(1/4)-1</f>
        <v>9.7457996518515611E-2</v>
      </c>
      <c r="M7" s="6">
        <f>(K7/H7)^(1/3)-1</f>
        <v>0.20507113208761507</v>
      </c>
    </row>
    <row r="8" spans="2:29" ht="15.75" thickBot="1" x14ac:dyDescent="0.3">
      <c r="B8" s="68" t="s">
        <v>56</v>
      </c>
      <c r="C8" s="69">
        <v>8.1999999999999993</v>
      </c>
      <c r="D8" s="69">
        <f>D7*11%</f>
        <v>9.4600000000000009</v>
      </c>
      <c r="E8" s="69">
        <f>E7*12%</f>
        <v>11.315999999999999</v>
      </c>
      <c r="F8" s="69">
        <f>F7* 13%</f>
        <v>13.513500000000001</v>
      </c>
      <c r="G8" s="69">
        <v>10.8</v>
      </c>
      <c r="H8" s="69">
        <f>H7* 16%</f>
        <v>19.2</v>
      </c>
      <c r="I8" s="69">
        <f t="shared" ref="I8:J8" si="2">I7* 12%</f>
        <v>8.0700950879999986</v>
      </c>
      <c r="J8" s="69">
        <f t="shared" si="2"/>
        <v>10.010145947155198</v>
      </c>
      <c r="K8" s="69">
        <v>14.43</v>
      </c>
      <c r="L8" s="6">
        <f>(G8/C8)^(1/4)-1</f>
        <v>7.1278714207469562E-2</v>
      </c>
      <c r="M8" s="6">
        <f>(K8/G8)^(1/4)-1</f>
        <v>7.5129166950021364E-2</v>
      </c>
      <c r="AC8" t="s">
        <v>150</v>
      </c>
    </row>
    <row r="9" spans="2:29" ht="15.75" thickBot="1" x14ac:dyDescent="0.3">
      <c r="B9" s="70"/>
      <c r="C9" s="71"/>
      <c r="D9" s="72"/>
      <c r="E9" s="70"/>
      <c r="F9" s="70"/>
      <c r="G9" s="70"/>
      <c r="H9" s="70"/>
      <c r="I9" s="70"/>
      <c r="J9" s="70"/>
      <c r="K9" s="70"/>
      <c r="AC9" t="s">
        <v>151</v>
      </c>
    </row>
    <row r="10" spans="2:29" x14ac:dyDescent="0.25">
      <c r="B10" s="90" t="s">
        <v>87</v>
      </c>
      <c r="C10" s="91"/>
      <c r="D10" s="91"/>
      <c r="E10" s="91"/>
      <c r="F10" s="91"/>
      <c r="G10" s="91"/>
      <c r="H10" s="91"/>
      <c r="I10" s="91"/>
      <c r="J10" s="91"/>
      <c r="K10" s="91"/>
      <c r="M10">
        <f>2.7*1000000</f>
        <v>2700000</v>
      </c>
      <c r="Q10" t="s">
        <v>52</v>
      </c>
      <c r="AC10" t="s">
        <v>152</v>
      </c>
    </row>
    <row r="11" spans="2:29" x14ac:dyDescent="0.25">
      <c r="B11" s="73" t="s">
        <v>89</v>
      </c>
      <c r="C11" s="74">
        <v>0.22</v>
      </c>
      <c r="D11" s="75"/>
      <c r="E11" s="75"/>
      <c r="F11" s="75"/>
      <c r="G11" s="76">
        <v>0.21</v>
      </c>
      <c r="H11" s="75"/>
      <c r="I11" s="75"/>
      <c r="J11" s="75"/>
      <c r="K11" s="74">
        <v>0.23</v>
      </c>
      <c r="M11" s="6">
        <f>(N14/M10)*100</f>
        <v>0.15925925925925924</v>
      </c>
      <c r="Q11" t="s">
        <v>41</v>
      </c>
      <c r="AC11" t="s">
        <v>153</v>
      </c>
    </row>
    <row r="12" spans="2:29" x14ac:dyDescent="0.25">
      <c r="B12" s="73" t="s">
        <v>90</v>
      </c>
      <c r="C12" s="74">
        <v>0.32</v>
      </c>
      <c r="D12" s="75"/>
      <c r="E12" s="75"/>
      <c r="F12" s="75"/>
      <c r="G12" s="76">
        <v>0.32</v>
      </c>
      <c r="H12" s="75"/>
      <c r="I12" s="75"/>
      <c r="J12" s="75"/>
      <c r="K12" s="74">
        <v>0.31</v>
      </c>
      <c r="AB12" t="s">
        <v>156</v>
      </c>
      <c r="AC12" t="s">
        <v>154</v>
      </c>
    </row>
    <row r="13" spans="2:29" x14ac:dyDescent="0.25">
      <c r="B13" s="73" t="s">
        <v>91</v>
      </c>
      <c r="C13" s="74">
        <v>7.0000000000000007E-2</v>
      </c>
      <c r="D13" s="75"/>
      <c r="E13" s="75"/>
      <c r="F13" s="75"/>
      <c r="G13" s="76">
        <v>7.0000000000000007E-2</v>
      </c>
      <c r="H13" s="75"/>
      <c r="I13" s="75"/>
      <c r="J13" s="75"/>
      <c r="K13" s="74">
        <v>0.06</v>
      </c>
      <c r="Q13" s="1">
        <v>0.44</v>
      </c>
      <c r="AC13" t="s">
        <v>155</v>
      </c>
    </row>
    <row r="14" spans="2:29" x14ac:dyDescent="0.25">
      <c r="B14" s="73" t="s">
        <v>92</v>
      </c>
      <c r="C14" s="74">
        <v>0.39</v>
      </c>
      <c r="D14" s="75"/>
      <c r="E14" s="75"/>
      <c r="F14" s="75"/>
      <c r="G14" s="76">
        <v>0.4</v>
      </c>
      <c r="H14" s="75"/>
      <c r="I14" s="75"/>
      <c r="J14" s="75"/>
      <c r="K14" s="74">
        <v>0.4</v>
      </c>
      <c r="N14">
        <f>4.3*1000</f>
        <v>4300</v>
      </c>
      <c r="Q14" s="1"/>
    </row>
    <row r="15" spans="2:29" x14ac:dyDescent="0.25">
      <c r="B15" s="77" t="s">
        <v>8</v>
      </c>
      <c r="C15" s="74">
        <f>1-SUM(C11:C14)</f>
        <v>0</v>
      </c>
      <c r="D15" s="75"/>
      <c r="E15" s="75"/>
      <c r="F15" s="75"/>
      <c r="G15" s="76">
        <f>1-SUM(G11:G14)</f>
        <v>0</v>
      </c>
      <c r="H15" s="75"/>
      <c r="I15" s="75"/>
      <c r="J15" s="75"/>
      <c r="K15" s="74">
        <f>1-SUM(K11:K14)</f>
        <v>0</v>
      </c>
      <c r="R15">
        <v>3.2</v>
      </c>
      <c r="S15">
        <v>4</v>
      </c>
      <c r="T15">
        <v>1.05</v>
      </c>
      <c r="U15">
        <v>4.5999999999999996</v>
      </c>
    </row>
    <row r="16" spans="2:29" ht="15.75" thickBot="1" x14ac:dyDescent="0.3">
      <c r="B16" s="68" t="s">
        <v>42</v>
      </c>
      <c r="C16" s="78">
        <f t="shared" ref="C16:K16" si="3">SUM(C11:C15)</f>
        <v>1</v>
      </c>
      <c r="D16" s="78">
        <f t="shared" si="3"/>
        <v>0</v>
      </c>
      <c r="E16" s="78">
        <f t="shared" si="3"/>
        <v>0</v>
      </c>
      <c r="F16" s="78">
        <f t="shared" si="3"/>
        <v>0</v>
      </c>
      <c r="G16" s="78">
        <f t="shared" si="3"/>
        <v>1</v>
      </c>
      <c r="H16" s="78">
        <f t="shared" si="3"/>
        <v>0</v>
      </c>
      <c r="I16" s="78">
        <f t="shared" si="3"/>
        <v>0</v>
      </c>
      <c r="J16" s="78">
        <f t="shared" si="3"/>
        <v>0</v>
      </c>
      <c r="K16" s="78">
        <f t="shared" si="3"/>
        <v>1</v>
      </c>
      <c r="R16">
        <f>SUM(R15:U15)</f>
        <v>12.85</v>
      </c>
    </row>
    <row r="17" spans="2:23" ht="15.75" thickBot="1" x14ac:dyDescent="0.3">
      <c r="B17" s="79"/>
      <c r="C17" s="70"/>
      <c r="D17" s="70"/>
      <c r="E17" s="70"/>
      <c r="F17" s="70"/>
      <c r="G17" s="70"/>
      <c r="H17" s="70"/>
      <c r="I17" s="70"/>
      <c r="J17" s="70"/>
      <c r="K17" s="70"/>
      <c r="M17" t="s">
        <v>140</v>
      </c>
      <c r="N17" s="5">
        <f>O17/$O$21</f>
        <v>0.21949536969291555</v>
      </c>
      <c r="O17" s="7">
        <v>2.1</v>
      </c>
      <c r="R17" s="3">
        <f>R15/$R$16</f>
        <v>0.24902723735408563</v>
      </c>
      <c r="S17" s="3">
        <f>S15/$R$16</f>
        <v>0.31128404669260701</v>
      </c>
      <c r="T17" s="3">
        <f>T15/$R$16</f>
        <v>8.171206225680934E-2</v>
      </c>
      <c r="U17" s="3">
        <f>U15/$R$16</f>
        <v>0.35797665369649806</v>
      </c>
    </row>
    <row r="18" spans="2:23" x14ac:dyDescent="0.25">
      <c r="B18" s="90" t="s">
        <v>108</v>
      </c>
      <c r="C18" s="91"/>
      <c r="D18" s="91"/>
      <c r="E18" s="91"/>
      <c r="F18" s="91"/>
      <c r="G18" s="91"/>
      <c r="H18" s="91"/>
      <c r="I18" s="91"/>
      <c r="J18" s="91"/>
      <c r="K18" s="91"/>
      <c r="M18" t="s">
        <v>141</v>
      </c>
      <c r="N18" s="5">
        <f t="shared" ref="N18:N20" si="4">O18/$O$21</f>
        <v>0.32401697430858961</v>
      </c>
      <c r="O18" s="7">
        <v>3.1</v>
      </c>
    </row>
    <row r="19" spans="2:23" x14ac:dyDescent="0.25">
      <c r="B19" s="73" t="str">
        <f>B11</f>
        <v xml:space="preserve">Satellite Manufacturing </v>
      </c>
      <c r="C19" s="80">
        <f t="shared" ref="C19:K19" si="5">C11*C$8</f>
        <v>1.8039999999999998</v>
      </c>
      <c r="D19" s="80">
        <f t="shared" si="5"/>
        <v>0</v>
      </c>
      <c r="E19" s="80">
        <f t="shared" si="5"/>
        <v>0</v>
      </c>
      <c r="F19" s="80">
        <f t="shared" si="5"/>
        <v>0</v>
      </c>
      <c r="G19" s="80">
        <f t="shared" si="5"/>
        <v>2.2680000000000002</v>
      </c>
      <c r="H19" s="80">
        <f t="shared" si="5"/>
        <v>0</v>
      </c>
      <c r="I19" s="80">
        <f t="shared" si="5"/>
        <v>0</v>
      </c>
      <c r="J19" s="80">
        <f t="shared" si="5"/>
        <v>0</v>
      </c>
      <c r="K19" s="80">
        <f t="shared" si="5"/>
        <v>3.3189000000000002</v>
      </c>
      <c r="L19" s="6">
        <f>(G19/C19)^(1/4)-1</f>
        <v>5.889190749567752E-2</v>
      </c>
      <c r="M19" s="6">
        <f>(K19/G19)^(1/4)-1</f>
        <v>9.986094064262474E-2</v>
      </c>
      <c r="N19" s="5">
        <f t="shared" si="4"/>
        <v>5.9305558458933469E-2</v>
      </c>
      <c r="O19" s="7">
        <v>0.56740000000000002</v>
      </c>
      <c r="R19">
        <v>161</v>
      </c>
      <c r="S19" s="5">
        <f>R19/$R$26</f>
        <v>4.1430777148739065E-2</v>
      </c>
      <c r="T19" t="s">
        <v>8</v>
      </c>
    </row>
    <row r="20" spans="2:23" x14ac:dyDescent="0.25">
      <c r="B20" s="73" t="str">
        <f>B12</f>
        <v>Ground Segment</v>
      </c>
      <c r="C20" s="80">
        <f t="shared" ref="C20:K20" si="6">C12*C$8</f>
        <v>2.6239999999999997</v>
      </c>
      <c r="D20" s="80">
        <f t="shared" si="6"/>
        <v>0</v>
      </c>
      <c r="E20" s="80">
        <f t="shared" si="6"/>
        <v>0</v>
      </c>
      <c r="F20" s="80">
        <f t="shared" si="6"/>
        <v>0</v>
      </c>
      <c r="G20" s="80">
        <f t="shared" si="6"/>
        <v>3.4560000000000004</v>
      </c>
      <c r="H20" s="80">
        <f t="shared" si="6"/>
        <v>0</v>
      </c>
      <c r="I20" s="80">
        <f t="shared" si="6"/>
        <v>0</v>
      </c>
      <c r="J20" s="80">
        <f t="shared" si="6"/>
        <v>0</v>
      </c>
      <c r="K20" s="80">
        <f t="shared" si="6"/>
        <v>4.4733000000000001</v>
      </c>
      <c r="L20" s="6">
        <f t="shared" ref="L20:L23" si="7">(G20/C20)^(1/4)-1</f>
        <v>7.1278714207469562E-2</v>
      </c>
      <c r="M20" s="6">
        <f t="shared" ref="M20:M22" si="8">(K20/G20)^(1/4)-1</f>
        <v>6.6629455526609371E-2</v>
      </c>
      <c r="N20" s="5">
        <f t="shared" si="4"/>
        <v>0.39718209753956146</v>
      </c>
      <c r="O20" s="7">
        <v>3.8</v>
      </c>
      <c r="R20">
        <v>789</v>
      </c>
      <c r="S20" s="5">
        <f t="shared" ref="S20:S25" si="9">R20/$R$26</f>
        <v>0.20303654143077715</v>
      </c>
      <c r="T20" t="s">
        <v>14</v>
      </c>
    </row>
    <row r="21" spans="2:23" x14ac:dyDescent="0.25">
      <c r="B21" s="73" t="str">
        <f>B13</f>
        <v>Launch Services</v>
      </c>
      <c r="C21" s="80">
        <f t="shared" ref="C21:K21" si="10">C13*C$8</f>
        <v>0.57399999999999995</v>
      </c>
      <c r="D21" s="80">
        <f t="shared" si="10"/>
        <v>0</v>
      </c>
      <c r="E21" s="80">
        <f t="shared" si="10"/>
        <v>0</v>
      </c>
      <c r="F21" s="80">
        <f t="shared" si="10"/>
        <v>0</v>
      </c>
      <c r="G21" s="80">
        <f t="shared" si="10"/>
        <v>0.75600000000000012</v>
      </c>
      <c r="H21" s="80">
        <f t="shared" si="10"/>
        <v>0</v>
      </c>
      <c r="I21" s="80">
        <f t="shared" si="10"/>
        <v>0</v>
      </c>
      <c r="J21" s="80">
        <f t="shared" si="10"/>
        <v>0</v>
      </c>
      <c r="K21" s="80">
        <f t="shared" si="10"/>
        <v>0.8657999999999999</v>
      </c>
      <c r="L21" s="6">
        <f t="shared" si="7"/>
        <v>7.1278714207469562E-2</v>
      </c>
      <c r="M21" s="6">
        <f t="shared" si="8"/>
        <v>3.4484401413103161E-2</v>
      </c>
      <c r="O21" s="7">
        <f>SUM(O17:O20)</f>
        <v>9.5673999999999992</v>
      </c>
      <c r="P21">
        <v>12.85</v>
      </c>
      <c r="R21" s="67">
        <v>204</v>
      </c>
      <c r="S21" s="5">
        <f t="shared" si="9"/>
        <v>5.249613998970664E-2</v>
      </c>
      <c r="T21" t="s">
        <v>146</v>
      </c>
    </row>
    <row r="22" spans="2:23" x14ac:dyDescent="0.25">
      <c r="B22" s="73" t="str">
        <f>B14</f>
        <v>Satellite Services</v>
      </c>
      <c r="C22" s="80">
        <f t="shared" ref="C22:K22" si="11">C14*C$8</f>
        <v>3.198</v>
      </c>
      <c r="D22" s="80">
        <f t="shared" si="11"/>
        <v>0</v>
      </c>
      <c r="E22" s="80">
        <f t="shared" si="11"/>
        <v>0</v>
      </c>
      <c r="F22" s="80">
        <f t="shared" si="11"/>
        <v>0</v>
      </c>
      <c r="G22" s="80">
        <f t="shared" si="11"/>
        <v>4.32</v>
      </c>
      <c r="H22" s="80">
        <f t="shared" si="11"/>
        <v>0</v>
      </c>
      <c r="I22" s="80">
        <f t="shared" si="11"/>
        <v>0</v>
      </c>
      <c r="J22" s="80">
        <f t="shared" si="11"/>
        <v>0</v>
      </c>
      <c r="K22" s="80">
        <f t="shared" si="11"/>
        <v>5.7720000000000002</v>
      </c>
      <c r="L22" s="6">
        <f t="shared" si="7"/>
        <v>7.8080825513138219E-2</v>
      </c>
      <c r="M22" s="6">
        <f t="shared" si="8"/>
        <v>7.5129166950021364E-2</v>
      </c>
      <c r="R22">
        <v>762</v>
      </c>
      <c r="S22" s="5">
        <f t="shared" si="9"/>
        <v>0.19608852290272774</v>
      </c>
      <c r="T22" t="s">
        <v>145</v>
      </c>
    </row>
    <row r="23" spans="2:23" x14ac:dyDescent="0.25">
      <c r="B23" s="77" t="str">
        <f>B15</f>
        <v>Others</v>
      </c>
      <c r="C23" s="80">
        <f t="shared" ref="C23:K23" si="12">C15*C$8</f>
        <v>0</v>
      </c>
      <c r="D23" s="80">
        <f t="shared" si="12"/>
        <v>0</v>
      </c>
      <c r="E23" s="80">
        <f t="shared" si="12"/>
        <v>0</v>
      </c>
      <c r="F23" s="80">
        <f t="shared" si="12"/>
        <v>0</v>
      </c>
      <c r="G23" s="80">
        <f t="shared" si="12"/>
        <v>0</v>
      </c>
      <c r="H23" s="80">
        <f t="shared" si="12"/>
        <v>0</v>
      </c>
      <c r="I23" s="80">
        <f t="shared" si="12"/>
        <v>0</v>
      </c>
      <c r="J23" s="80">
        <f t="shared" si="12"/>
        <v>0</v>
      </c>
      <c r="K23" s="80">
        <f t="shared" si="12"/>
        <v>0</v>
      </c>
      <c r="L23" s="6" t="e">
        <f t="shared" si="7"/>
        <v>#DIV/0!</v>
      </c>
      <c r="R23">
        <v>146</v>
      </c>
      <c r="S23" s="5">
        <f t="shared" si="9"/>
        <v>3.7570766855378281E-2</v>
      </c>
      <c r="T23" t="s">
        <v>144</v>
      </c>
    </row>
    <row r="24" spans="2:23" ht="15.75" thickBot="1" x14ac:dyDescent="0.3">
      <c r="B24" s="68" t="s">
        <v>42</v>
      </c>
      <c r="C24" s="81">
        <f>SUM(C19:C23)</f>
        <v>8.1999999999999993</v>
      </c>
      <c r="D24" s="81">
        <f t="shared" ref="D24:K24" si="13">SUM(D19:D23)</f>
        <v>0</v>
      </c>
      <c r="E24" s="81">
        <f t="shared" si="13"/>
        <v>0</v>
      </c>
      <c r="F24" s="81">
        <f t="shared" si="13"/>
        <v>0</v>
      </c>
      <c r="G24" s="81">
        <f t="shared" si="13"/>
        <v>10.8</v>
      </c>
      <c r="H24" s="81">
        <f t="shared" si="13"/>
        <v>0</v>
      </c>
      <c r="I24" s="81">
        <f t="shared" si="13"/>
        <v>0</v>
      </c>
      <c r="J24" s="81">
        <f t="shared" si="13"/>
        <v>0</v>
      </c>
      <c r="K24" s="81">
        <f t="shared" si="13"/>
        <v>14.43</v>
      </c>
      <c r="O24" t="s">
        <v>139</v>
      </c>
      <c r="R24">
        <v>772</v>
      </c>
      <c r="S24" s="5">
        <f t="shared" si="9"/>
        <v>0.19866186309830158</v>
      </c>
      <c r="T24" t="s">
        <v>143</v>
      </c>
    </row>
    <row r="25" spans="2:23" x14ac:dyDescent="0.25">
      <c r="B25" s="70"/>
      <c r="C25" s="70"/>
      <c r="D25" s="70"/>
      <c r="E25" s="70"/>
      <c r="F25" s="70"/>
      <c r="G25" s="70"/>
      <c r="H25" s="70"/>
      <c r="I25" s="70"/>
      <c r="J25" s="70"/>
      <c r="K25" s="70"/>
      <c r="R25">
        <v>1052</v>
      </c>
      <c r="S25" s="5">
        <f t="shared" si="9"/>
        <v>0.27071538857436955</v>
      </c>
      <c r="T25" t="s">
        <v>142</v>
      </c>
    </row>
    <row r="26" spans="2:23" ht="15.75" thickBot="1" x14ac:dyDescent="0.3">
      <c r="B26" s="70"/>
      <c r="C26" s="70"/>
      <c r="D26" s="70"/>
      <c r="E26" s="70"/>
      <c r="F26" s="70"/>
      <c r="G26" s="70"/>
      <c r="H26" s="70"/>
      <c r="I26" s="70"/>
      <c r="J26" s="70"/>
      <c r="K26" s="70"/>
      <c r="R26">
        <f>SUM(R19:R25)</f>
        <v>3886</v>
      </c>
    </row>
    <row r="27" spans="2:23" x14ac:dyDescent="0.25">
      <c r="B27" s="82"/>
      <c r="C27" s="91" t="s">
        <v>147</v>
      </c>
      <c r="D27" s="91"/>
      <c r="E27" s="91"/>
      <c r="F27" s="91"/>
      <c r="G27" s="91"/>
      <c r="H27" s="91"/>
      <c r="I27" s="91"/>
      <c r="J27" s="91"/>
      <c r="K27" s="91"/>
      <c r="O27" t="s">
        <v>109</v>
      </c>
      <c r="P27" t="s">
        <v>110</v>
      </c>
    </row>
    <row r="28" spans="2:23" ht="15.75" x14ac:dyDescent="0.25">
      <c r="B28" s="73" t="s">
        <v>142</v>
      </c>
      <c r="C28" s="74">
        <v>0.2432</v>
      </c>
      <c r="D28" s="75"/>
      <c r="E28" s="75"/>
      <c r="F28" s="75"/>
      <c r="G28" s="83">
        <v>0.2467</v>
      </c>
      <c r="H28" s="75"/>
      <c r="I28" s="75"/>
      <c r="J28" s="75"/>
      <c r="K28" s="83">
        <v>0.25009999999999999</v>
      </c>
      <c r="L28" t="s">
        <v>138</v>
      </c>
      <c r="O28" t="s">
        <v>90</v>
      </c>
      <c r="P28" s="66"/>
    </row>
    <row r="29" spans="2:23" x14ac:dyDescent="0.25">
      <c r="B29" s="73" t="s">
        <v>14</v>
      </c>
      <c r="C29" s="74">
        <v>0.18229999999999999</v>
      </c>
      <c r="D29" s="75"/>
      <c r="E29" s="75"/>
      <c r="F29" s="75"/>
      <c r="G29" s="83">
        <v>0.1867</v>
      </c>
      <c r="H29" s="75"/>
      <c r="I29" s="75"/>
      <c r="J29" s="75"/>
      <c r="K29" s="83">
        <v>0.18870000000000001</v>
      </c>
      <c r="O29" t="s">
        <v>133</v>
      </c>
      <c r="P29" t="s">
        <v>134</v>
      </c>
      <c r="T29" t="s">
        <v>135</v>
      </c>
      <c r="V29" t="s">
        <v>136</v>
      </c>
      <c r="W29" t="s">
        <v>137</v>
      </c>
    </row>
    <row r="30" spans="2:23" x14ac:dyDescent="0.25">
      <c r="B30" s="73" t="s">
        <v>143</v>
      </c>
      <c r="C30" s="74">
        <v>0.1943</v>
      </c>
      <c r="D30" s="75"/>
      <c r="E30" s="75"/>
      <c r="F30" s="75"/>
      <c r="G30" s="83">
        <v>0.1958</v>
      </c>
      <c r="H30" s="75"/>
      <c r="I30" s="75"/>
      <c r="J30" s="75"/>
      <c r="K30" s="83">
        <v>0.1996</v>
      </c>
      <c r="O30" t="s">
        <v>112</v>
      </c>
      <c r="P30" t="s">
        <v>111</v>
      </c>
    </row>
    <row r="31" spans="2:23" x14ac:dyDescent="0.25">
      <c r="B31" s="77" t="s">
        <v>145</v>
      </c>
      <c r="C31" s="83">
        <v>0.1802</v>
      </c>
      <c r="D31" s="83">
        <f t="shared" ref="D31:F31" si="14">1-SUM(D28:D30)</f>
        <v>1</v>
      </c>
      <c r="E31" s="83">
        <f t="shared" si="14"/>
        <v>1</v>
      </c>
      <c r="F31" s="83">
        <f t="shared" si="14"/>
        <v>1</v>
      </c>
      <c r="G31" s="83">
        <v>0.185</v>
      </c>
      <c r="H31" s="83">
        <f t="shared" ref="H31:J31" si="15">1-SUM(H28:H30)</f>
        <v>1</v>
      </c>
      <c r="I31" s="83">
        <f t="shared" si="15"/>
        <v>1</v>
      </c>
      <c r="J31" s="83">
        <f t="shared" si="15"/>
        <v>1</v>
      </c>
      <c r="K31" s="83">
        <v>0.18870000000000001</v>
      </c>
    </row>
    <row r="32" spans="2:23" x14ac:dyDescent="0.25">
      <c r="B32" s="84" t="s">
        <v>146</v>
      </c>
      <c r="C32" s="85">
        <v>4.4400000000000002E-2</v>
      </c>
      <c r="D32" s="85"/>
      <c r="E32" s="85"/>
      <c r="F32" s="85"/>
      <c r="G32" s="85">
        <v>4.7600000000000003E-2</v>
      </c>
      <c r="H32" s="85"/>
      <c r="I32" s="85"/>
      <c r="J32" s="85"/>
      <c r="K32" s="85">
        <v>4.9299999999999997E-2</v>
      </c>
      <c r="P32" t="s">
        <v>114</v>
      </c>
    </row>
    <row r="33" spans="2:18" x14ac:dyDescent="0.25">
      <c r="B33" s="84" t="s">
        <v>144</v>
      </c>
      <c r="C33" s="85">
        <v>4.7899999999999998E-2</v>
      </c>
      <c r="D33" s="85"/>
      <c r="E33" s="85"/>
      <c r="F33" s="85"/>
      <c r="G33" s="85">
        <v>5.0200000000000002E-2</v>
      </c>
      <c r="H33" s="85"/>
      <c r="I33" s="85"/>
      <c r="J33" s="85"/>
      <c r="K33" s="85">
        <v>5.1400000000000001E-2</v>
      </c>
      <c r="O33" s="9" t="s">
        <v>113</v>
      </c>
    </row>
    <row r="34" spans="2:18" x14ac:dyDescent="0.25">
      <c r="B34" s="84" t="s">
        <v>8</v>
      </c>
      <c r="C34" s="85">
        <f>1-SUM(C28:C33)</f>
        <v>0.10769999999999991</v>
      </c>
      <c r="D34" s="85">
        <f t="shared" ref="D34:K34" si="16">1-SUM(D28:D33)</f>
        <v>0</v>
      </c>
      <c r="E34" s="85">
        <f t="shared" si="16"/>
        <v>0</v>
      </c>
      <c r="F34" s="85">
        <f t="shared" si="16"/>
        <v>0</v>
      </c>
      <c r="G34" s="85">
        <f t="shared" si="16"/>
        <v>8.7999999999999967E-2</v>
      </c>
      <c r="H34" s="85">
        <f t="shared" si="16"/>
        <v>0</v>
      </c>
      <c r="I34" s="85">
        <f t="shared" si="16"/>
        <v>0</v>
      </c>
      <c r="J34" s="85">
        <f t="shared" si="16"/>
        <v>0</v>
      </c>
      <c r="K34" s="85">
        <f t="shared" si="16"/>
        <v>7.2200000000000042E-2</v>
      </c>
    </row>
    <row r="35" spans="2:18" ht="15.75" thickBot="1" x14ac:dyDescent="0.3">
      <c r="B35" s="68" t="s">
        <v>42</v>
      </c>
      <c r="C35" s="78">
        <f>SUM(C28:C34)</f>
        <v>1</v>
      </c>
      <c r="D35" s="78">
        <f t="shared" ref="D35:K35" si="17">SUM(D28:D34)</f>
        <v>1</v>
      </c>
      <c r="E35" s="78">
        <f t="shared" si="17"/>
        <v>1</v>
      </c>
      <c r="F35" s="78">
        <f t="shared" si="17"/>
        <v>1</v>
      </c>
      <c r="G35" s="78">
        <f t="shared" si="17"/>
        <v>1</v>
      </c>
      <c r="H35" s="78">
        <f t="shared" si="17"/>
        <v>1</v>
      </c>
      <c r="I35" s="78">
        <f t="shared" si="17"/>
        <v>1</v>
      </c>
      <c r="J35" s="78">
        <f t="shared" si="17"/>
        <v>1</v>
      </c>
      <c r="K35" s="78">
        <f t="shared" si="17"/>
        <v>1</v>
      </c>
    </row>
    <row r="36" spans="2:18" ht="15.75" thickBot="1" x14ac:dyDescent="0.3">
      <c r="B36" s="70"/>
      <c r="C36" s="70"/>
      <c r="D36" s="70"/>
      <c r="E36" s="70"/>
      <c r="F36" s="70"/>
      <c r="G36" s="70"/>
      <c r="H36" s="70"/>
      <c r="I36" s="70"/>
      <c r="J36" s="70"/>
      <c r="K36" s="70"/>
      <c r="R36" s="7">
        <f>3.2+4+4.6+1.046</f>
        <v>12.846</v>
      </c>
    </row>
    <row r="37" spans="2:18" x14ac:dyDescent="0.25">
      <c r="B37" s="82"/>
      <c r="C37" s="91" t="s">
        <v>94</v>
      </c>
      <c r="D37" s="91"/>
      <c r="E37" s="91"/>
      <c r="F37" s="91"/>
      <c r="G37" s="91"/>
      <c r="H37" s="91"/>
      <c r="I37" s="91"/>
      <c r="J37" s="91"/>
      <c r="K37" s="91"/>
      <c r="O37" t="s">
        <v>115</v>
      </c>
    </row>
    <row r="38" spans="2:18" x14ac:dyDescent="0.25">
      <c r="B38" s="73" t="s">
        <v>149</v>
      </c>
      <c r="C38" s="86">
        <f>C28*C$22</f>
        <v>0.77775359999999993</v>
      </c>
      <c r="D38" s="86">
        <f t="shared" ref="D38:K38" si="18">D28*D$22</f>
        <v>0</v>
      </c>
      <c r="E38" s="86">
        <f t="shared" si="18"/>
        <v>0</v>
      </c>
      <c r="F38" s="86">
        <f t="shared" si="18"/>
        <v>0</v>
      </c>
      <c r="G38" s="86">
        <f t="shared" si="18"/>
        <v>1.065744</v>
      </c>
      <c r="H38" s="86">
        <f t="shared" si="18"/>
        <v>0</v>
      </c>
      <c r="I38" s="86">
        <f t="shared" si="18"/>
        <v>0</v>
      </c>
      <c r="J38" s="86">
        <f t="shared" si="18"/>
        <v>0</v>
      </c>
      <c r="K38" s="86">
        <f t="shared" si="18"/>
        <v>1.4435772</v>
      </c>
      <c r="L38" s="6">
        <f>(G38/C38)^(1/4)-1</f>
        <v>8.1938852387100303E-2</v>
      </c>
      <c r="M38" s="6">
        <f>(K38/G38)^(1/4)-1</f>
        <v>7.8814511001363607E-2</v>
      </c>
      <c r="O38" t="s">
        <v>116</v>
      </c>
    </row>
    <row r="39" spans="2:18" x14ac:dyDescent="0.25">
      <c r="B39" s="73" t="s">
        <v>148</v>
      </c>
      <c r="C39" s="86">
        <f t="shared" ref="C39:K39" si="19">C29*C$22</f>
        <v>0.58299539999999994</v>
      </c>
      <c r="D39" s="86">
        <f t="shared" si="19"/>
        <v>0</v>
      </c>
      <c r="E39" s="86">
        <f t="shared" si="19"/>
        <v>0</v>
      </c>
      <c r="F39" s="86">
        <f t="shared" si="19"/>
        <v>0</v>
      </c>
      <c r="G39" s="86">
        <f t="shared" si="19"/>
        <v>0.80654400000000004</v>
      </c>
      <c r="H39" s="86">
        <f t="shared" si="19"/>
        <v>0</v>
      </c>
      <c r="I39" s="86">
        <f t="shared" si="19"/>
        <v>0</v>
      </c>
      <c r="J39" s="86">
        <f t="shared" si="19"/>
        <v>0</v>
      </c>
      <c r="K39" s="86">
        <f t="shared" si="19"/>
        <v>1.0891764000000002</v>
      </c>
      <c r="L39" s="6">
        <f t="shared" ref="L39:L44" si="20">(G39/C39)^(1/4)-1</f>
        <v>8.4527913103124908E-2</v>
      </c>
      <c r="M39" s="6">
        <f t="shared" ref="M39:M44" si="21">(K39/G39)^(1/4)-1</f>
        <v>7.7996968273502665E-2</v>
      </c>
      <c r="O39" t="s">
        <v>117</v>
      </c>
    </row>
    <row r="40" spans="2:18" x14ac:dyDescent="0.25">
      <c r="B40" s="73" t="s">
        <v>143</v>
      </c>
      <c r="C40" s="86">
        <f t="shared" ref="C40:K40" si="22">C30*C$22</f>
        <v>0.62137140000000002</v>
      </c>
      <c r="D40" s="86">
        <f t="shared" si="22"/>
        <v>0</v>
      </c>
      <c r="E40" s="86">
        <f t="shared" si="22"/>
        <v>0</v>
      </c>
      <c r="F40" s="86">
        <f t="shared" si="22"/>
        <v>0</v>
      </c>
      <c r="G40" s="86">
        <f t="shared" si="22"/>
        <v>0.84585600000000005</v>
      </c>
      <c r="H40" s="86">
        <f t="shared" si="22"/>
        <v>0</v>
      </c>
      <c r="I40" s="86">
        <f t="shared" si="22"/>
        <v>0</v>
      </c>
      <c r="J40" s="86">
        <f t="shared" si="22"/>
        <v>0</v>
      </c>
      <c r="K40" s="86">
        <f t="shared" si="22"/>
        <v>1.1520912000000001</v>
      </c>
      <c r="L40" s="6">
        <f t="shared" si="20"/>
        <v>8.0155530391306185E-2</v>
      </c>
      <c r="M40" s="6">
        <f t="shared" si="21"/>
        <v>8.030803505101658E-2</v>
      </c>
      <c r="O40" t="s">
        <v>118</v>
      </c>
    </row>
    <row r="41" spans="2:18" x14ac:dyDescent="0.25">
      <c r="B41" s="77" t="s">
        <v>145</v>
      </c>
      <c r="C41" s="86">
        <f t="shared" ref="C41:K41" si="23">C31*C$22</f>
        <v>0.5762796</v>
      </c>
      <c r="D41" s="86">
        <f t="shared" si="23"/>
        <v>0</v>
      </c>
      <c r="E41" s="86">
        <f t="shared" si="23"/>
        <v>0</v>
      </c>
      <c r="F41" s="86">
        <f t="shared" si="23"/>
        <v>0</v>
      </c>
      <c r="G41" s="86">
        <f t="shared" si="23"/>
        <v>0.79920000000000002</v>
      </c>
      <c r="H41" s="86">
        <f t="shared" si="23"/>
        <v>0</v>
      </c>
      <c r="I41" s="86">
        <f t="shared" si="23"/>
        <v>0</v>
      </c>
      <c r="J41" s="86">
        <f t="shared" si="23"/>
        <v>0</v>
      </c>
      <c r="K41" s="86">
        <f t="shared" si="23"/>
        <v>1.0891764000000002</v>
      </c>
      <c r="L41" s="6">
        <f t="shared" si="20"/>
        <v>8.5189435775321787E-2</v>
      </c>
      <c r="M41" s="6">
        <f t="shared" si="21"/>
        <v>8.0464959437949846E-2</v>
      </c>
      <c r="O41" t="s">
        <v>119</v>
      </c>
    </row>
    <row r="42" spans="2:18" x14ac:dyDescent="0.25">
      <c r="B42" s="84" t="s">
        <v>146</v>
      </c>
      <c r="C42" s="86">
        <f t="shared" ref="C42:K42" si="24">C32*C$22</f>
        <v>0.14199120000000001</v>
      </c>
      <c r="D42" s="86">
        <f t="shared" si="24"/>
        <v>0</v>
      </c>
      <c r="E42" s="86">
        <f t="shared" si="24"/>
        <v>0</v>
      </c>
      <c r="F42" s="86">
        <f t="shared" si="24"/>
        <v>0</v>
      </c>
      <c r="G42" s="86">
        <f t="shared" si="24"/>
        <v>0.20563200000000004</v>
      </c>
      <c r="H42" s="86">
        <f t="shared" si="24"/>
        <v>0</v>
      </c>
      <c r="I42" s="86">
        <f t="shared" si="24"/>
        <v>0</v>
      </c>
      <c r="J42" s="86">
        <f t="shared" si="24"/>
        <v>0</v>
      </c>
      <c r="K42" s="86">
        <f t="shared" si="24"/>
        <v>0.28455959999999997</v>
      </c>
      <c r="L42" s="6">
        <f t="shared" si="20"/>
        <v>9.7001742715077777E-2</v>
      </c>
      <c r="M42" s="6">
        <f t="shared" si="21"/>
        <v>8.4602585897612714E-2</v>
      </c>
      <c r="O42" t="s">
        <v>120</v>
      </c>
    </row>
    <row r="43" spans="2:18" x14ac:dyDescent="0.25">
      <c r="B43" s="84" t="s">
        <v>144</v>
      </c>
      <c r="C43" s="86">
        <f t="shared" ref="C43:K43" si="25">C33*C$22</f>
        <v>0.15318419999999999</v>
      </c>
      <c r="D43" s="86">
        <f t="shared" si="25"/>
        <v>0</v>
      </c>
      <c r="E43" s="86">
        <f t="shared" si="25"/>
        <v>0</v>
      </c>
      <c r="F43" s="86">
        <f t="shared" si="25"/>
        <v>0</v>
      </c>
      <c r="G43" s="86">
        <f t="shared" si="25"/>
        <v>0.21686400000000003</v>
      </c>
      <c r="H43" s="86">
        <f t="shared" si="25"/>
        <v>0</v>
      </c>
      <c r="I43" s="86">
        <f t="shared" si="25"/>
        <v>0</v>
      </c>
      <c r="J43" s="86">
        <f t="shared" si="25"/>
        <v>0</v>
      </c>
      <c r="K43" s="86">
        <f t="shared" si="25"/>
        <v>0.29668080000000002</v>
      </c>
      <c r="L43" s="6">
        <f t="shared" si="20"/>
        <v>9.0795588314103615E-2</v>
      </c>
      <c r="M43" s="6">
        <f t="shared" si="21"/>
        <v>8.1497436516865474E-2</v>
      </c>
      <c r="O43" t="s">
        <v>121</v>
      </c>
    </row>
    <row r="44" spans="2:18" x14ac:dyDescent="0.25">
      <c r="B44" s="84" t="s">
        <v>8</v>
      </c>
      <c r="C44" s="86">
        <f t="shared" ref="C44:K44" si="26">C34*C$22</f>
        <v>0.34442459999999969</v>
      </c>
      <c r="D44" s="86">
        <f t="shared" si="26"/>
        <v>0</v>
      </c>
      <c r="E44" s="86">
        <f t="shared" si="26"/>
        <v>0</v>
      </c>
      <c r="F44" s="86">
        <f t="shared" si="26"/>
        <v>0</v>
      </c>
      <c r="G44" s="86">
        <f t="shared" si="26"/>
        <v>0.38015999999999989</v>
      </c>
      <c r="H44" s="86">
        <f t="shared" si="26"/>
        <v>0</v>
      </c>
      <c r="I44" s="86">
        <f t="shared" si="26"/>
        <v>0</v>
      </c>
      <c r="J44" s="86">
        <f t="shared" si="26"/>
        <v>0</v>
      </c>
      <c r="K44" s="86">
        <f t="shared" si="26"/>
        <v>0.41673840000000029</v>
      </c>
      <c r="L44" s="6">
        <f t="shared" si="20"/>
        <v>2.4986308089848919E-2</v>
      </c>
      <c r="M44" s="6">
        <f t="shared" si="21"/>
        <v>2.323238094160196E-2</v>
      </c>
      <c r="O44" t="s">
        <v>122</v>
      </c>
    </row>
    <row r="45" spans="2:18" ht="15.75" thickBot="1" x14ac:dyDescent="0.3">
      <c r="B45" s="68" t="s">
        <v>42</v>
      </c>
      <c r="C45" s="81">
        <f>SUM(C38:C44)</f>
        <v>3.1979999999999995</v>
      </c>
      <c r="D45" s="81">
        <f t="shared" ref="D45:K45" si="27">SUM(D38:D44)</f>
        <v>0</v>
      </c>
      <c r="E45" s="81">
        <f t="shared" si="27"/>
        <v>0</v>
      </c>
      <c r="F45" s="81">
        <f t="shared" si="27"/>
        <v>0</v>
      </c>
      <c r="G45" s="81">
        <f t="shared" si="27"/>
        <v>4.32</v>
      </c>
      <c r="H45" s="81">
        <f t="shared" si="27"/>
        <v>0</v>
      </c>
      <c r="I45" s="81">
        <f t="shared" si="27"/>
        <v>0</v>
      </c>
      <c r="J45" s="81">
        <f t="shared" si="27"/>
        <v>0</v>
      </c>
      <c r="K45" s="81">
        <f t="shared" si="27"/>
        <v>5.7720000000000002</v>
      </c>
      <c r="O45" t="s">
        <v>123</v>
      </c>
    </row>
    <row r="46" spans="2:18" x14ac:dyDescent="0.25">
      <c r="O46" t="s">
        <v>124</v>
      </c>
    </row>
    <row r="47" spans="2:18" hidden="1" x14ac:dyDescent="0.25">
      <c r="B47" s="50"/>
      <c r="C47" s="88" t="s">
        <v>88</v>
      </c>
      <c r="D47" s="88"/>
      <c r="E47" s="88"/>
      <c r="F47" s="88"/>
      <c r="G47" s="88"/>
      <c r="H47" s="88"/>
      <c r="I47" s="88"/>
      <c r="J47" s="88"/>
      <c r="K47" s="88"/>
      <c r="O47" t="s">
        <v>125</v>
      </c>
    </row>
    <row r="48" spans="2:18" hidden="1" x14ac:dyDescent="0.25">
      <c r="B48" s="45" t="s">
        <v>59</v>
      </c>
      <c r="C48" s="60">
        <v>0.25</v>
      </c>
      <c r="D48" s="43"/>
      <c r="E48" s="43"/>
      <c r="F48" s="43"/>
      <c r="G48" s="60">
        <v>0.26</v>
      </c>
      <c r="H48" s="43"/>
      <c r="I48" s="43"/>
      <c r="J48" s="43"/>
      <c r="K48" s="60">
        <v>0.27</v>
      </c>
      <c r="O48" t="s">
        <v>126</v>
      </c>
    </row>
    <row r="49" spans="2:15" hidden="1" x14ac:dyDescent="0.25">
      <c r="B49" s="45" t="s">
        <v>55</v>
      </c>
      <c r="C49" s="60">
        <v>0.23</v>
      </c>
      <c r="D49" s="43"/>
      <c r="E49" s="43"/>
      <c r="F49" s="43"/>
      <c r="G49" s="60">
        <v>0.24</v>
      </c>
      <c r="H49" s="43"/>
      <c r="I49" s="43"/>
      <c r="J49" s="43"/>
      <c r="K49" s="60">
        <v>0.26</v>
      </c>
      <c r="O49" t="s">
        <v>127</v>
      </c>
    </row>
    <row r="50" spans="2:15" hidden="1" x14ac:dyDescent="0.25">
      <c r="B50" s="45" t="s">
        <v>86</v>
      </c>
      <c r="C50" s="60">
        <v>0.21</v>
      </c>
      <c r="D50" s="43"/>
      <c r="E50" s="43"/>
      <c r="F50" s="43"/>
      <c r="G50" s="60">
        <v>0.22</v>
      </c>
      <c r="H50" s="43"/>
      <c r="I50" s="43"/>
      <c r="J50" s="43"/>
      <c r="K50" s="60">
        <v>0.23</v>
      </c>
      <c r="O50" t="s">
        <v>128</v>
      </c>
    </row>
    <row r="51" spans="2:15" hidden="1" x14ac:dyDescent="0.25">
      <c r="B51" s="48" t="s">
        <v>8</v>
      </c>
      <c r="C51" s="60">
        <f t="shared" ref="C51:F51" si="28">1-SUM(C48:C50)</f>
        <v>0.31000000000000005</v>
      </c>
      <c r="D51" s="60">
        <f t="shared" si="28"/>
        <v>1</v>
      </c>
      <c r="E51" s="60">
        <f t="shared" si="28"/>
        <v>1</v>
      </c>
      <c r="F51" s="60">
        <f t="shared" si="28"/>
        <v>1</v>
      </c>
      <c r="G51" s="60">
        <f>1-SUM(G48:G50)</f>
        <v>0.28000000000000003</v>
      </c>
      <c r="H51" s="60">
        <f t="shared" ref="H51:K51" si="29">1-SUM(H48:H50)</f>
        <v>1</v>
      </c>
      <c r="I51" s="60">
        <f t="shared" si="29"/>
        <v>1</v>
      </c>
      <c r="J51" s="60">
        <f t="shared" si="29"/>
        <v>1</v>
      </c>
      <c r="K51" s="60">
        <f t="shared" si="29"/>
        <v>0.24</v>
      </c>
      <c r="O51" t="s">
        <v>129</v>
      </c>
    </row>
    <row r="52" spans="2:15" ht="15.75" hidden="1" thickBot="1" x14ac:dyDescent="0.3">
      <c r="B52" s="44" t="s">
        <v>42</v>
      </c>
      <c r="C52" s="61">
        <f>SUM(C48:C51)</f>
        <v>1</v>
      </c>
      <c r="D52" s="61">
        <f t="shared" ref="D52:K52" si="30">SUM(D48:D51)</f>
        <v>1</v>
      </c>
      <c r="E52" s="61">
        <f t="shared" si="30"/>
        <v>1</v>
      </c>
      <c r="F52" s="61">
        <f t="shared" si="30"/>
        <v>1</v>
      </c>
      <c r="G52" s="61">
        <f t="shared" si="30"/>
        <v>1</v>
      </c>
      <c r="H52" s="61">
        <f t="shared" si="30"/>
        <v>1</v>
      </c>
      <c r="I52" s="61">
        <f t="shared" si="30"/>
        <v>1</v>
      </c>
      <c r="J52" s="61">
        <f t="shared" si="30"/>
        <v>1</v>
      </c>
      <c r="K52" s="61">
        <f t="shared" si="30"/>
        <v>1</v>
      </c>
      <c r="O52" t="s">
        <v>130</v>
      </c>
    </row>
    <row r="53" spans="2:15" ht="15.75" hidden="1" thickBot="1" x14ac:dyDescent="0.3">
      <c r="O53" t="s">
        <v>131</v>
      </c>
    </row>
    <row r="54" spans="2:15" hidden="1" x14ac:dyDescent="0.25">
      <c r="B54" s="50"/>
      <c r="C54" s="88" t="s">
        <v>88</v>
      </c>
      <c r="D54" s="88"/>
      <c r="E54" s="88"/>
      <c r="F54" s="88"/>
      <c r="G54" s="88"/>
      <c r="H54" s="88"/>
      <c r="I54" s="88"/>
      <c r="J54" s="88"/>
      <c r="K54" s="88"/>
      <c r="O54" t="s">
        <v>132</v>
      </c>
    </row>
    <row r="55" spans="2:15" hidden="1" x14ac:dyDescent="0.25">
      <c r="B55" s="45" t="s">
        <v>59</v>
      </c>
      <c r="C55" s="10">
        <f>C48*C$8</f>
        <v>2.0499999999999998</v>
      </c>
      <c r="D55" s="10">
        <f t="shared" ref="D55:K55" si="31">D48*D$8</f>
        <v>0</v>
      </c>
      <c r="E55" s="10">
        <f t="shared" si="31"/>
        <v>0</v>
      </c>
      <c r="F55" s="10">
        <f t="shared" si="31"/>
        <v>0</v>
      </c>
      <c r="G55" s="10">
        <f t="shared" si="31"/>
        <v>2.8080000000000003</v>
      </c>
      <c r="H55" s="10">
        <f t="shared" si="31"/>
        <v>0</v>
      </c>
      <c r="I55" s="10">
        <f t="shared" si="31"/>
        <v>0</v>
      </c>
      <c r="J55" s="10">
        <f t="shared" si="31"/>
        <v>0</v>
      </c>
      <c r="K55" s="10">
        <f t="shared" si="31"/>
        <v>3.8961000000000001</v>
      </c>
      <c r="L55" s="6">
        <f>(G55/C55)^(1/4)-1</f>
        <v>8.1834458905812202E-2</v>
      </c>
    </row>
    <row r="56" spans="2:15" hidden="1" x14ac:dyDescent="0.25">
      <c r="B56" s="45" t="s">
        <v>55</v>
      </c>
      <c r="C56" s="10">
        <f t="shared" ref="C56:K58" si="32">C49*C$8</f>
        <v>1.8859999999999999</v>
      </c>
      <c r="D56" s="10">
        <f t="shared" si="32"/>
        <v>0</v>
      </c>
      <c r="E56" s="10">
        <f t="shared" si="32"/>
        <v>0</v>
      </c>
      <c r="F56" s="10">
        <f t="shared" si="32"/>
        <v>0</v>
      </c>
      <c r="G56" s="10">
        <f t="shared" si="32"/>
        <v>2.5920000000000001</v>
      </c>
      <c r="H56" s="10">
        <f t="shared" si="32"/>
        <v>0</v>
      </c>
      <c r="I56" s="10">
        <f t="shared" si="32"/>
        <v>0</v>
      </c>
      <c r="J56" s="10">
        <f t="shared" si="32"/>
        <v>0</v>
      </c>
      <c r="K56" s="10">
        <f t="shared" si="32"/>
        <v>3.7518000000000002</v>
      </c>
      <c r="L56" s="6">
        <f t="shared" ref="L56:L58" si="33">(G56/C56)^(1/4)-1</f>
        <v>8.2737870514606682E-2</v>
      </c>
    </row>
    <row r="57" spans="2:15" hidden="1" x14ac:dyDescent="0.25">
      <c r="B57" s="45" t="s">
        <v>86</v>
      </c>
      <c r="C57" s="10">
        <f t="shared" si="32"/>
        <v>1.7219999999999998</v>
      </c>
      <c r="D57" s="10">
        <f t="shared" si="32"/>
        <v>0</v>
      </c>
      <c r="E57" s="10">
        <f t="shared" si="32"/>
        <v>0</v>
      </c>
      <c r="F57" s="10">
        <f t="shared" si="32"/>
        <v>0</v>
      </c>
      <c r="G57" s="10">
        <f t="shared" si="32"/>
        <v>2.3760000000000003</v>
      </c>
      <c r="H57" s="10">
        <f t="shared" si="32"/>
        <v>0</v>
      </c>
      <c r="I57" s="10">
        <f t="shared" si="32"/>
        <v>0</v>
      </c>
      <c r="J57" s="10">
        <f t="shared" si="32"/>
        <v>0</v>
      </c>
      <c r="K57" s="10">
        <f t="shared" si="32"/>
        <v>3.3189000000000002</v>
      </c>
      <c r="L57" s="6">
        <f t="shared" si="33"/>
        <v>8.3810420487790749E-2</v>
      </c>
    </row>
    <row r="58" spans="2:15" hidden="1" x14ac:dyDescent="0.25">
      <c r="B58" s="48" t="s">
        <v>8</v>
      </c>
      <c r="C58" s="10">
        <f t="shared" si="32"/>
        <v>2.5420000000000003</v>
      </c>
      <c r="D58" s="10">
        <f t="shared" si="32"/>
        <v>9.4600000000000009</v>
      </c>
      <c r="E58" s="10">
        <f t="shared" si="32"/>
        <v>11.315999999999999</v>
      </c>
      <c r="F58" s="10">
        <f t="shared" si="32"/>
        <v>13.513500000000001</v>
      </c>
      <c r="G58" s="10">
        <f t="shared" si="32"/>
        <v>3.0240000000000005</v>
      </c>
      <c r="H58" s="10">
        <f t="shared" si="32"/>
        <v>19.2</v>
      </c>
      <c r="I58" s="10">
        <f t="shared" si="32"/>
        <v>8.0700950879999986</v>
      </c>
      <c r="J58" s="10">
        <f t="shared" si="32"/>
        <v>10.010145947155198</v>
      </c>
      <c r="K58" s="10">
        <f t="shared" si="32"/>
        <v>3.4631999999999996</v>
      </c>
      <c r="L58" s="6">
        <f t="shared" si="33"/>
        <v>4.4363199694412714E-2</v>
      </c>
    </row>
    <row r="59" spans="2:15" ht="15.75" hidden="1" thickBot="1" x14ac:dyDescent="0.3">
      <c r="B59" s="44" t="s">
        <v>42</v>
      </c>
      <c r="C59" s="34">
        <f>SUM(C55:C58)</f>
        <v>8.1999999999999993</v>
      </c>
      <c r="D59" s="34">
        <f t="shared" ref="D59:K59" si="34">SUM(D55:D58)</f>
        <v>9.4600000000000009</v>
      </c>
      <c r="E59" s="34">
        <f t="shared" si="34"/>
        <v>11.315999999999999</v>
      </c>
      <c r="F59" s="34">
        <f t="shared" si="34"/>
        <v>13.513500000000001</v>
      </c>
      <c r="G59" s="34">
        <f t="shared" si="34"/>
        <v>10.8</v>
      </c>
      <c r="H59" s="34">
        <f t="shared" si="34"/>
        <v>19.2</v>
      </c>
      <c r="I59" s="34">
        <f t="shared" si="34"/>
        <v>8.0700950879999986</v>
      </c>
      <c r="J59" s="34">
        <f t="shared" si="34"/>
        <v>10.010145947155198</v>
      </c>
      <c r="K59" s="34">
        <f t="shared" si="34"/>
        <v>14.43</v>
      </c>
    </row>
    <row r="60" spans="2:15" hidden="1" x14ac:dyDescent="0.25"/>
  </sheetData>
  <mergeCells count="6">
    <mergeCell ref="C54:K54"/>
    <mergeCell ref="B10:K10"/>
    <mergeCell ref="B18:K18"/>
    <mergeCell ref="C27:K27"/>
    <mergeCell ref="C37:K37"/>
    <mergeCell ref="C47:K47"/>
  </mergeCells>
  <hyperlinks>
    <hyperlink ref="O33" r:id="rId1" xr:uid="{1BBE1F31-D43B-41E3-BE19-7468E86D168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727A-C1C0-43D3-9075-D54EC07759E0}">
  <dimension ref="D3:P23"/>
  <sheetViews>
    <sheetView zoomScale="80" workbookViewId="0">
      <selection activeCell="D16" sqref="D16"/>
    </sheetView>
  </sheetViews>
  <sheetFormatPr defaultRowHeight="15" x14ac:dyDescent="0.25"/>
  <cols>
    <col min="4" max="4" width="28" bestFit="1" customWidth="1"/>
    <col min="8" max="9" width="0" hidden="1" customWidth="1"/>
    <col min="10" max="10" width="17.85546875" hidden="1" customWidth="1"/>
    <col min="11" max="11" width="14.42578125" customWidth="1"/>
    <col min="15" max="15" width="15.28515625" bestFit="1" customWidth="1"/>
    <col min="16" max="16" width="20.7109375" customWidth="1"/>
  </cols>
  <sheetData>
    <row r="3" spans="4:16" ht="15.75" thickBot="1" x14ac:dyDescent="0.3">
      <c r="E3" s="92" t="s">
        <v>95</v>
      </c>
      <c r="F3" s="92"/>
      <c r="G3" s="92"/>
    </row>
    <row r="4" spans="4:16" ht="15.75" thickBot="1" x14ac:dyDescent="0.3">
      <c r="E4" s="23">
        <v>2017</v>
      </c>
      <c r="F4" s="38">
        <v>2021</v>
      </c>
      <c r="G4" s="32">
        <v>2025</v>
      </c>
      <c r="J4" s="40" t="s">
        <v>39</v>
      </c>
      <c r="K4" s="40" t="s">
        <v>40</v>
      </c>
    </row>
    <row r="5" spans="4:16" ht="15.75" thickBot="1" x14ac:dyDescent="0.3">
      <c r="D5" s="15" t="s">
        <v>33</v>
      </c>
      <c r="E5" s="28">
        <v>0</v>
      </c>
      <c r="F5" s="39">
        <v>0</v>
      </c>
      <c r="G5" s="35">
        <v>5.4</v>
      </c>
      <c r="I5">
        <f>3.1</f>
        <v>3.1</v>
      </c>
      <c r="J5" s="41" t="e">
        <f>(F5/E5)^(1/4)-1</f>
        <v>#DIV/0!</v>
      </c>
      <c r="K5" s="41" t="e">
        <f>(G5/F5)^(1/4)-1</f>
        <v>#DIV/0!</v>
      </c>
      <c r="O5" s="64">
        <f>750000*78</f>
        <v>58500000</v>
      </c>
      <c r="P5" s="65">
        <f>O5+O6</f>
        <v>81120000</v>
      </c>
    </row>
    <row r="6" spans="4:16" ht="15.75" thickBot="1" x14ac:dyDescent="0.3">
      <c r="I6" s="3">
        <f>2/I5</f>
        <v>0.64516129032258063</v>
      </c>
      <c r="J6">
        <v>300</v>
      </c>
      <c r="O6" s="64">
        <f>290000*78</f>
        <v>22620000</v>
      </c>
    </row>
    <row r="7" spans="4:16" ht="15.75" thickBot="1" x14ac:dyDescent="0.3">
      <c r="D7" s="14" t="s">
        <v>96</v>
      </c>
      <c r="O7" s="64">
        <f>30000000*1.25%</f>
        <v>375000</v>
      </c>
      <c r="P7" s="65">
        <f>O5+O6+O8</f>
        <v>99216000</v>
      </c>
    </row>
    <row r="8" spans="4:16" ht="15.75" thickBot="1" x14ac:dyDescent="0.3">
      <c r="D8" s="23" t="s">
        <v>97</v>
      </c>
      <c r="E8" s="31">
        <v>0</v>
      </c>
      <c r="F8" s="31">
        <v>0</v>
      </c>
      <c r="G8" s="62">
        <f>$G$5*K8</f>
        <v>2.7540000000000004</v>
      </c>
      <c r="J8">
        <v>153</v>
      </c>
      <c r="K8" s="3">
        <f>J8/$J$6</f>
        <v>0.51</v>
      </c>
      <c r="O8" s="64">
        <f>232000*78</f>
        <v>18096000</v>
      </c>
    </row>
    <row r="9" spans="4:16" ht="15.75" thickBot="1" x14ac:dyDescent="0.3">
      <c r="D9" s="26" t="s">
        <v>98</v>
      </c>
      <c r="E9" s="31">
        <v>0</v>
      </c>
      <c r="F9" s="31">
        <v>0</v>
      </c>
      <c r="G9" s="62">
        <f>$G$5*K9</f>
        <v>1.1340000000000001</v>
      </c>
      <c r="J9">
        <v>63</v>
      </c>
      <c r="K9" s="3">
        <f t="shared" ref="K9:K11" si="0">J9/$J$6</f>
        <v>0.21</v>
      </c>
    </row>
    <row r="10" spans="4:16" ht="15.75" thickBot="1" x14ac:dyDescent="0.3">
      <c r="D10" s="26" t="s">
        <v>99</v>
      </c>
      <c r="E10" s="31">
        <v>0</v>
      </c>
      <c r="F10" s="31">
        <v>0</v>
      </c>
      <c r="G10" s="62">
        <f>$G$5*K10</f>
        <v>0.46800000000000003</v>
      </c>
      <c r="J10">
        <v>26</v>
      </c>
      <c r="K10" s="3">
        <f t="shared" si="0"/>
        <v>8.666666666666667E-2</v>
      </c>
    </row>
    <row r="11" spans="4:16" x14ac:dyDescent="0.25">
      <c r="D11" s="26" t="s">
        <v>100</v>
      </c>
      <c r="E11" s="31">
        <v>0</v>
      </c>
      <c r="F11" s="31">
        <v>0</v>
      </c>
      <c r="G11" s="62">
        <f>$G$5*K11</f>
        <v>1.044</v>
      </c>
      <c r="J11">
        <v>58</v>
      </c>
      <c r="K11" s="3">
        <f t="shared" si="0"/>
        <v>0.19333333333333333</v>
      </c>
    </row>
    <row r="12" spans="4:16" ht="15.75" thickBot="1" x14ac:dyDescent="0.3"/>
    <row r="13" spans="4:16" ht="15.75" thickBot="1" x14ac:dyDescent="0.3">
      <c r="D13" s="14" t="s">
        <v>32</v>
      </c>
      <c r="J13">
        <v>300</v>
      </c>
    </row>
    <row r="14" spans="4:16" ht="15.75" thickBot="1" x14ac:dyDescent="0.3">
      <c r="D14" s="23" t="s">
        <v>101</v>
      </c>
      <c r="E14" s="31">
        <v>0</v>
      </c>
      <c r="F14" s="31">
        <v>0</v>
      </c>
      <c r="G14" s="62">
        <f>K14*$G$5</f>
        <v>0.99</v>
      </c>
      <c r="J14">
        <v>55</v>
      </c>
      <c r="K14" s="3">
        <f>J14/$J$13</f>
        <v>0.18333333333333332</v>
      </c>
    </row>
    <row r="15" spans="4:16" ht="15.75" thickBot="1" x14ac:dyDescent="0.3">
      <c r="D15" s="26" t="s">
        <v>20</v>
      </c>
      <c r="E15" s="31">
        <v>0</v>
      </c>
      <c r="F15" s="31">
        <v>0</v>
      </c>
      <c r="G15" s="62">
        <f t="shared" ref="G15:G22" si="1">K15*$G$5</f>
        <v>0.95400000000000007</v>
      </c>
      <c r="J15">
        <v>53</v>
      </c>
      <c r="K15" s="3">
        <f t="shared" ref="K15:K22" si="2">J15/$J$13</f>
        <v>0.17666666666666667</v>
      </c>
    </row>
    <row r="16" spans="4:16" ht="15.75" thickBot="1" x14ac:dyDescent="0.3">
      <c r="D16" s="26" t="s">
        <v>104</v>
      </c>
      <c r="E16" s="31">
        <v>0</v>
      </c>
      <c r="F16" s="31">
        <v>0</v>
      </c>
      <c r="G16" s="62">
        <f t="shared" si="1"/>
        <v>0.75600000000000012</v>
      </c>
      <c r="J16">
        <v>42</v>
      </c>
      <c r="K16" s="3">
        <f t="shared" si="2"/>
        <v>0.14000000000000001</v>
      </c>
    </row>
    <row r="17" spans="4:11" ht="15.75" thickBot="1" x14ac:dyDescent="0.3">
      <c r="D17" s="26" t="s">
        <v>102</v>
      </c>
      <c r="E17" s="31">
        <v>0</v>
      </c>
      <c r="F17" s="31">
        <v>0</v>
      </c>
      <c r="G17" s="62">
        <f t="shared" si="1"/>
        <v>0.70200000000000007</v>
      </c>
      <c r="J17">
        <v>39</v>
      </c>
      <c r="K17" s="3">
        <f t="shared" si="2"/>
        <v>0.13</v>
      </c>
    </row>
    <row r="18" spans="4:11" ht="15.75" thickBot="1" x14ac:dyDescent="0.3">
      <c r="D18" s="26" t="s">
        <v>103</v>
      </c>
      <c r="E18" s="31">
        <v>0</v>
      </c>
      <c r="F18" s="31">
        <v>0</v>
      </c>
      <c r="G18" s="62">
        <f t="shared" si="1"/>
        <v>0.63</v>
      </c>
      <c r="J18">
        <v>35</v>
      </c>
      <c r="K18" s="3">
        <f t="shared" si="2"/>
        <v>0.11666666666666667</v>
      </c>
    </row>
    <row r="19" spans="4:11" ht="15.75" thickBot="1" x14ac:dyDescent="0.3">
      <c r="D19" s="63" t="s">
        <v>105</v>
      </c>
      <c r="E19" s="31">
        <v>0</v>
      </c>
      <c r="F19" s="31">
        <v>0</v>
      </c>
      <c r="G19" s="62">
        <f t="shared" si="1"/>
        <v>0.45</v>
      </c>
      <c r="J19">
        <v>25</v>
      </c>
      <c r="K19" s="3">
        <f t="shared" si="2"/>
        <v>8.3333333333333329E-2</v>
      </c>
    </row>
    <row r="20" spans="4:11" ht="15.75" thickBot="1" x14ac:dyDescent="0.3">
      <c r="D20" s="63" t="s">
        <v>106</v>
      </c>
      <c r="E20" s="31">
        <v>0</v>
      </c>
      <c r="F20" s="31">
        <v>0</v>
      </c>
      <c r="G20" s="62">
        <f t="shared" si="1"/>
        <v>0.39600000000000002</v>
      </c>
      <c r="J20">
        <v>22</v>
      </c>
      <c r="K20" s="3">
        <f t="shared" si="2"/>
        <v>7.3333333333333334E-2</v>
      </c>
    </row>
    <row r="21" spans="4:11" ht="15.75" thickBot="1" x14ac:dyDescent="0.3">
      <c r="D21" s="63" t="s">
        <v>93</v>
      </c>
      <c r="E21" s="31">
        <v>0</v>
      </c>
      <c r="F21" s="31">
        <v>0</v>
      </c>
      <c r="G21" s="62">
        <f t="shared" si="1"/>
        <v>0.36000000000000004</v>
      </c>
      <c r="J21">
        <v>20</v>
      </c>
      <c r="K21" s="3">
        <f t="shared" si="2"/>
        <v>6.6666666666666666E-2</v>
      </c>
    </row>
    <row r="22" spans="4:11" ht="15.75" thickBot="1" x14ac:dyDescent="0.3">
      <c r="D22" s="28" t="s">
        <v>107</v>
      </c>
      <c r="E22" s="31">
        <v>0</v>
      </c>
      <c r="F22" s="31">
        <v>0</v>
      </c>
      <c r="G22" s="62">
        <f t="shared" si="1"/>
        <v>0.16200000000000001</v>
      </c>
      <c r="J22">
        <v>9</v>
      </c>
      <c r="K22" s="3">
        <f t="shared" si="2"/>
        <v>0.03</v>
      </c>
    </row>
    <row r="23" spans="4:11" x14ac:dyDescent="0.25">
      <c r="F23" s="4"/>
    </row>
  </sheetData>
  <mergeCells count="1">
    <mergeCell ref="E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632C-BF5F-4E62-8E60-7179B61FE743}">
  <dimension ref="D3:R23"/>
  <sheetViews>
    <sheetView topLeftCell="C1" workbookViewId="0">
      <selection activeCell="D12" sqref="D12"/>
    </sheetView>
  </sheetViews>
  <sheetFormatPr defaultRowHeight="15" x14ac:dyDescent="0.25"/>
  <cols>
    <col min="4" max="4" width="28" bestFit="1" customWidth="1"/>
    <col min="17" max="17" width="17.85546875" customWidth="1"/>
    <col min="18" max="18" width="14.42578125" customWidth="1"/>
  </cols>
  <sheetData>
    <row r="3" spans="4:18" ht="15.75" thickBot="1" x14ac:dyDescent="0.3">
      <c r="E3" s="92" t="s">
        <v>34</v>
      </c>
      <c r="F3" s="92"/>
      <c r="G3" s="92"/>
    </row>
    <row r="4" spans="4:18" ht="15.75" thickBot="1" x14ac:dyDescent="0.3">
      <c r="E4" s="23">
        <v>2017</v>
      </c>
      <c r="F4" s="38">
        <v>2021</v>
      </c>
      <c r="G4" s="32">
        <v>2025</v>
      </c>
      <c r="Q4" s="40" t="s">
        <v>39</v>
      </c>
      <c r="R4" s="40" t="s">
        <v>40</v>
      </c>
    </row>
    <row r="5" spans="4:18" ht="15.75" thickBot="1" x14ac:dyDescent="0.3">
      <c r="D5" s="15" t="s">
        <v>33</v>
      </c>
      <c r="E5" s="28">
        <v>19</v>
      </c>
      <c r="F5" s="39">
        <v>27.2</v>
      </c>
      <c r="G5" s="35">
        <v>54</v>
      </c>
      <c r="I5">
        <v>16.5</v>
      </c>
      <c r="J5">
        <f>(I5+(I5*J6))</f>
        <v>19.14</v>
      </c>
      <c r="K5">
        <f t="shared" ref="K5:M5" si="0">(J5+(J5*K6))</f>
        <v>22.202400000000001</v>
      </c>
      <c r="L5">
        <f t="shared" si="0"/>
        <v>25.754784000000001</v>
      </c>
      <c r="M5">
        <f t="shared" si="0"/>
        <v>29.87554944</v>
      </c>
      <c r="N5">
        <v>27.2</v>
      </c>
      <c r="P5">
        <f>3.1</f>
        <v>3.1</v>
      </c>
      <c r="Q5" s="41">
        <f>(F5/E5)^(1/4)-1</f>
        <v>9.3840062912415645E-2</v>
      </c>
      <c r="R5" s="41">
        <f>(G5/F5)^(1/4)-1</f>
        <v>0.18701501883572913</v>
      </c>
    </row>
    <row r="6" spans="4:18" ht="15.75" thickBot="1" x14ac:dyDescent="0.3">
      <c r="J6" s="1">
        <v>0.16</v>
      </c>
      <c r="K6" s="1">
        <v>0.16</v>
      </c>
      <c r="L6" s="1">
        <v>0.16</v>
      </c>
      <c r="M6" s="1">
        <v>0.16</v>
      </c>
      <c r="P6" s="3">
        <f>2/P5</f>
        <v>0.64516129032258063</v>
      </c>
    </row>
    <row r="7" spans="4:18" ht="15.75" thickBot="1" x14ac:dyDescent="0.3">
      <c r="D7" s="14" t="s">
        <v>0</v>
      </c>
    </row>
    <row r="8" spans="4:18" x14ac:dyDescent="0.25">
      <c r="D8" s="23" t="s">
        <v>21</v>
      </c>
      <c r="E8" s="31">
        <v>4.9400000000000004</v>
      </c>
      <c r="F8" s="31">
        <v>7.3440000000000003</v>
      </c>
      <c r="G8" s="32">
        <v>14.31</v>
      </c>
      <c r="J8" s="3">
        <v>0.26</v>
      </c>
      <c r="K8">
        <v>139</v>
      </c>
      <c r="L8" s="3">
        <f>K8/$K$15</f>
        <v>0.27470355731225299</v>
      </c>
      <c r="M8" s="3">
        <v>0.27</v>
      </c>
      <c r="N8" s="3">
        <v>0.26500000000000001</v>
      </c>
    </row>
    <row r="9" spans="4:18" x14ac:dyDescent="0.25">
      <c r="D9" s="26" t="s">
        <v>22</v>
      </c>
      <c r="E9" s="10">
        <v>4.37</v>
      </c>
      <c r="F9" s="10">
        <v>5.44</v>
      </c>
      <c r="G9" s="33">
        <v>11.069999999999999</v>
      </c>
      <c r="J9" s="3">
        <v>0.23</v>
      </c>
      <c r="K9">
        <v>106</v>
      </c>
      <c r="L9" s="3">
        <f t="shared" ref="L9:L14" si="1">K9/$K$15</f>
        <v>0.20948616600790515</v>
      </c>
      <c r="M9" s="3">
        <v>0.2</v>
      </c>
      <c r="N9" s="3">
        <v>0.20499999999999999</v>
      </c>
    </row>
    <row r="10" spans="4:18" x14ac:dyDescent="0.25">
      <c r="D10" s="26" t="s">
        <v>23</v>
      </c>
      <c r="E10" s="10">
        <v>2.2799999999999998</v>
      </c>
      <c r="F10" s="10">
        <v>3.536</v>
      </c>
      <c r="G10" s="33">
        <v>7.0200000000000005</v>
      </c>
      <c r="J10" s="3">
        <v>0.12</v>
      </c>
      <c r="K10">
        <v>78</v>
      </c>
      <c r="L10" s="3">
        <f t="shared" si="1"/>
        <v>0.1541501976284585</v>
      </c>
      <c r="M10" s="3">
        <v>0.13</v>
      </c>
      <c r="N10" s="3">
        <v>0.13</v>
      </c>
    </row>
    <row r="11" spans="4:18" x14ac:dyDescent="0.25">
      <c r="D11" s="26" t="s">
        <v>25</v>
      </c>
      <c r="E11" s="10">
        <v>1.1399999999999999</v>
      </c>
      <c r="F11" s="10">
        <v>1.9040000000000001</v>
      </c>
      <c r="G11" s="33">
        <v>3.7800000000000002</v>
      </c>
      <c r="J11" s="1">
        <v>0.06</v>
      </c>
      <c r="K11" s="93">
        <v>77</v>
      </c>
      <c r="L11" s="3">
        <f t="shared" si="1"/>
        <v>0.15217391304347827</v>
      </c>
      <c r="M11" s="3">
        <v>7.0000000000000007E-2</v>
      </c>
      <c r="N11" s="3">
        <v>7.0000000000000007E-2</v>
      </c>
    </row>
    <row r="12" spans="4:18" x14ac:dyDescent="0.25">
      <c r="D12" s="26" t="s">
        <v>27</v>
      </c>
      <c r="E12" s="10">
        <v>1.9000000000000001</v>
      </c>
      <c r="F12" s="10">
        <v>2.72</v>
      </c>
      <c r="G12" s="33">
        <v>4.8599999999999994</v>
      </c>
      <c r="J12" s="1">
        <v>0.1</v>
      </c>
      <c r="K12" s="93"/>
      <c r="L12" s="3">
        <f t="shared" si="1"/>
        <v>0</v>
      </c>
      <c r="M12" s="3">
        <v>0.1</v>
      </c>
      <c r="N12" s="3">
        <v>0.09</v>
      </c>
    </row>
    <row r="13" spans="4:18" x14ac:dyDescent="0.25">
      <c r="D13" s="26" t="s">
        <v>26</v>
      </c>
      <c r="E13" s="10">
        <v>1.33</v>
      </c>
      <c r="F13" s="10">
        <v>1.9040000000000001</v>
      </c>
      <c r="G13" s="33">
        <v>4.05</v>
      </c>
      <c r="J13" s="1">
        <v>7.0000000000000007E-2</v>
      </c>
      <c r="K13" s="93"/>
      <c r="L13" s="3">
        <f t="shared" si="1"/>
        <v>0</v>
      </c>
      <c r="M13" s="3">
        <v>7.0000000000000007E-2</v>
      </c>
      <c r="N13" s="3">
        <v>7.4999999999999997E-2</v>
      </c>
    </row>
    <row r="14" spans="4:18" ht="15.75" thickBot="1" x14ac:dyDescent="0.3">
      <c r="D14" s="28" t="s">
        <v>24</v>
      </c>
      <c r="E14" s="34">
        <v>2.85</v>
      </c>
      <c r="F14" s="34">
        <v>4.3520000000000003</v>
      </c>
      <c r="G14" s="35">
        <v>8.91</v>
      </c>
      <c r="J14" s="3">
        <v>0.15</v>
      </c>
      <c r="K14">
        <v>106</v>
      </c>
      <c r="L14" s="3">
        <f t="shared" si="1"/>
        <v>0.20948616600790515</v>
      </c>
      <c r="M14" s="3">
        <v>0.16</v>
      </c>
      <c r="N14" s="3">
        <v>0.16500000000000001</v>
      </c>
    </row>
    <row r="15" spans="4:18" ht="15.75" thickBot="1" x14ac:dyDescent="0.3">
      <c r="K15">
        <f>SUM(K8:K14)</f>
        <v>506</v>
      </c>
    </row>
    <row r="16" spans="4:18" ht="15.75" thickBot="1" x14ac:dyDescent="0.3">
      <c r="D16" s="14" t="s">
        <v>32</v>
      </c>
    </row>
    <row r="17" spans="4:12" x14ac:dyDescent="0.25">
      <c r="D17" s="23" t="s">
        <v>17</v>
      </c>
      <c r="E17" s="31">
        <f>$E$5*J17</f>
        <v>0.85499999999999998</v>
      </c>
      <c r="F17" s="36">
        <f t="shared" ref="F17:F22" si="2">K17*$F$5</f>
        <v>1.36</v>
      </c>
      <c r="G17" s="32">
        <f>$G$5*L17</f>
        <v>3.7800000000000002</v>
      </c>
      <c r="J17" s="6">
        <v>4.4999999999999998E-2</v>
      </c>
      <c r="K17" s="3">
        <v>0.05</v>
      </c>
      <c r="L17" s="5">
        <v>7.0000000000000007E-2</v>
      </c>
    </row>
    <row r="18" spans="4:12" x14ac:dyDescent="0.25">
      <c r="D18" s="26" t="s">
        <v>28</v>
      </c>
      <c r="E18" s="10">
        <f t="shared" ref="E18:E22" si="3">$E$5*J18</f>
        <v>9.8800000000000008</v>
      </c>
      <c r="F18" s="11">
        <f t="shared" si="2"/>
        <v>13.872</v>
      </c>
      <c r="G18" s="33">
        <f t="shared" ref="G18:G22" si="4">$G$5*L18</f>
        <v>27.27</v>
      </c>
      <c r="J18" s="6">
        <v>0.52</v>
      </c>
      <c r="K18" s="3">
        <v>0.51</v>
      </c>
      <c r="L18" s="5">
        <v>0.505</v>
      </c>
    </row>
    <row r="19" spans="4:12" x14ac:dyDescent="0.25">
      <c r="D19" s="26" t="s">
        <v>29</v>
      </c>
      <c r="E19" s="10">
        <f t="shared" si="3"/>
        <v>1.52</v>
      </c>
      <c r="F19" s="11">
        <f t="shared" si="2"/>
        <v>2.448</v>
      </c>
      <c r="G19" s="33">
        <f t="shared" si="4"/>
        <v>4.8599999999999994</v>
      </c>
      <c r="J19" s="6">
        <v>0.08</v>
      </c>
      <c r="K19" s="3">
        <v>0.09</v>
      </c>
      <c r="L19" s="5">
        <v>0.09</v>
      </c>
    </row>
    <row r="20" spans="4:12" x14ac:dyDescent="0.25">
      <c r="D20" s="26" t="s">
        <v>30</v>
      </c>
      <c r="E20" s="10">
        <f t="shared" si="3"/>
        <v>3.8949999999999996</v>
      </c>
      <c r="F20" s="11">
        <f t="shared" si="2"/>
        <v>5.44</v>
      </c>
      <c r="G20" s="33">
        <f t="shared" si="4"/>
        <v>10.26</v>
      </c>
      <c r="J20" s="6">
        <v>0.20499999999999999</v>
      </c>
      <c r="K20" s="3">
        <v>0.2</v>
      </c>
      <c r="L20" s="5">
        <v>0.19</v>
      </c>
    </row>
    <row r="21" spans="4:12" x14ac:dyDescent="0.25">
      <c r="D21" s="26" t="s">
        <v>31</v>
      </c>
      <c r="E21" s="10">
        <f t="shared" si="3"/>
        <v>1.1399999999999999</v>
      </c>
      <c r="F21" s="11">
        <f t="shared" si="2"/>
        <v>1.9040000000000001</v>
      </c>
      <c r="G21" s="33">
        <f t="shared" si="4"/>
        <v>3.7800000000000002</v>
      </c>
      <c r="J21" s="6">
        <v>0.06</v>
      </c>
      <c r="K21" s="3">
        <v>7.0000000000000007E-2</v>
      </c>
      <c r="L21" s="5">
        <v>7.0000000000000007E-2</v>
      </c>
    </row>
    <row r="22" spans="4:12" ht="15.75" thickBot="1" x14ac:dyDescent="0.3">
      <c r="D22" s="28" t="s">
        <v>8</v>
      </c>
      <c r="E22" s="34">
        <f t="shared" si="3"/>
        <v>1.7100000000000015</v>
      </c>
      <c r="F22" s="37">
        <f t="shared" si="2"/>
        <v>2.1759999999999957</v>
      </c>
      <c r="G22" s="35">
        <f t="shared" si="4"/>
        <v>4.0499999999999972</v>
      </c>
      <c r="J22" s="1">
        <f>1-SUM(J17:J21)</f>
        <v>9.000000000000008E-2</v>
      </c>
      <c r="K22" s="1">
        <f>1-SUM(K17:K21)</f>
        <v>7.9999999999999849E-2</v>
      </c>
      <c r="L22" s="1">
        <f>1-SUM(L17:L21)</f>
        <v>7.4999999999999956E-2</v>
      </c>
    </row>
    <row r="23" spans="4:12" x14ac:dyDescent="0.25">
      <c r="F23" s="4"/>
    </row>
  </sheetData>
  <mergeCells count="2">
    <mergeCell ref="K11:K13"/>
    <mergeCell ref="E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C694-0FC4-4196-AA81-8CC3D279D5D8}">
  <dimension ref="A1:Q13"/>
  <sheetViews>
    <sheetView zoomScaleNormal="100" workbookViewId="0">
      <selection activeCell="B9" sqref="B9:Q9"/>
    </sheetView>
  </sheetViews>
  <sheetFormatPr defaultRowHeight="15" x14ac:dyDescent="0.25"/>
  <cols>
    <col min="1" max="1" width="22.85546875" bestFit="1" customWidth="1"/>
  </cols>
  <sheetData>
    <row r="1" spans="1:17" x14ac:dyDescent="0.25">
      <c r="A1" s="54" t="s">
        <v>67</v>
      </c>
      <c r="B1" s="95" t="s">
        <v>60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x14ac:dyDescent="0.25">
      <c r="A2" s="55" t="s">
        <v>62</v>
      </c>
      <c r="B2" s="94" t="s">
        <v>61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7" x14ac:dyDescent="0.25">
      <c r="A3" s="55" t="s">
        <v>64</v>
      </c>
      <c r="B3" s="94" t="s">
        <v>63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x14ac:dyDescent="0.25">
      <c r="A4" s="55" t="s">
        <v>66</v>
      </c>
      <c r="B4" s="94" t="s">
        <v>65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x14ac:dyDescent="0.25">
      <c r="A5" s="55" t="s">
        <v>62</v>
      </c>
      <c r="B5" s="94" t="s">
        <v>68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x14ac:dyDescent="0.25">
      <c r="A6" s="55" t="s">
        <v>69</v>
      </c>
      <c r="B6" s="94" t="s">
        <v>70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</row>
    <row r="7" spans="1:17" x14ac:dyDescent="0.25">
      <c r="A7" s="55" t="s">
        <v>71</v>
      </c>
      <c r="B7" s="94" t="s">
        <v>72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spans="1:17" x14ac:dyDescent="0.25">
      <c r="A8" s="55" t="s">
        <v>74</v>
      </c>
      <c r="B8" s="94" t="s">
        <v>73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</row>
    <row r="9" spans="1:17" x14ac:dyDescent="0.25">
      <c r="A9" s="55" t="s">
        <v>76</v>
      </c>
      <c r="B9" s="94" t="s">
        <v>75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17" x14ac:dyDescent="0.25">
      <c r="A10" s="55" t="s">
        <v>78</v>
      </c>
      <c r="B10" s="94" t="s">
        <v>77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spans="1:17" x14ac:dyDescent="0.25">
      <c r="A11" s="55" t="s">
        <v>78</v>
      </c>
      <c r="B11" s="94" t="s">
        <v>79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spans="1:17" x14ac:dyDescent="0.25">
      <c r="A12" s="55" t="s">
        <v>83</v>
      </c>
      <c r="B12" s="94" t="s">
        <v>82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</row>
    <row r="13" spans="1:17" x14ac:dyDescent="0.25">
      <c r="A13" s="55" t="s">
        <v>85</v>
      </c>
      <c r="B13" s="94" t="s">
        <v>82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</row>
  </sheetData>
  <mergeCells count="13">
    <mergeCell ref="B6:Q6"/>
    <mergeCell ref="B12:Q12"/>
    <mergeCell ref="B13:Q13"/>
    <mergeCell ref="B1:Q1"/>
    <mergeCell ref="B2:Q2"/>
    <mergeCell ref="B3:Q3"/>
    <mergeCell ref="B4:Q4"/>
    <mergeCell ref="B5:Q5"/>
    <mergeCell ref="B11:Q11"/>
    <mergeCell ref="B7:Q7"/>
    <mergeCell ref="B8:Q8"/>
    <mergeCell ref="B9:Q9"/>
    <mergeCell ref="B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</vt:lpstr>
      <vt:lpstr>Robotics</vt:lpstr>
      <vt:lpstr>Space</vt:lpstr>
      <vt:lpstr>Quantum</vt:lpstr>
      <vt:lpstr>SC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Bharti</dc:creator>
  <cp:lastModifiedBy>Hardik Malhotra</cp:lastModifiedBy>
  <dcterms:created xsi:type="dcterms:W3CDTF">2022-09-06T12:08:04Z</dcterms:created>
  <dcterms:modified xsi:type="dcterms:W3CDTF">2023-01-16T09:52:26Z</dcterms:modified>
</cp:coreProperties>
</file>