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hartsheets/sheet3.xml" ContentType="application/vnd.openxmlformats-officedocument.spreadsheetml.chart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hartsheets/sheet4.xml" ContentType="application/vnd.openxmlformats-officedocument.spreadsheetml.chart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hartsheets/sheet5.xml" ContentType="application/vnd.openxmlformats-officedocument.spreadsheetml.chart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hardik.malhotra\Desktop\NEW Opal\"/>
    </mc:Choice>
  </mc:AlternateContent>
  <xr:revisionPtr revIDLastSave="0" documentId="13_ncr:1_{BD702EA4-D233-4C78-A34F-5F59C26AECF6}" xr6:coauthVersionLast="47" xr6:coauthVersionMax="47" xr10:uidLastSave="{00000000-0000-0000-0000-000000000000}"/>
  <bookViews>
    <workbookView xWindow="-120" yWindow="-120" windowWidth="20730" windowHeight="11160" firstSheet="7" activeTab="7" xr2:uid="{00000000-000D-0000-FFFF-FFFF00000000}"/>
  </bookViews>
  <sheets>
    <sheet name="Chart3" sheetId="12" state="hidden" r:id="rId1"/>
    <sheet name="Chart5" sheetId="7" state="hidden" r:id="rId2"/>
    <sheet name="Sheet1" sheetId="1" state="hidden" r:id="rId3"/>
    <sheet name="Capex estimates" sheetId="8" state="hidden" r:id="rId4"/>
    <sheet name="DFCU-AU Production" sheetId="22" state="hidden" r:id="rId5"/>
    <sheet name="CPP" sheetId="23" state="hidden" r:id="rId6"/>
    <sheet name="Complex Contribution" sheetId="24" state="hidden" r:id="rId7"/>
    <sheet name="Dashboard" sheetId="44" r:id="rId8"/>
    <sheet name="Feedstock Mix (Input)" sheetId="39" r:id="rId9"/>
    <sheet name="Products Output" sheetId="40" r:id="rId10"/>
    <sheet name="Yield_OPaL" sheetId="42" state="hidden" r:id="rId11"/>
    <sheet name="Datasheet" sheetId="41" r:id="rId12"/>
    <sheet name="CASHFLOW-IRR-PAYBACK" sheetId="9" r:id="rId13"/>
    <sheet name="SALES" sheetId="11" r:id="rId14"/>
    <sheet name="OPERATING COSTS" sheetId="10" r:id="rId15"/>
    <sheet name="Chart-Polymer Margins" sheetId="43" r:id="rId16"/>
    <sheet name="Ethylene-Propylene COP" sheetId="38" r:id="rId17"/>
    <sheet name="Planning" sheetId="29" r:id="rId18"/>
    <sheet name="Polymer BOM" sheetId="30" r:id="rId19"/>
    <sheet name="Sheet4" sheetId="25" state="hidden" r:id="rId20"/>
    <sheet name="Chart6" sheetId="27" state="hidden" r:id="rId21"/>
    <sheet name="ASSUMPTIONS" sheetId="26" r:id="rId22"/>
    <sheet name="Prices and Cost of Production" sheetId="37" r:id="rId23"/>
    <sheet name="Prices and COP model" sheetId="15" r:id="rId24"/>
    <sheet name="Sheet7" sheetId="34" state="hidden" r:id="rId25"/>
    <sheet name="DFCU Yields as per PwC" sheetId="28" state="hidden" r:id="rId26"/>
    <sheet name="Polymer Prices" sheetId="35" r:id="rId27"/>
    <sheet name="Grade MIX" sheetId="36" r:id="rId28"/>
    <sheet name="Sheet2" sheetId="31" state="hidden" r:id="rId29"/>
    <sheet name="USD to INR" sheetId="32" state="hidden" r:id="rId30"/>
    <sheet name="Sheet3" sheetId="20" state="hidden" r:id="rId31"/>
    <sheet name="Chart7" sheetId="19" state="hidden" r:id="rId32"/>
    <sheet name="Phenol Price Prediction" sheetId="17" state="hidden" r:id="rId33"/>
    <sheet name="Feed Prices" sheetId="16" state="hidden" r:id="rId34"/>
    <sheet name="PVC Prices History" sheetId="14" state="hidden" r:id="rId35"/>
  </sheets>
  <externalReferences>
    <externalReference r:id="rId36"/>
    <externalReference r:id="rId37"/>
    <externalReference r:id="rId38"/>
    <externalReference r:id="rId39"/>
  </externalReferences>
  <definedNames>
    <definedName name="_xlnm._FilterDatabase" localSheetId="28" hidden="1">Sheet2!$A$1:$N$922</definedName>
    <definedName name="_Order1" hidden="1">255</definedName>
    <definedName name="_xlcn.WorksheetConnection_Sheet2AN1" hidden="1">Sheet2!$A:$N</definedName>
    <definedName name="anscount" hidden="1">3</definedName>
    <definedName name="ColumnAttributes1" localSheetId="7">#REF!</definedName>
    <definedName name="ColumnAttributes1">#REF!</definedName>
    <definedName name="ColumnHeadings1" localSheetId="7">#REF!</definedName>
    <definedName name="ColumnHeadings1">#REF!</definedName>
    <definedName name="cracker" localSheetId="7">#REF!</definedName>
    <definedName name="cracker">#REF!</definedName>
    <definedName name="crackertblock" localSheetId="7">#REF!</definedName>
    <definedName name="crackertblock">#REF!</definedName>
    <definedName name="DATA1" localSheetId="16">#REF!</definedName>
    <definedName name="DATA1" localSheetId="17">#REF!</definedName>
    <definedName name="DATA1" localSheetId="22">#REF!</definedName>
    <definedName name="DATA1">#REF!</definedName>
    <definedName name="DATA10" localSheetId="16">#REF!</definedName>
    <definedName name="DATA10" localSheetId="17">#REF!</definedName>
    <definedName name="DATA10" localSheetId="22">#REF!</definedName>
    <definedName name="DATA10">#REF!</definedName>
    <definedName name="DATA11" localSheetId="16">#REF!</definedName>
    <definedName name="DATA11" localSheetId="17">#REF!</definedName>
    <definedName name="DATA11" localSheetId="22">#REF!</definedName>
    <definedName name="DATA11">#REF!</definedName>
    <definedName name="DATA12" localSheetId="16">#REF!</definedName>
    <definedName name="DATA12" localSheetId="17">#REF!</definedName>
    <definedName name="DATA12" localSheetId="22">#REF!</definedName>
    <definedName name="DATA12">#REF!</definedName>
    <definedName name="DATA13" localSheetId="16">#REF!</definedName>
    <definedName name="DATA13" localSheetId="17">#REF!</definedName>
    <definedName name="DATA13" localSheetId="22">#REF!</definedName>
    <definedName name="DATA13">#REF!</definedName>
    <definedName name="DATA14" localSheetId="16">#REF!</definedName>
    <definedName name="DATA14" localSheetId="17">#REF!</definedName>
    <definedName name="DATA14" localSheetId="22">#REF!</definedName>
    <definedName name="DATA14">#REF!</definedName>
    <definedName name="DATA15" localSheetId="16">#REF!</definedName>
    <definedName name="DATA15" localSheetId="17">#REF!</definedName>
    <definedName name="DATA15" localSheetId="22">#REF!</definedName>
    <definedName name="DATA15">#REF!</definedName>
    <definedName name="DATA16" localSheetId="16">#REF!</definedName>
    <definedName name="DATA16" localSheetId="17">#REF!</definedName>
    <definedName name="DATA16" localSheetId="22">#REF!</definedName>
    <definedName name="DATA16">#REF!</definedName>
    <definedName name="DATA17" localSheetId="16">#REF!</definedName>
    <definedName name="DATA17" localSheetId="17">#REF!</definedName>
    <definedName name="DATA17" localSheetId="22">#REF!</definedName>
    <definedName name="DATA17">#REF!</definedName>
    <definedName name="DATA2" localSheetId="16">#REF!</definedName>
    <definedName name="DATA2" localSheetId="17">#REF!</definedName>
    <definedName name="DATA2" localSheetId="22">#REF!</definedName>
    <definedName name="DATA2">#REF!</definedName>
    <definedName name="DATA3" localSheetId="16">#REF!</definedName>
    <definedName name="DATA3" localSheetId="17">#REF!</definedName>
    <definedName name="DATA3" localSheetId="22">#REF!</definedName>
    <definedName name="DATA3">#REF!</definedName>
    <definedName name="DATA4" localSheetId="16">#REF!</definedName>
    <definedName name="DATA4" localSheetId="17">#REF!</definedName>
    <definedName name="DATA4" localSheetId="22">#REF!</definedName>
    <definedName name="DATA4">#REF!</definedName>
    <definedName name="DATA5" localSheetId="16">#REF!</definedName>
    <definedName name="DATA5" localSheetId="17">#REF!</definedName>
    <definedName name="DATA5" localSheetId="22">#REF!</definedName>
    <definedName name="DATA5">#REF!</definedName>
    <definedName name="DATA6" localSheetId="16">#REF!</definedName>
    <definedName name="DATA6" localSheetId="17">#REF!</definedName>
    <definedName name="DATA6" localSheetId="22">#REF!</definedName>
    <definedName name="DATA6">#REF!</definedName>
    <definedName name="DATA7" localSheetId="16">#REF!</definedName>
    <definedName name="DATA7" localSheetId="17">#REF!</definedName>
    <definedName name="DATA7" localSheetId="22">#REF!</definedName>
    <definedName name="DATA7">#REF!</definedName>
    <definedName name="DATA8" localSheetId="16">#REF!</definedName>
    <definedName name="DATA8" localSheetId="17">#REF!</definedName>
    <definedName name="DATA8" localSheetId="22">#REF!</definedName>
    <definedName name="DATA8">#REF!</definedName>
    <definedName name="DATA9" localSheetId="16">#REF!</definedName>
    <definedName name="DATA9" localSheetId="17">#REF!</definedName>
    <definedName name="DATA9" localSheetId="22">#REF!</definedName>
    <definedName name="DATA9">#REF!</definedName>
    <definedName name="Feedstock">Datasheet!$A$2:$A$5</definedName>
    <definedName name="financialcalcs" localSheetId="7">#REF!</definedName>
    <definedName name="financialcalcs">#REF!</definedName>
    <definedName name="leverage" localSheetId="7">#REF!</definedName>
    <definedName name="leverage">#REF!</definedName>
    <definedName name="limcount" hidden="1">2</definedName>
    <definedName name="MOD_prices">'[1]Pricing - Current'!$3:$74</definedName>
    <definedName name="PortionInDeal" localSheetId="7">#REF!</definedName>
    <definedName name="PortionInDeal">#REF!</definedName>
    <definedName name="Price_chart" localSheetId="7">#REF!</definedName>
    <definedName name="Price_chart">#REF!</definedName>
    <definedName name="Prices_cmai" localSheetId="7">#REF!</definedName>
    <definedName name="Prices_cmai">#REF!</definedName>
    <definedName name="_xlnm.Print_Area" localSheetId="17">Planning!$B$37:$I$58</definedName>
    <definedName name="_xlnm.Print_Area" localSheetId="10">Yield_OPaL!$A$1:$E$17</definedName>
    <definedName name="product" localSheetId="7">#REF!</definedName>
    <definedName name="product" localSheetId="16">#REF!</definedName>
    <definedName name="product" localSheetId="17">#REF!</definedName>
    <definedName name="product" localSheetId="22">#REF!</definedName>
    <definedName name="product">#REF!</definedName>
    <definedName name="Product2">#REF!</definedName>
    <definedName name="quantity">[2]Terms!$C$1</definedName>
    <definedName name="rate" localSheetId="7">#REF!</definedName>
    <definedName name="rate">#REF!</definedName>
    <definedName name="ReportTitle1" localSheetId="7">#REF!</definedName>
    <definedName name="ReportTitle1">#REF!</definedName>
    <definedName name="RowDetails1" localSheetId="7">#REF!</definedName>
    <definedName name="RowDetails1">#REF!</definedName>
    <definedName name="sencount" hidden="1">2</definedName>
    <definedName name="Site" localSheetId="7">#REF!</definedName>
    <definedName name="Site" localSheetId="16">#REF!</definedName>
    <definedName name="Site" localSheetId="17">#REF!</definedName>
    <definedName name="Site" localSheetId="22">#REF!</definedName>
    <definedName name="Site">#REF!</definedName>
    <definedName name="solver_adj" localSheetId="4" hidden="1">'DFCU-AU Production'!$C$44:$N$44</definedName>
    <definedName name="solver_adj" localSheetId="32" hidden="1">'Phenol Price Prediction'!$H$1:$J$1</definedName>
    <definedName name="solver_adj" localSheetId="2" hidden="1">Sheet1!$W$41</definedName>
    <definedName name="solver_cvg" localSheetId="4" hidden="1">0.0001</definedName>
    <definedName name="solver_cvg" localSheetId="32" hidden="1">0.0001</definedName>
    <definedName name="solver_cvg" localSheetId="2" hidden="1">0.0001</definedName>
    <definedName name="solver_drv" localSheetId="4" hidden="1">1</definedName>
    <definedName name="solver_drv" localSheetId="32" hidden="1">1</definedName>
    <definedName name="solver_drv" localSheetId="2" hidden="1">1</definedName>
    <definedName name="solver_eng" localSheetId="4" hidden="1">1</definedName>
    <definedName name="solver_eng" localSheetId="32" hidden="1">1</definedName>
    <definedName name="solver_eng" localSheetId="2" hidden="1">1</definedName>
    <definedName name="solver_est" localSheetId="4" hidden="1">1</definedName>
    <definedName name="solver_est" localSheetId="32" hidden="1">1</definedName>
    <definedName name="solver_est" localSheetId="2" hidden="1">1</definedName>
    <definedName name="solver_itr" localSheetId="4" hidden="1">2147483647</definedName>
    <definedName name="solver_itr" localSheetId="32" hidden="1">2147483647</definedName>
    <definedName name="solver_itr" localSheetId="2" hidden="1">2147483647</definedName>
    <definedName name="solver_lhs1" localSheetId="4" hidden="1">'DFCU-AU Production'!$C$31:$N$31</definedName>
    <definedName name="solver_lhs1" localSheetId="32" hidden="1">'Phenol Price Prediction'!$F$2:$F$18</definedName>
    <definedName name="solver_mip" localSheetId="4" hidden="1">2147483647</definedName>
    <definedName name="solver_mip" localSheetId="32" hidden="1">2147483647</definedName>
    <definedName name="solver_mip" localSheetId="2" hidden="1">2147483647</definedName>
    <definedName name="solver_mni" localSheetId="4" hidden="1">30</definedName>
    <definedName name="solver_mni" localSheetId="32" hidden="1">30</definedName>
    <definedName name="solver_mni" localSheetId="2" hidden="1">30</definedName>
    <definedName name="solver_mrt" localSheetId="4" hidden="1">0.075</definedName>
    <definedName name="solver_mrt" localSheetId="32" hidden="1">0.075</definedName>
    <definedName name="solver_mrt" localSheetId="2" hidden="1">0.075</definedName>
    <definedName name="solver_msl" localSheetId="4" hidden="1">2</definedName>
    <definedName name="solver_msl" localSheetId="32" hidden="1">2</definedName>
    <definedName name="solver_msl" localSheetId="2" hidden="1">2</definedName>
    <definedName name="solver_neg" localSheetId="4" hidden="1">1</definedName>
    <definedName name="solver_neg" localSheetId="32" hidden="1">1</definedName>
    <definedName name="solver_neg" localSheetId="2" hidden="1">1</definedName>
    <definedName name="solver_nod" localSheetId="4" hidden="1">2147483647</definedName>
    <definedName name="solver_nod" localSheetId="32" hidden="1">2147483647</definedName>
    <definedName name="solver_nod" localSheetId="2" hidden="1">2147483647</definedName>
    <definedName name="solver_num" localSheetId="4" hidden="1">1</definedName>
    <definedName name="solver_num" localSheetId="32" hidden="1">1</definedName>
    <definedName name="solver_num" localSheetId="2" hidden="1">0</definedName>
    <definedName name="solver_nwt" localSheetId="4" hidden="1">1</definedName>
    <definedName name="solver_nwt" localSheetId="32" hidden="1">1</definedName>
    <definedName name="solver_nwt" localSheetId="2" hidden="1">1</definedName>
    <definedName name="solver_opt" localSheetId="32" hidden="1">'Phenol Price Prediction'!$G$17</definedName>
    <definedName name="solver_opt" localSheetId="2" hidden="1">Sheet1!$Z$45</definedName>
    <definedName name="solver_pre" localSheetId="4" hidden="1">0.000001</definedName>
    <definedName name="solver_pre" localSheetId="32" hidden="1">0.1</definedName>
    <definedName name="solver_pre" localSheetId="2" hidden="1">0.000001</definedName>
    <definedName name="solver_rbv" localSheetId="4" hidden="1">1</definedName>
    <definedName name="solver_rbv" localSheetId="32" hidden="1">1</definedName>
    <definedName name="solver_rbv" localSheetId="2" hidden="1">1</definedName>
    <definedName name="solver_rel1" localSheetId="4" hidden="1">2</definedName>
    <definedName name="solver_rel1" localSheetId="32" hidden="1">2</definedName>
    <definedName name="solver_rhs1" localSheetId="4" hidden="1">'DFCU-AU Production'!$C$10:$N$10</definedName>
    <definedName name="solver_rhs1" localSheetId="32" hidden="1">'Phenol Price Prediction'!$G$2:$G$18</definedName>
    <definedName name="solver_rlx" localSheetId="4" hidden="1">2</definedName>
    <definedName name="solver_rlx" localSheetId="32" hidden="1">2</definedName>
    <definedName name="solver_rlx" localSheetId="2" hidden="1">2</definedName>
    <definedName name="solver_rsd" localSheetId="4" hidden="1">0</definedName>
    <definedName name="solver_rsd" localSheetId="32" hidden="1">0</definedName>
    <definedName name="solver_rsd" localSheetId="2" hidden="1">0</definedName>
    <definedName name="solver_scl" localSheetId="4" hidden="1">1</definedName>
    <definedName name="solver_scl" localSheetId="32" hidden="1">1</definedName>
    <definedName name="solver_scl" localSheetId="2" hidden="1">1</definedName>
    <definedName name="solver_sho" localSheetId="4" hidden="1">2</definedName>
    <definedName name="solver_sho" localSheetId="32" hidden="1">2</definedName>
    <definedName name="solver_sho" localSheetId="2" hidden="1">2</definedName>
    <definedName name="solver_ssz" localSheetId="4" hidden="1">100</definedName>
    <definedName name="solver_ssz" localSheetId="32" hidden="1">100</definedName>
    <definedName name="solver_ssz" localSheetId="2" hidden="1">100</definedName>
    <definedName name="solver_tim" localSheetId="4" hidden="1">2147483647</definedName>
    <definedName name="solver_tim" localSheetId="32" hidden="1">2147483647</definedName>
    <definedName name="solver_tim" localSheetId="2" hidden="1">2147483647</definedName>
    <definedName name="solver_tol" localSheetId="4" hidden="1">0.01</definedName>
    <definedName name="solver_tol" localSheetId="32" hidden="1">0.01</definedName>
    <definedName name="solver_tol" localSheetId="2" hidden="1">0.01</definedName>
    <definedName name="solver_typ" localSheetId="4" hidden="1">1</definedName>
    <definedName name="solver_typ" localSheetId="32" hidden="1">1</definedName>
    <definedName name="solver_typ" localSheetId="2" hidden="1">3</definedName>
    <definedName name="solver_val" localSheetId="4" hidden="1">0</definedName>
    <definedName name="solver_val" localSheetId="32" hidden="1">0</definedName>
    <definedName name="solver_val" localSheetId="2" hidden="1">6970</definedName>
    <definedName name="solver_ver" localSheetId="4" hidden="1">3</definedName>
    <definedName name="solver_ver" localSheetId="32" hidden="1">3</definedName>
    <definedName name="solver_ver" localSheetId="2" hidden="1">3</definedName>
    <definedName name="Table" localSheetId="7">#REF!</definedName>
    <definedName name="Table">#REF!</definedName>
    <definedName name="Term" localSheetId="7">#REF!</definedName>
    <definedName name="Term">#REF!</definedName>
    <definedName name="TermDiscperiods" localSheetId="7">#REF!</definedName>
    <definedName name="TermDiscperiods">#REF!</definedName>
    <definedName name="TEST1" localSheetId="16">#REF!</definedName>
    <definedName name="TEST1" localSheetId="17">#REF!</definedName>
    <definedName name="TEST1" localSheetId="22">#REF!</definedName>
    <definedName name="TEST1">#REF!</definedName>
    <definedName name="TEST2" localSheetId="16">#REF!</definedName>
    <definedName name="TEST2" localSheetId="17">#REF!</definedName>
    <definedName name="TEST2" localSheetId="22">#REF!</definedName>
    <definedName name="TEST2">#REF!</definedName>
    <definedName name="TEST3" localSheetId="16">#REF!</definedName>
    <definedName name="TEST3" localSheetId="17">#REF!</definedName>
    <definedName name="TEST3" localSheetId="22">#REF!</definedName>
    <definedName name="TEST3">#REF!</definedName>
    <definedName name="TESTHKEY" localSheetId="16">#REF!</definedName>
    <definedName name="TESTHKEY" localSheetId="17">#REF!</definedName>
    <definedName name="TESTHKEY" localSheetId="22">#REF!</definedName>
    <definedName name="TESTHKEY">#REF!</definedName>
    <definedName name="TESTKEYS" localSheetId="16">#REF!</definedName>
    <definedName name="TESTKEYS" localSheetId="17">#REF!</definedName>
    <definedName name="TESTKEYS" localSheetId="22">#REF!</definedName>
    <definedName name="TESTKEYS">#REF!</definedName>
    <definedName name="TESTVKEY" localSheetId="16">#REF!</definedName>
    <definedName name="TESTVKEY" localSheetId="17">#REF!</definedName>
    <definedName name="TESTVKEY" localSheetId="22">#REF!</definedName>
    <definedName name="TESTVKEY">#REF!</definedName>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pivotCaches>
    <pivotCache cacheId="0" r:id="rId4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e3ee68c7-fb1a-43c9-bff3-3113f1bf7f52" name="Range" connection="WorksheetConnection_Sheet2!$A:$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44" l="1"/>
  <c r="B31" i="40"/>
  <c r="B33" i="40"/>
  <c r="B18" i="40"/>
  <c r="G3" i="41"/>
  <c r="C2" i="41" s="1"/>
  <c r="F27" i="44"/>
  <c r="G27" i="44" s="1"/>
  <c r="B26" i="44"/>
  <c r="F25" i="44"/>
  <c r="G25" i="44" s="1"/>
  <c r="B25" i="44"/>
  <c r="B24" i="44"/>
  <c r="F23" i="44"/>
  <c r="G23" i="44" s="1"/>
  <c r="B23" i="44"/>
  <c r="F22" i="44"/>
  <c r="G22" i="44" s="1"/>
  <c r="B22" i="44"/>
  <c r="F21" i="44"/>
  <c r="G21" i="44" s="1"/>
  <c r="B21" i="44"/>
  <c r="B20" i="44"/>
  <c r="B19" i="44"/>
  <c r="B18" i="44"/>
  <c r="F17" i="44"/>
  <c r="B17" i="44"/>
  <c r="F16" i="44"/>
  <c r="B16" i="44"/>
  <c r="G15" i="44"/>
  <c r="F15" i="44"/>
  <c r="G14" i="44"/>
  <c r="F14" i="44"/>
  <c r="G13" i="44"/>
  <c r="F13" i="44"/>
  <c r="G12" i="44"/>
  <c r="F12" i="44"/>
  <c r="G11" i="44"/>
  <c r="F11" i="44"/>
  <c r="B11" i="44"/>
  <c r="G10" i="44"/>
  <c r="F10" i="44"/>
  <c r="B10" i="44"/>
  <c r="G9" i="44"/>
  <c r="F9" i="44"/>
  <c r="B9" i="44"/>
  <c r="G8" i="44"/>
  <c r="F8" i="44"/>
  <c r="G7" i="44"/>
  <c r="F7" i="44"/>
  <c r="G6" i="44"/>
  <c r="F6" i="44"/>
  <c r="G5" i="44"/>
  <c r="F5" i="44"/>
  <c r="B5" i="44"/>
  <c r="F19" i="44" s="1"/>
  <c r="G4" i="44"/>
  <c r="F4" i="44"/>
  <c r="G3" i="44"/>
  <c r="F3" i="44"/>
  <c r="L2" i="44"/>
  <c r="J2" i="44"/>
  <c r="I2" i="44" s="1"/>
  <c r="B12" i="44" l="1"/>
  <c r="C23" i="44" s="1"/>
  <c r="B27" i="44"/>
  <c r="F24" i="44"/>
  <c r="F26" i="44" s="1"/>
  <c r="G26" i="44" s="1"/>
  <c r="C26" i="44" l="1"/>
  <c r="C17" i="44"/>
  <c r="C19" i="44"/>
  <c r="C20" i="44"/>
  <c r="C16" i="44"/>
  <c r="C24" i="44"/>
  <c r="C25" i="44"/>
  <c r="C22" i="44"/>
  <c r="C18" i="44"/>
  <c r="C21" i="44"/>
  <c r="G24" i="44"/>
  <c r="M2" i="44"/>
  <c r="C27" i="44" l="1"/>
  <c r="D74" i="38" l="1"/>
  <c r="AW71" i="38"/>
  <c r="AW72" i="38"/>
  <c r="AW73" i="38"/>
  <c r="AV74" i="38"/>
  <c r="AU74" i="38"/>
  <c r="AT74" i="38"/>
  <c r="AS74" i="38"/>
  <c r="AR74" i="38"/>
  <c r="AQ74" i="38"/>
  <c r="AP74" i="38"/>
  <c r="AO74" i="38"/>
  <c r="AN74" i="38"/>
  <c r="AM74" i="38"/>
  <c r="AL74" i="38"/>
  <c r="AK74" i="38"/>
  <c r="AJ74" i="38"/>
  <c r="AI74" i="38"/>
  <c r="AH74" i="38"/>
  <c r="AG74" i="38"/>
  <c r="AF74" i="38"/>
  <c r="AE74" i="38"/>
  <c r="AD74" i="38"/>
  <c r="AC74" i="38"/>
  <c r="AB74" i="38"/>
  <c r="AA74" i="38"/>
  <c r="Z74" i="38"/>
  <c r="Y74" i="38"/>
  <c r="X74" i="38"/>
  <c r="W74" i="38"/>
  <c r="V74" i="38"/>
  <c r="U74" i="38"/>
  <c r="T74" i="38"/>
  <c r="S74" i="38"/>
  <c r="R74" i="38"/>
  <c r="Q74" i="38"/>
  <c r="P74" i="38"/>
  <c r="O74" i="38"/>
  <c r="N74" i="38"/>
  <c r="M74" i="38"/>
  <c r="L74" i="38"/>
  <c r="K74" i="38"/>
  <c r="J74" i="38"/>
  <c r="I74" i="38"/>
  <c r="H74" i="38"/>
  <c r="G74" i="38"/>
  <c r="F74" i="38"/>
  <c r="E74" i="38"/>
  <c r="F110" i="38"/>
  <c r="G110" i="38"/>
  <c r="H110" i="38"/>
  <c r="I110" i="38"/>
  <c r="J110" i="38"/>
  <c r="K110" i="38"/>
  <c r="L110" i="38"/>
  <c r="M110" i="38"/>
  <c r="N110" i="38"/>
  <c r="O110" i="38"/>
  <c r="P110" i="38"/>
  <c r="Q110" i="38"/>
  <c r="R110" i="38"/>
  <c r="S110" i="38"/>
  <c r="T110" i="38"/>
  <c r="U110" i="38"/>
  <c r="V110" i="38"/>
  <c r="W110" i="38"/>
  <c r="X110" i="38"/>
  <c r="Y110" i="38"/>
  <c r="Z110" i="38"/>
  <c r="AA110" i="38"/>
  <c r="AB110" i="38"/>
  <c r="AC110" i="38"/>
  <c r="AD110" i="38"/>
  <c r="AE110" i="38"/>
  <c r="AF110" i="38"/>
  <c r="AG110" i="38"/>
  <c r="AH110" i="38"/>
  <c r="AI110" i="38"/>
  <c r="AJ110" i="38"/>
  <c r="AK110" i="38"/>
  <c r="AL110" i="38"/>
  <c r="AM110" i="38"/>
  <c r="AN110" i="38"/>
  <c r="AO110" i="38"/>
  <c r="AP110" i="38"/>
  <c r="AQ110" i="38"/>
  <c r="AR110" i="38"/>
  <c r="AS110" i="38"/>
  <c r="AT110" i="38"/>
  <c r="AU110" i="38"/>
  <c r="AV110" i="38"/>
  <c r="E110" i="38"/>
  <c r="D110" i="38"/>
  <c r="E76" i="38"/>
  <c r="F76" i="38"/>
  <c r="G76" i="38"/>
  <c r="H76" i="38"/>
  <c r="I76" i="38"/>
  <c r="J76" i="38"/>
  <c r="K76" i="38"/>
  <c r="L76" i="38"/>
  <c r="M76" i="38"/>
  <c r="N76" i="38"/>
  <c r="O76" i="38"/>
  <c r="P76" i="38"/>
  <c r="Q76" i="38"/>
  <c r="R76" i="38"/>
  <c r="S76" i="38"/>
  <c r="T76" i="38"/>
  <c r="U76" i="38"/>
  <c r="V76" i="38"/>
  <c r="W76" i="38"/>
  <c r="X76" i="38"/>
  <c r="Y76" i="38"/>
  <c r="Z76" i="38"/>
  <c r="AA76" i="38"/>
  <c r="AB76" i="38"/>
  <c r="AC76" i="38"/>
  <c r="AD76" i="38"/>
  <c r="AE76" i="38"/>
  <c r="AF76" i="38"/>
  <c r="AG76" i="38"/>
  <c r="AH76" i="38"/>
  <c r="AI76" i="38"/>
  <c r="AJ76" i="38"/>
  <c r="AK76" i="38"/>
  <c r="AL76" i="38"/>
  <c r="AM76" i="38"/>
  <c r="AN76" i="38"/>
  <c r="AO76" i="38"/>
  <c r="AP76" i="38"/>
  <c r="AQ76" i="38"/>
  <c r="AR76" i="38"/>
  <c r="AS76" i="38"/>
  <c r="AT76" i="38"/>
  <c r="AU76" i="38"/>
  <c r="AV76" i="38"/>
  <c r="E77" i="38"/>
  <c r="F77" i="38"/>
  <c r="G77" i="38"/>
  <c r="H77" i="38"/>
  <c r="I77" i="38"/>
  <c r="J77" i="38"/>
  <c r="K77" i="38"/>
  <c r="L77" i="38"/>
  <c r="M77" i="38"/>
  <c r="N77" i="38"/>
  <c r="O77" i="38"/>
  <c r="P77" i="38"/>
  <c r="Q77" i="38"/>
  <c r="R77" i="38"/>
  <c r="S77" i="38"/>
  <c r="T77" i="38"/>
  <c r="U77" i="38"/>
  <c r="V77" i="38"/>
  <c r="W77" i="38"/>
  <c r="X77" i="38"/>
  <c r="Y77" i="38"/>
  <c r="Z77" i="38"/>
  <c r="AA77" i="38"/>
  <c r="AB77" i="38"/>
  <c r="AC77" i="38"/>
  <c r="AD77" i="38"/>
  <c r="AE77" i="38"/>
  <c r="AF77" i="38"/>
  <c r="AG77" i="38"/>
  <c r="AH77" i="38"/>
  <c r="AI77" i="38"/>
  <c r="AJ77" i="38"/>
  <c r="AK77" i="38"/>
  <c r="AL77" i="38"/>
  <c r="AM77" i="38"/>
  <c r="AN77" i="38"/>
  <c r="AO77" i="38"/>
  <c r="AP77" i="38"/>
  <c r="AQ77" i="38"/>
  <c r="AR77" i="38"/>
  <c r="AS77" i="38"/>
  <c r="AT77" i="38"/>
  <c r="AU77" i="38"/>
  <c r="AV77" i="38"/>
  <c r="E78" i="38"/>
  <c r="F78" i="38"/>
  <c r="G78" i="38"/>
  <c r="H78" i="38"/>
  <c r="I78" i="38"/>
  <c r="J78" i="38"/>
  <c r="K78" i="38"/>
  <c r="L78" i="38"/>
  <c r="M78" i="38"/>
  <c r="N78" i="38"/>
  <c r="O78" i="38"/>
  <c r="P78" i="38"/>
  <c r="Q78" i="38"/>
  <c r="R78" i="38"/>
  <c r="S78" i="38"/>
  <c r="T78" i="38"/>
  <c r="U78" i="38"/>
  <c r="V78" i="38"/>
  <c r="W78" i="38"/>
  <c r="X78" i="38"/>
  <c r="Y78" i="38"/>
  <c r="Z78" i="38"/>
  <c r="AA78" i="38"/>
  <c r="AB78" i="38"/>
  <c r="AC78" i="38"/>
  <c r="AD78" i="38"/>
  <c r="AE78" i="38"/>
  <c r="AF78" i="38"/>
  <c r="AG78" i="38"/>
  <c r="AH78" i="38"/>
  <c r="AI78" i="38"/>
  <c r="AJ78" i="38"/>
  <c r="AK78" i="38"/>
  <c r="AL78" i="38"/>
  <c r="AM78" i="38"/>
  <c r="AN78" i="38"/>
  <c r="AO78" i="38"/>
  <c r="AP78" i="38"/>
  <c r="AQ78" i="38"/>
  <c r="AR78" i="38"/>
  <c r="AS78" i="38"/>
  <c r="AT78" i="38"/>
  <c r="AU78" i="38"/>
  <c r="AV78"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AG79" i="38"/>
  <c r="AH79" i="38"/>
  <c r="AI79" i="38"/>
  <c r="AJ79" i="38"/>
  <c r="AK79" i="38"/>
  <c r="AL79" i="38"/>
  <c r="AM79" i="38"/>
  <c r="AN79" i="38"/>
  <c r="AO79" i="38"/>
  <c r="AP79" i="38"/>
  <c r="AQ79" i="38"/>
  <c r="AR79" i="38"/>
  <c r="AS79" i="38"/>
  <c r="AT79" i="38"/>
  <c r="AU79" i="38"/>
  <c r="AV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AG80" i="38"/>
  <c r="AH80" i="38"/>
  <c r="AI80" i="38"/>
  <c r="AJ80" i="38"/>
  <c r="AK80" i="38"/>
  <c r="AL80" i="38"/>
  <c r="AM80" i="38"/>
  <c r="AN80" i="38"/>
  <c r="AO80" i="38"/>
  <c r="AP80" i="38"/>
  <c r="AQ80" i="38"/>
  <c r="AR80" i="38"/>
  <c r="AS80" i="38"/>
  <c r="AT80" i="38"/>
  <c r="AU80" i="38"/>
  <c r="AV80" i="38"/>
  <c r="E85" i="38"/>
  <c r="F85" i="38"/>
  <c r="G85" i="38"/>
  <c r="H85" i="38"/>
  <c r="I85" i="38"/>
  <c r="J85" i="38"/>
  <c r="K85" i="38"/>
  <c r="L85" i="38"/>
  <c r="M85" i="38"/>
  <c r="N85" i="38"/>
  <c r="O85" i="38"/>
  <c r="P85" i="38"/>
  <c r="Q85" i="38"/>
  <c r="R85" i="38"/>
  <c r="S85" i="38"/>
  <c r="T85" i="38"/>
  <c r="U85" i="38"/>
  <c r="V85" i="38"/>
  <c r="W85" i="38"/>
  <c r="X85" i="38"/>
  <c r="Y85" i="38"/>
  <c r="Z85" i="38"/>
  <c r="AA85" i="38"/>
  <c r="AB85" i="38"/>
  <c r="AC85" i="38"/>
  <c r="AD85" i="38"/>
  <c r="AE85" i="38"/>
  <c r="AF85" i="38"/>
  <c r="AG85" i="38"/>
  <c r="AH85" i="38"/>
  <c r="AI85" i="38"/>
  <c r="AJ85" i="38"/>
  <c r="AK85" i="38"/>
  <c r="AL85" i="38"/>
  <c r="AM85" i="38"/>
  <c r="AN85" i="38"/>
  <c r="AO85" i="38"/>
  <c r="AP85" i="38"/>
  <c r="AQ85" i="38"/>
  <c r="AR85" i="38"/>
  <c r="AS85" i="38"/>
  <c r="AT85" i="38"/>
  <c r="AU85" i="38"/>
  <c r="AV85" i="38"/>
  <c r="D85" i="38"/>
  <c r="D80" i="38"/>
  <c r="D79" i="38"/>
  <c r="D78" i="38"/>
  <c r="D77" i="38"/>
  <c r="D76" i="38"/>
  <c r="E47" i="38"/>
  <c r="E54" i="38" s="1"/>
  <c r="E106" i="38" s="1"/>
  <c r="F47" i="38"/>
  <c r="F54" i="38" s="1"/>
  <c r="F106" i="38" s="1"/>
  <c r="G47" i="38"/>
  <c r="G54" i="38" s="1"/>
  <c r="G106" i="38" s="1"/>
  <c r="H47" i="38"/>
  <c r="I47" i="38"/>
  <c r="J47" i="38"/>
  <c r="K47" i="38"/>
  <c r="L47" i="38"/>
  <c r="M47" i="38"/>
  <c r="M54" i="38" s="1"/>
  <c r="M106" i="38" s="1"/>
  <c r="N47" i="38"/>
  <c r="N54" i="38" s="1"/>
  <c r="N106" i="38" s="1"/>
  <c r="O47" i="38"/>
  <c r="O54" i="38" s="1"/>
  <c r="O106" i="38" s="1"/>
  <c r="P47" i="38"/>
  <c r="Q47" i="38"/>
  <c r="R47" i="38"/>
  <c r="S47" i="38"/>
  <c r="T47" i="38"/>
  <c r="U47" i="38"/>
  <c r="U54" i="38" s="1"/>
  <c r="U106" i="38" s="1"/>
  <c r="V47" i="38"/>
  <c r="V54" i="38" s="1"/>
  <c r="V106" i="38" s="1"/>
  <c r="W47" i="38"/>
  <c r="W54" i="38" s="1"/>
  <c r="W106" i="38" s="1"/>
  <c r="X47" i="38"/>
  <c r="Y47" i="38"/>
  <c r="Z47" i="38"/>
  <c r="AA47" i="38"/>
  <c r="AB47" i="38"/>
  <c r="AC47" i="38"/>
  <c r="AC54" i="38" s="1"/>
  <c r="AC106" i="38" s="1"/>
  <c r="AD47" i="38"/>
  <c r="AD54" i="38" s="1"/>
  <c r="AD106" i="38" s="1"/>
  <c r="AE47" i="38"/>
  <c r="AE54" i="38" s="1"/>
  <c r="AE106" i="38" s="1"/>
  <c r="AF47" i="38"/>
  <c r="AG47" i="38"/>
  <c r="AH47" i="38"/>
  <c r="AI47" i="38"/>
  <c r="AJ47" i="38"/>
  <c r="AK47" i="38"/>
  <c r="AK54" i="38" s="1"/>
  <c r="AK106" i="38" s="1"/>
  <c r="AL47" i="38"/>
  <c r="AL54" i="38" s="1"/>
  <c r="AL106" i="38" s="1"/>
  <c r="AM47" i="38"/>
  <c r="AM54" i="38" s="1"/>
  <c r="AM106" i="38" s="1"/>
  <c r="AN47" i="38"/>
  <c r="AO47" i="38"/>
  <c r="AP47" i="38"/>
  <c r="AQ47" i="38"/>
  <c r="AR47" i="38"/>
  <c r="AS47" i="38"/>
  <c r="AS54" i="38" s="1"/>
  <c r="AS106" i="38" s="1"/>
  <c r="AT47" i="38"/>
  <c r="AT54" i="38" s="1"/>
  <c r="AT106" i="38" s="1"/>
  <c r="AU47" i="38"/>
  <c r="AU54" i="38" s="1"/>
  <c r="AU106" i="38" s="1"/>
  <c r="AV47" i="38"/>
  <c r="E48" i="38"/>
  <c r="F48" i="38"/>
  <c r="G48" i="38"/>
  <c r="H48" i="38"/>
  <c r="I48" i="38"/>
  <c r="J48" i="38"/>
  <c r="K48" i="38"/>
  <c r="L48" i="38"/>
  <c r="M48" i="38"/>
  <c r="N48" i="38"/>
  <c r="O48" i="38"/>
  <c r="P48" i="38"/>
  <c r="Q48" i="38"/>
  <c r="R48" i="38"/>
  <c r="S48" i="38"/>
  <c r="T48" i="38"/>
  <c r="U48" i="38"/>
  <c r="V48" i="38"/>
  <c r="W48" i="38"/>
  <c r="X48" i="38"/>
  <c r="Y48" i="38"/>
  <c r="Z48" i="38"/>
  <c r="AA48" i="38"/>
  <c r="AB48" i="38"/>
  <c r="AC48" i="38"/>
  <c r="AD48" i="38"/>
  <c r="AE48" i="38"/>
  <c r="AF48" i="38"/>
  <c r="AG48" i="38"/>
  <c r="AH48" i="38"/>
  <c r="AI48" i="38"/>
  <c r="AJ48" i="38"/>
  <c r="AK48" i="38"/>
  <c r="AL48" i="38"/>
  <c r="AM48" i="38"/>
  <c r="AN48" i="38"/>
  <c r="AO48" i="38"/>
  <c r="AP48" i="38"/>
  <c r="AQ48" i="38"/>
  <c r="AR48" i="38"/>
  <c r="AS48" i="38"/>
  <c r="AT48" i="38"/>
  <c r="AU48" i="38"/>
  <c r="AV48" i="38"/>
  <c r="E49" i="38"/>
  <c r="F49" i="38"/>
  <c r="G49" i="38"/>
  <c r="H49" i="38"/>
  <c r="I49" i="38"/>
  <c r="J49" i="38"/>
  <c r="K49" i="38"/>
  <c r="L49" i="38"/>
  <c r="M49" i="38"/>
  <c r="N49" i="38"/>
  <c r="O49" i="38"/>
  <c r="P49" i="38"/>
  <c r="Q49" i="38"/>
  <c r="R49" i="38"/>
  <c r="S49" i="38"/>
  <c r="T49" i="38"/>
  <c r="U49" i="38"/>
  <c r="V49" i="38"/>
  <c r="W49" i="38"/>
  <c r="X49" i="38"/>
  <c r="Y49" i="38"/>
  <c r="Z49" i="38"/>
  <c r="AA49" i="38"/>
  <c r="AB49" i="38"/>
  <c r="AC49" i="38"/>
  <c r="AD49" i="38"/>
  <c r="AE49" i="38"/>
  <c r="AF49" i="38"/>
  <c r="AG49" i="38"/>
  <c r="AH49" i="38"/>
  <c r="AI49" i="38"/>
  <c r="AJ49" i="38"/>
  <c r="AK49" i="38"/>
  <c r="AL49" i="38"/>
  <c r="AM49" i="38"/>
  <c r="AN49" i="38"/>
  <c r="AO49" i="38"/>
  <c r="AP49" i="38"/>
  <c r="AQ49" i="38"/>
  <c r="AR49" i="38"/>
  <c r="AS49" i="38"/>
  <c r="AT49" i="38"/>
  <c r="AU49" i="38"/>
  <c r="AV49" i="38"/>
  <c r="E50" i="38"/>
  <c r="F50" i="38"/>
  <c r="G50" i="38"/>
  <c r="H50" i="38"/>
  <c r="I50" i="38"/>
  <c r="J50" i="38"/>
  <c r="K50" i="38"/>
  <c r="L50" i="38"/>
  <c r="M50" i="38"/>
  <c r="N50" i="38"/>
  <c r="O50" i="38"/>
  <c r="P50" i="38"/>
  <c r="Q50" i="38"/>
  <c r="R50" i="38"/>
  <c r="S50" i="38"/>
  <c r="T50" i="38"/>
  <c r="U50" i="38"/>
  <c r="V50" i="38"/>
  <c r="W50" i="38"/>
  <c r="X50" i="38"/>
  <c r="Y50" i="38"/>
  <c r="Z50" i="38"/>
  <c r="AA50" i="38"/>
  <c r="AB50" i="38"/>
  <c r="AC50" i="38"/>
  <c r="AD50" i="38"/>
  <c r="AE50" i="38"/>
  <c r="AF50" i="38"/>
  <c r="AG50" i="38"/>
  <c r="AH50" i="38"/>
  <c r="AI50" i="38"/>
  <c r="AJ50" i="38"/>
  <c r="AK50" i="38"/>
  <c r="AL50" i="38"/>
  <c r="AM50" i="38"/>
  <c r="AN50" i="38"/>
  <c r="AO50" i="38"/>
  <c r="AP50" i="38"/>
  <c r="AQ50" i="38"/>
  <c r="AR50" i="38"/>
  <c r="AS50" i="38"/>
  <c r="AT50" i="38"/>
  <c r="AU50" i="38"/>
  <c r="AV50" i="38"/>
  <c r="E51" i="38"/>
  <c r="F51" i="38"/>
  <c r="G51" i="38"/>
  <c r="H51" i="38"/>
  <c r="I51" i="38"/>
  <c r="J51" i="38"/>
  <c r="K51" i="38"/>
  <c r="L51" i="38"/>
  <c r="M51" i="38"/>
  <c r="N51" i="38"/>
  <c r="O51" i="38"/>
  <c r="P51" i="38"/>
  <c r="Q51" i="38"/>
  <c r="R51" i="38"/>
  <c r="S51" i="38"/>
  <c r="T51" i="38"/>
  <c r="U51" i="38"/>
  <c r="V51" i="38"/>
  <c r="W51" i="38"/>
  <c r="X51" i="38"/>
  <c r="Y51" i="38"/>
  <c r="Z51" i="38"/>
  <c r="AA51" i="38"/>
  <c r="AB51" i="38"/>
  <c r="AC51" i="38"/>
  <c r="AD51" i="38"/>
  <c r="AE51" i="38"/>
  <c r="AF51" i="38"/>
  <c r="AG51" i="38"/>
  <c r="AH51" i="38"/>
  <c r="AI51" i="38"/>
  <c r="AJ51" i="38"/>
  <c r="AK51" i="38"/>
  <c r="AL51" i="38"/>
  <c r="AM51" i="38"/>
  <c r="AN51" i="38"/>
  <c r="AO51" i="38"/>
  <c r="AP51" i="38"/>
  <c r="AQ51" i="38"/>
  <c r="AR51" i="38"/>
  <c r="AS51" i="38"/>
  <c r="AT51" i="38"/>
  <c r="AU51" i="38"/>
  <c r="AV51" i="38"/>
  <c r="E52" i="38"/>
  <c r="F52" i="38"/>
  <c r="G52" i="38"/>
  <c r="H52" i="38"/>
  <c r="I52" i="38"/>
  <c r="J52" i="38"/>
  <c r="K52" i="38"/>
  <c r="L52" i="38"/>
  <c r="M52" i="38"/>
  <c r="N52" i="38"/>
  <c r="O52" i="38"/>
  <c r="P52" i="38"/>
  <c r="Q52" i="38"/>
  <c r="R52" i="38"/>
  <c r="S52" i="38"/>
  <c r="T52" i="38"/>
  <c r="U52" i="38"/>
  <c r="V52" i="38"/>
  <c r="W52" i="38"/>
  <c r="X52" i="38"/>
  <c r="Y52" i="38"/>
  <c r="Z52" i="38"/>
  <c r="AA52" i="38"/>
  <c r="AB52" i="38"/>
  <c r="AC52" i="38"/>
  <c r="AD52" i="38"/>
  <c r="AE52" i="38"/>
  <c r="AF52" i="38"/>
  <c r="AG52" i="38"/>
  <c r="AH52" i="38"/>
  <c r="AI52" i="38"/>
  <c r="AJ52" i="38"/>
  <c r="AK52" i="38"/>
  <c r="AL52" i="38"/>
  <c r="AM52" i="38"/>
  <c r="AN52" i="38"/>
  <c r="AO52" i="38"/>
  <c r="AP52" i="38"/>
  <c r="AQ52" i="38"/>
  <c r="AR52" i="38"/>
  <c r="AS52" i="38"/>
  <c r="AT52" i="38"/>
  <c r="AU52" i="38"/>
  <c r="AV52" i="38"/>
  <c r="E53" i="38"/>
  <c r="F53" i="38"/>
  <c r="G53" i="38"/>
  <c r="H53" i="38"/>
  <c r="I53" i="38"/>
  <c r="J53" i="38"/>
  <c r="K53" i="38"/>
  <c r="L53" i="38"/>
  <c r="M53" i="38"/>
  <c r="N53" i="38"/>
  <c r="O53" i="38"/>
  <c r="P53" i="38"/>
  <c r="Q53" i="38"/>
  <c r="R53" i="38"/>
  <c r="S53" i="38"/>
  <c r="T53" i="38"/>
  <c r="U53" i="38"/>
  <c r="V53" i="38"/>
  <c r="W53" i="38"/>
  <c r="X53" i="38"/>
  <c r="Y53" i="38"/>
  <c r="Z53" i="38"/>
  <c r="AA53" i="38"/>
  <c r="AB53" i="38"/>
  <c r="AC53" i="38"/>
  <c r="AD53" i="38"/>
  <c r="AE53" i="38"/>
  <c r="AF53" i="38"/>
  <c r="AG53" i="38"/>
  <c r="AH53" i="38"/>
  <c r="AI53" i="38"/>
  <c r="AJ53" i="38"/>
  <c r="AK53" i="38"/>
  <c r="AL53" i="38"/>
  <c r="AM53" i="38"/>
  <c r="AN53" i="38"/>
  <c r="AO53" i="38"/>
  <c r="AP53" i="38"/>
  <c r="AQ53" i="38"/>
  <c r="AR53" i="38"/>
  <c r="AS53" i="38"/>
  <c r="AT53" i="38"/>
  <c r="AU53" i="38"/>
  <c r="AV53" i="38"/>
  <c r="H54" i="38"/>
  <c r="H106" i="38" s="1"/>
  <c r="I54" i="38"/>
  <c r="I106" i="38" s="1"/>
  <c r="J54" i="38"/>
  <c r="J106" i="38" s="1"/>
  <c r="K54" i="38"/>
  <c r="K106" i="38" s="1"/>
  <c r="L54" i="38"/>
  <c r="L106" i="38" s="1"/>
  <c r="P54" i="38"/>
  <c r="P106" i="38" s="1"/>
  <c r="Q54" i="38"/>
  <c r="Q106" i="38" s="1"/>
  <c r="R54" i="38"/>
  <c r="R106" i="38" s="1"/>
  <c r="S54" i="38"/>
  <c r="S106" i="38" s="1"/>
  <c r="T54" i="38"/>
  <c r="T106" i="38" s="1"/>
  <c r="X54" i="38"/>
  <c r="X106" i="38" s="1"/>
  <c r="Y54" i="38"/>
  <c r="Y106" i="38" s="1"/>
  <c r="Z54" i="38"/>
  <c r="Z106" i="38" s="1"/>
  <c r="AA54" i="38"/>
  <c r="AA106" i="38" s="1"/>
  <c r="AB54" i="38"/>
  <c r="AB106" i="38" s="1"/>
  <c r="AF54" i="38"/>
  <c r="AF106" i="38" s="1"/>
  <c r="AG54" i="38"/>
  <c r="AG106" i="38" s="1"/>
  <c r="AH54" i="38"/>
  <c r="AH106" i="38" s="1"/>
  <c r="AI54" i="38"/>
  <c r="AI106" i="38" s="1"/>
  <c r="AJ54" i="38"/>
  <c r="AJ106" i="38" s="1"/>
  <c r="AN54" i="38"/>
  <c r="AN106" i="38" s="1"/>
  <c r="AO54" i="38"/>
  <c r="AO106" i="38" s="1"/>
  <c r="AP54" i="38"/>
  <c r="AP106" i="38" s="1"/>
  <c r="AQ54" i="38"/>
  <c r="AQ106" i="38" s="1"/>
  <c r="AR54" i="38"/>
  <c r="AR106" i="38" s="1"/>
  <c r="AV54" i="38"/>
  <c r="AV106" i="38" s="1"/>
  <c r="E55" i="38"/>
  <c r="E104" i="38" s="1"/>
  <c r="F55" i="38"/>
  <c r="F104" i="38" s="1"/>
  <c r="G55" i="38"/>
  <c r="G104" i="38" s="1"/>
  <c r="H55" i="38"/>
  <c r="H104" i="38" s="1"/>
  <c r="I55" i="38"/>
  <c r="I104" i="38" s="1"/>
  <c r="J55" i="38"/>
  <c r="J104" i="38" s="1"/>
  <c r="K55" i="38"/>
  <c r="K104" i="38" s="1"/>
  <c r="L55" i="38"/>
  <c r="L104" i="38" s="1"/>
  <c r="M55" i="38"/>
  <c r="M104" i="38" s="1"/>
  <c r="N55" i="38"/>
  <c r="N104" i="38" s="1"/>
  <c r="O55" i="38"/>
  <c r="O104" i="38" s="1"/>
  <c r="P55" i="38"/>
  <c r="P104" i="38" s="1"/>
  <c r="Q55" i="38"/>
  <c r="Q104" i="38" s="1"/>
  <c r="R55" i="38"/>
  <c r="R104" i="38" s="1"/>
  <c r="S55" i="38"/>
  <c r="S104" i="38" s="1"/>
  <c r="T55" i="38"/>
  <c r="T104" i="38" s="1"/>
  <c r="U55" i="38"/>
  <c r="U104" i="38" s="1"/>
  <c r="V55" i="38"/>
  <c r="V104" i="38" s="1"/>
  <c r="W55" i="38"/>
  <c r="W104" i="38" s="1"/>
  <c r="X55" i="38"/>
  <c r="X104" i="38" s="1"/>
  <c r="Y55" i="38"/>
  <c r="Y104" i="38" s="1"/>
  <c r="Z55" i="38"/>
  <c r="Z104" i="38" s="1"/>
  <c r="AA55" i="38"/>
  <c r="AA104" i="38" s="1"/>
  <c r="AB55" i="38"/>
  <c r="AB104" i="38" s="1"/>
  <c r="AC55" i="38"/>
  <c r="AC104" i="38" s="1"/>
  <c r="AD55" i="38"/>
  <c r="AD104" i="38" s="1"/>
  <c r="AE55" i="38"/>
  <c r="AE104" i="38" s="1"/>
  <c r="AF55" i="38"/>
  <c r="AF104" i="38" s="1"/>
  <c r="AG55" i="38"/>
  <c r="AG104" i="38" s="1"/>
  <c r="AH55" i="38"/>
  <c r="AH104" i="38" s="1"/>
  <c r="AI55" i="38"/>
  <c r="AI104" i="38" s="1"/>
  <c r="AJ55" i="38"/>
  <c r="AJ104" i="38" s="1"/>
  <c r="AK55" i="38"/>
  <c r="AK104" i="38" s="1"/>
  <c r="AL55" i="38"/>
  <c r="AL104" i="38" s="1"/>
  <c r="AM55" i="38"/>
  <c r="AM104" i="38" s="1"/>
  <c r="AN55" i="38"/>
  <c r="AN104" i="38" s="1"/>
  <c r="AO55" i="38"/>
  <c r="AO104" i="38" s="1"/>
  <c r="AP55" i="38"/>
  <c r="AP104" i="38" s="1"/>
  <c r="AQ55" i="38"/>
  <c r="AQ104" i="38" s="1"/>
  <c r="AR55" i="38"/>
  <c r="AR104" i="38" s="1"/>
  <c r="AS55" i="38"/>
  <c r="AS104" i="38" s="1"/>
  <c r="AT55" i="38"/>
  <c r="AT104" i="38" s="1"/>
  <c r="AU55" i="38"/>
  <c r="AU104" i="38" s="1"/>
  <c r="AV55" i="38"/>
  <c r="AV104" i="38" s="1"/>
  <c r="E56" i="38"/>
  <c r="F56" i="38"/>
  <c r="F105" i="38" s="1"/>
  <c r="G56" i="38"/>
  <c r="G105" i="38" s="1"/>
  <c r="H56" i="38"/>
  <c r="H105" i="38" s="1"/>
  <c r="I56" i="38"/>
  <c r="I105" i="38" s="1"/>
  <c r="J56" i="38"/>
  <c r="J105" i="38" s="1"/>
  <c r="K56" i="38"/>
  <c r="K105" i="38" s="1"/>
  <c r="L56" i="38"/>
  <c r="L105" i="38" s="1"/>
  <c r="M56" i="38"/>
  <c r="M105" i="38" s="1"/>
  <c r="N56" i="38"/>
  <c r="N105" i="38" s="1"/>
  <c r="O56" i="38"/>
  <c r="O105" i="38" s="1"/>
  <c r="P56" i="38"/>
  <c r="P105" i="38" s="1"/>
  <c r="Q56" i="38"/>
  <c r="Q105" i="38" s="1"/>
  <c r="R56" i="38"/>
  <c r="R105" i="38" s="1"/>
  <c r="S56" i="38"/>
  <c r="S105" i="38" s="1"/>
  <c r="T56" i="38"/>
  <c r="T105" i="38" s="1"/>
  <c r="U56" i="38"/>
  <c r="U105" i="38" s="1"/>
  <c r="V56" i="38"/>
  <c r="V105" i="38" s="1"/>
  <c r="W56" i="38"/>
  <c r="W105" i="38" s="1"/>
  <c r="X56" i="38"/>
  <c r="X105" i="38" s="1"/>
  <c r="Y56" i="38"/>
  <c r="Y105" i="38" s="1"/>
  <c r="Z56" i="38"/>
  <c r="Z105" i="38" s="1"/>
  <c r="AA56" i="38"/>
  <c r="AA105" i="38" s="1"/>
  <c r="AB56" i="38"/>
  <c r="AB105" i="38" s="1"/>
  <c r="AC56" i="38"/>
  <c r="AC105" i="38" s="1"/>
  <c r="AD56" i="38"/>
  <c r="AD105" i="38" s="1"/>
  <c r="AE56" i="38"/>
  <c r="AE105" i="38" s="1"/>
  <c r="AF56" i="38"/>
  <c r="AF105" i="38" s="1"/>
  <c r="AG56" i="38"/>
  <c r="AG105" i="38" s="1"/>
  <c r="AH56" i="38"/>
  <c r="AH105" i="38" s="1"/>
  <c r="AI56" i="38"/>
  <c r="AI105" i="38" s="1"/>
  <c r="AJ56" i="38"/>
  <c r="AJ105" i="38" s="1"/>
  <c r="AK56" i="38"/>
  <c r="AK105" i="38" s="1"/>
  <c r="AL56" i="38"/>
  <c r="AL105" i="38" s="1"/>
  <c r="AM56" i="38"/>
  <c r="AM105" i="38" s="1"/>
  <c r="AN56" i="38"/>
  <c r="AN105" i="38" s="1"/>
  <c r="AO56" i="38"/>
  <c r="AO105" i="38" s="1"/>
  <c r="AP56" i="38"/>
  <c r="AP105" i="38" s="1"/>
  <c r="AQ56" i="38"/>
  <c r="AQ105" i="38" s="1"/>
  <c r="AR56" i="38"/>
  <c r="AR105" i="38" s="1"/>
  <c r="AS56" i="38"/>
  <c r="AS105" i="38" s="1"/>
  <c r="AT56" i="38"/>
  <c r="AT105" i="38" s="1"/>
  <c r="AU56" i="38"/>
  <c r="AU105" i="38" s="1"/>
  <c r="AV56" i="38"/>
  <c r="AV105" i="38" s="1"/>
  <c r="E57" i="38"/>
  <c r="E108" i="38" s="1"/>
  <c r="F57" i="38"/>
  <c r="F108" i="38" s="1"/>
  <c r="G57" i="38"/>
  <c r="G108" i="38" s="1"/>
  <c r="H57" i="38"/>
  <c r="H108" i="38" s="1"/>
  <c r="I57" i="38"/>
  <c r="I108" i="38" s="1"/>
  <c r="J57" i="38"/>
  <c r="J108" i="38" s="1"/>
  <c r="K57" i="38"/>
  <c r="K108" i="38" s="1"/>
  <c r="L57" i="38"/>
  <c r="L108" i="38" s="1"/>
  <c r="M57" i="38"/>
  <c r="M108" i="38" s="1"/>
  <c r="N57" i="38"/>
  <c r="N108" i="38" s="1"/>
  <c r="O57" i="38"/>
  <c r="O108" i="38" s="1"/>
  <c r="P57" i="38"/>
  <c r="P108" i="38" s="1"/>
  <c r="Q57" i="38"/>
  <c r="Q108" i="38" s="1"/>
  <c r="R57" i="38"/>
  <c r="R108" i="38" s="1"/>
  <c r="S57" i="38"/>
  <c r="S108" i="38" s="1"/>
  <c r="T57" i="38"/>
  <c r="T108" i="38" s="1"/>
  <c r="U57" i="38"/>
  <c r="U108" i="38" s="1"/>
  <c r="V57" i="38"/>
  <c r="V108" i="38" s="1"/>
  <c r="W57" i="38"/>
  <c r="W108" i="38" s="1"/>
  <c r="X57" i="38"/>
  <c r="X108" i="38" s="1"/>
  <c r="Y57" i="38"/>
  <c r="Y108" i="38" s="1"/>
  <c r="Z57" i="38"/>
  <c r="Z108" i="38" s="1"/>
  <c r="AA57" i="38"/>
  <c r="AA108" i="38" s="1"/>
  <c r="AB57" i="38"/>
  <c r="AB108" i="38" s="1"/>
  <c r="AC57" i="38"/>
  <c r="AC108" i="38" s="1"/>
  <c r="AD57" i="38"/>
  <c r="AD108" i="38" s="1"/>
  <c r="AE57" i="38"/>
  <c r="AE108" i="38" s="1"/>
  <c r="AF57" i="38"/>
  <c r="AF108" i="38" s="1"/>
  <c r="AG57" i="38"/>
  <c r="AG108" i="38" s="1"/>
  <c r="AH57" i="38"/>
  <c r="AH108" i="38" s="1"/>
  <c r="AI57" i="38"/>
  <c r="AI108" i="38" s="1"/>
  <c r="AJ57" i="38"/>
  <c r="AJ108" i="38" s="1"/>
  <c r="AK57" i="38"/>
  <c r="AK108" i="38" s="1"/>
  <c r="AL57" i="38"/>
  <c r="AL108" i="38" s="1"/>
  <c r="AM57" i="38"/>
  <c r="AM108" i="38" s="1"/>
  <c r="AN57" i="38"/>
  <c r="AN108" i="38" s="1"/>
  <c r="AO57" i="38"/>
  <c r="AO108" i="38" s="1"/>
  <c r="AP57" i="38"/>
  <c r="AP108" i="38" s="1"/>
  <c r="AQ57" i="38"/>
  <c r="AQ108" i="38" s="1"/>
  <c r="AR57" i="38"/>
  <c r="AR108" i="38" s="1"/>
  <c r="AS57" i="38"/>
  <c r="AS108" i="38" s="1"/>
  <c r="AT57" i="38"/>
  <c r="AT108" i="38" s="1"/>
  <c r="AU57" i="38"/>
  <c r="AU108" i="38" s="1"/>
  <c r="AV57" i="38"/>
  <c r="AV108" i="38" s="1"/>
  <c r="E58" i="38"/>
  <c r="E107" i="38" s="1"/>
  <c r="F58" i="38"/>
  <c r="F107" i="38" s="1"/>
  <c r="G58" i="38"/>
  <c r="G107" i="38" s="1"/>
  <c r="H58" i="38"/>
  <c r="H107" i="38" s="1"/>
  <c r="I58" i="38"/>
  <c r="I107" i="38" s="1"/>
  <c r="J58" i="38"/>
  <c r="J107" i="38" s="1"/>
  <c r="K58" i="38"/>
  <c r="K107" i="38" s="1"/>
  <c r="L58" i="38"/>
  <c r="L107" i="38" s="1"/>
  <c r="M58" i="38"/>
  <c r="M107" i="38" s="1"/>
  <c r="N58" i="38"/>
  <c r="N107" i="38" s="1"/>
  <c r="O58" i="38"/>
  <c r="O107" i="38" s="1"/>
  <c r="P58" i="38"/>
  <c r="P107" i="38" s="1"/>
  <c r="Q58" i="38"/>
  <c r="Q107" i="38" s="1"/>
  <c r="R58" i="38"/>
  <c r="R107" i="38" s="1"/>
  <c r="R109" i="38" s="1"/>
  <c r="S58" i="38"/>
  <c r="S107" i="38" s="1"/>
  <c r="T58" i="38"/>
  <c r="T107" i="38" s="1"/>
  <c r="U58" i="38"/>
  <c r="U107" i="38" s="1"/>
  <c r="V58" i="38"/>
  <c r="V107" i="38" s="1"/>
  <c r="W58" i="38"/>
  <c r="W107" i="38" s="1"/>
  <c r="X58" i="38"/>
  <c r="X107" i="38" s="1"/>
  <c r="Y58" i="38"/>
  <c r="Y107" i="38" s="1"/>
  <c r="Z58" i="38"/>
  <c r="Z107" i="38" s="1"/>
  <c r="AA58" i="38"/>
  <c r="AA107" i="38" s="1"/>
  <c r="AB58" i="38"/>
  <c r="AB107" i="38" s="1"/>
  <c r="AC58" i="38"/>
  <c r="AC107" i="38" s="1"/>
  <c r="AD58" i="38"/>
  <c r="AD107" i="38" s="1"/>
  <c r="AE58" i="38"/>
  <c r="AE107" i="38" s="1"/>
  <c r="AF58" i="38"/>
  <c r="AF107" i="38" s="1"/>
  <c r="AG58" i="38"/>
  <c r="AG107" i="38" s="1"/>
  <c r="AH58" i="38"/>
  <c r="AH107" i="38" s="1"/>
  <c r="AH109" i="38" s="1"/>
  <c r="AI58" i="38"/>
  <c r="AI107" i="38" s="1"/>
  <c r="AJ58" i="38"/>
  <c r="AJ107" i="38" s="1"/>
  <c r="AK58" i="38"/>
  <c r="AK107" i="38" s="1"/>
  <c r="AL58" i="38"/>
  <c r="AL107" i="38" s="1"/>
  <c r="AM58" i="38"/>
  <c r="AM107" i="38" s="1"/>
  <c r="AN58" i="38"/>
  <c r="AN107" i="38" s="1"/>
  <c r="AO58" i="38"/>
  <c r="AO107" i="38" s="1"/>
  <c r="AP58" i="38"/>
  <c r="AP107" i="38" s="1"/>
  <c r="AP109" i="38" s="1"/>
  <c r="AQ58" i="38"/>
  <c r="AQ107" i="38" s="1"/>
  <c r="AR58" i="38"/>
  <c r="AR107" i="38" s="1"/>
  <c r="AS58" i="38"/>
  <c r="AS107" i="38" s="1"/>
  <c r="AT58" i="38"/>
  <c r="AT107" i="38" s="1"/>
  <c r="AU58" i="38"/>
  <c r="AU107" i="38" s="1"/>
  <c r="AV58" i="38"/>
  <c r="AV107" i="38" s="1"/>
  <c r="D58" i="38"/>
  <c r="D57" i="38"/>
  <c r="D56" i="38"/>
  <c r="D105" i="38" s="1"/>
  <c r="D55" i="38"/>
  <c r="D53" i="38"/>
  <c r="D52" i="38"/>
  <c r="D51" i="38"/>
  <c r="D50" i="38"/>
  <c r="D49" i="38"/>
  <c r="D48" i="38"/>
  <c r="D47" i="38"/>
  <c r="D54" i="38" s="1"/>
  <c r="E35" i="38"/>
  <c r="F35" i="38"/>
  <c r="G35" i="38"/>
  <c r="H35" i="38"/>
  <c r="I35" i="38"/>
  <c r="J35" i="38"/>
  <c r="K35" i="38"/>
  <c r="L35" i="38"/>
  <c r="M35" i="38"/>
  <c r="N35" i="38"/>
  <c r="O35" i="38"/>
  <c r="P35" i="38"/>
  <c r="Q35" i="38"/>
  <c r="R35" i="38"/>
  <c r="S35" i="38"/>
  <c r="T35" i="38"/>
  <c r="U35" i="38"/>
  <c r="V35" i="38"/>
  <c r="W35" i="38"/>
  <c r="X35" i="38"/>
  <c r="Y35" i="38"/>
  <c r="Z35" i="38"/>
  <c r="AA35" i="38"/>
  <c r="AB35" i="38"/>
  <c r="AC35" i="38"/>
  <c r="AD35" i="38"/>
  <c r="AE35" i="38"/>
  <c r="AF35" i="38"/>
  <c r="AG35" i="38"/>
  <c r="AH35" i="38"/>
  <c r="AI35" i="38"/>
  <c r="AJ35" i="38"/>
  <c r="AK35" i="38"/>
  <c r="AL35" i="38"/>
  <c r="AM35" i="38"/>
  <c r="AN35" i="38"/>
  <c r="AO35" i="38"/>
  <c r="AP35" i="38"/>
  <c r="AQ35" i="38"/>
  <c r="AR35" i="38"/>
  <c r="AS35" i="38"/>
  <c r="AT35" i="38"/>
  <c r="AU35" i="38"/>
  <c r="AV35" i="38"/>
  <c r="E36" i="38"/>
  <c r="F36" i="38"/>
  <c r="G36" i="38"/>
  <c r="H36" i="38"/>
  <c r="I36" i="38"/>
  <c r="J36" i="38"/>
  <c r="K36" i="38"/>
  <c r="L36" i="38"/>
  <c r="M36" i="38"/>
  <c r="N36" i="38"/>
  <c r="O36" i="38"/>
  <c r="P36" i="38"/>
  <c r="Q36" i="38"/>
  <c r="R36" i="38"/>
  <c r="S36" i="38"/>
  <c r="T36" i="38"/>
  <c r="U36" i="38"/>
  <c r="V36" i="38"/>
  <c r="W36" i="38"/>
  <c r="X36" i="38"/>
  <c r="Y36" i="38"/>
  <c r="Z36" i="38"/>
  <c r="AA36" i="38"/>
  <c r="AB36" i="38"/>
  <c r="AC36" i="38"/>
  <c r="AD36" i="38"/>
  <c r="AE36" i="38"/>
  <c r="AF36" i="38"/>
  <c r="AG36" i="38"/>
  <c r="AH36" i="38"/>
  <c r="AI36" i="38"/>
  <c r="AJ36" i="38"/>
  <c r="AK36" i="38"/>
  <c r="AL36" i="38"/>
  <c r="AM36" i="38"/>
  <c r="AN36" i="38"/>
  <c r="AO36" i="38"/>
  <c r="AP36" i="38"/>
  <c r="AQ36" i="38"/>
  <c r="AR36" i="38"/>
  <c r="AS36" i="38"/>
  <c r="AT36" i="38"/>
  <c r="AU36" i="38"/>
  <c r="AV36" i="38"/>
  <c r="E37" i="38"/>
  <c r="F37" i="38"/>
  <c r="G37" i="38"/>
  <c r="H37" i="38"/>
  <c r="I37" i="38"/>
  <c r="J37" i="38"/>
  <c r="K37" i="38"/>
  <c r="L37" i="38"/>
  <c r="M37" i="38"/>
  <c r="N37" i="38"/>
  <c r="O37" i="38"/>
  <c r="P37" i="38"/>
  <c r="Q37" i="38"/>
  <c r="R37" i="38"/>
  <c r="S37" i="38"/>
  <c r="T37" i="38"/>
  <c r="U37" i="38"/>
  <c r="V37" i="38"/>
  <c r="W37" i="38"/>
  <c r="X37" i="38"/>
  <c r="Y37" i="38"/>
  <c r="Z37" i="38"/>
  <c r="AA37" i="38"/>
  <c r="AB37" i="38"/>
  <c r="AC37" i="38"/>
  <c r="AD37" i="38"/>
  <c r="AE37" i="38"/>
  <c r="AF37" i="38"/>
  <c r="AG37" i="38"/>
  <c r="AH37" i="38"/>
  <c r="AI37" i="38"/>
  <c r="AJ37" i="38"/>
  <c r="AK37" i="38"/>
  <c r="AL37" i="38"/>
  <c r="AM37" i="38"/>
  <c r="AN37" i="38"/>
  <c r="AO37" i="38"/>
  <c r="AP37" i="38"/>
  <c r="AQ37" i="38"/>
  <c r="AR37" i="38"/>
  <c r="AS37" i="38"/>
  <c r="AT37" i="38"/>
  <c r="AU37" i="38"/>
  <c r="AV37" i="38"/>
  <c r="E38" i="38"/>
  <c r="F38" i="38"/>
  <c r="G38" i="38"/>
  <c r="H38" i="38"/>
  <c r="I38" i="38"/>
  <c r="J38" i="38"/>
  <c r="K38" i="38"/>
  <c r="L38" i="38"/>
  <c r="M38" i="38"/>
  <c r="N38" i="38"/>
  <c r="O38" i="38"/>
  <c r="P38" i="38"/>
  <c r="Q38" i="38"/>
  <c r="R38" i="38"/>
  <c r="S38" i="38"/>
  <c r="T38" i="38"/>
  <c r="U38" i="38"/>
  <c r="V38" i="38"/>
  <c r="W38" i="38"/>
  <c r="X38" i="38"/>
  <c r="Y38" i="38"/>
  <c r="Z38" i="38"/>
  <c r="AA38" i="38"/>
  <c r="AB38" i="38"/>
  <c r="AC38" i="38"/>
  <c r="AD38" i="38"/>
  <c r="AE38" i="38"/>
  <c r="AF38" i="38"/>
  <c r="AG38" i="38"/>
  <c r="AH38" i="38"/>
  <c r="AI38" i="38"/>
  <c r="AJ38" i="38"/>
  <c r="AK38" i="38"/>
  <c r="AL38" i="38"/>
  <c r="AM38" i="38"/>
  <c r="AN38" i="38"/>
  <c r="AO38" i="38"/>
  <c r="AP38" i="38"/>
  <c r="AQ38" i="38"/>
  <c r="AR38" i="38"/>
  <c r="AS38" i="38"/>
  <c r="AT38" i="38"/>
  <c r="AU38" i="38"/>
  <c r="AV38" i="38"/>
  <c r="E39" i="38"/>
  <c r="F39" i="38"/>
  <c r="G39" i="38"/>
  <c r="H39" i="38"/>
  <c r="I39" i="38"/>
  <c r="J39" i="38"/>
  <c r="K39" i="38"/>
  <c r="L39" i="38"/>
  <c r="M39" i="38"/>
  <c r="N39" i="38"/>
  <c r="O39" i="38"/>
  <c r="P39" i="38"/>
  <c r="Q39" i="38"/>
  <c r="R39" i="38"/>
  <c r="S39" i="38"/>
  <c r="T39" i="38"/>
  <c r="U39" i="38"/>
  <c r="V39" i="38"/>
  <c r="W39" i="38"/>
  <c r="X39" i="38"/>
  <c r="Y39" i="38"/>
  <c r="Z39" i="38"/>
  <c r="AA39" i="38"/>
  <c r="AB39" i="38"/>
  <c r="AC39" i="38"/>
  <c r="AD39" i="38"/>
  <c r="AE39" i="38"/>
  <c r="AF39" i="38"/>
  <c r="AG39" i="38"/>
  <c r="AH39" i="38"/>
  <c r="AI39" i="38"/>
  <c r="AJ39" i="38"/>
  <c r="AK39" i="38"/>
  <c r="AL39" i="38"/>
  <c r="AM39" i="38"/>
  <c r="AN39" i="38"/>
  <c r="AO39" i="38"/>
  <c r="AP39" i="38"/>
  <c r="AQ39" i="38"/>
  <c r="AR39" i="38"/>
  <c r="AS39" i="38"/>
  <c r="AT39" i="38"/>
  <c r="AU39" i="38"/>
  <c r="AV39" i="38"/>
  <c r="E40" i="38"/>
  <c r="F40" i="38"/>
  <c r="F45" i="38" s="1"/>
  <c r="G40" i="38"/>
  <c r="H40" i="38"/>
  <c r="H45" i="38" s="1"/>
  <c r="I40" i="38"/>
  <c r="J40" i="38"/>
  <c r="K40" i="38"/>
  <c r="L40" i="38"/>
  <c r="M40" i="38"/>
  <c r="N40" i="38"/>
  <c r="O40" i="38"/>
  <c r="P40" i="38"/>
  <c r="Q40" i="38"/>
  <c r="R40" i="38"/>
  <c r="S40" i="38"/>
  <c r="T40" i="38"/>
  <c r="U40" i="38"/>
  <c r="V40" i="38"/>
  <c r="W40" i="38"/>
  <c r="X40" i="38"/>
  <c r="Y40" i="38"/>
  <c r="Z40" i="38"/>
  <c r="AA40" i="38"/>
  <c r="AB40" i="38"/>
  <c r="AC40" i="38"/>
  <c r="AD40" i="38"/>
  <c r="AD45" i="38" s="1"/>
  <c r="AE40" i="38"/>
  <c r="AF40" i="38"/>
  <c r="AG40" i="38"/>
  <c r="AH40" i="38"/>
  <c r="AI40" i="38"/>
  <c r="AJ40" i="38"/>
  <c r="AK40" i="38"/>
  <c r="AL40" i="38"/>
  <c r="AL45" i="38" s="1"/>
  <c r="AM40" i="38"/>
  <c r="AN40" i="38"/>
  <c r="AO40" i="38"/>
  <c r="AP40" i="38"/>
  <c r="AQ40" i="38"/>
  <c r="AR40" i="38"/>
  <c r="AS40" i="38"/>
  <c r="AT40" i="38"/>
  <c r="AU40" i="38"/>
  <c r="AV40" i="38"/>
  <c r="E41" i="38"/>
  <c r="F41" i="38"/>
  <c r="G41" i="38"/>
  <c r="H41" i="38"/>
  <c r="I41" i="38"/>
  <c r="J41" i="38"/>
  <c r="K41" i="38"/>
  <c r="L41" i="38"/>
  <c r="M41" i="38"/>
  <c r="N41" i="38"/>
  <c r="O41" i="38"/>
  <c r="P41" i="38"/>
  <c r="Q41" i="38"/>
  <c r="R41" i="38"/>
  <c r="R45" i="38" s="1"/>
  <c r="S41" i="38"/>
  <c r="T41" i="38"/>
  <c r="U41" i="38"/>
  <c r="V41" i="38"/>
  <c r="W41" i="38"/>
  <c r="X41" i="38"/>
  <c r="Y41" i="38"/>
  <c r="Z41" i="38"/>
  <c r="Z45" i="38" s="1"/>
  <c r="Z90" i="38" s="1"/>
  <c r="AA41" i="38"/>
  <c r="AB41" i="38"/>
  <c r="AC41" i="38"/>
  <c r="AD41" i="38"/>
  <c r="AE41" i="38"/>
  <c r="AF41" i="38"/>
  <c r="AG41" i="38"/>
  <c r="AH41" i="38"/>
  <c r="AH45" i="38" s="1"/>
  <c r="AI41" i="38"/>
  <c r="AJ41" i="38"/>
  <c r="AK41" i="38"/>
  <c r="AL41" i="38"/>
  <c r="AM41" i="38"/>
  <c r="AN41" i="38"/>
  <c r="AO41" i="38"/>
  <c r="AP41" i="38"/>
  <c r="AP45" i="38" s="1"/>
  <c r="AQ41" i="38"/>
  <c r="AR41" i="38"/>
  <c r="AS41" i="38"/>
  <c r="AT41" i="38"/>
  <c r="AU41" i="38"/>
  <c r="AV41" i="38"/>
  <c r="E42" i="38"/>
  <c r="E45" i="38" s="1"/>
  <c r="F42" i="38"/>
  <c r="G42" i="38"/>
  <c r="G45" i="38" s="1"/>
  <c r="H42" i="38"/>
  <c r="I42" i="38"/>
  <c r="J42" i="38"/>
  <c r="K42" i="38"/>
  <c r="L42" i="38"/>
  <c r="M42" i="38"/>
  <c r="N42" i="38"/>
  <c r="O42" i="38"/>
  <c r="P42" i="38"/>
  <c r="Q42" i="38"/>
  <c r="R42" i="38"/>
  <c r="S42" i="38"/>
  <c r="T42" i="38"/>
  <c r="U42" i="38"/>
  <c r="V42" i="38"/>
  <c r="W42" i="38"/>
  <c r="X42" i="38"/>
  <c r="Y42" i="38"/>
  <c r="Z42" i="38"/>
  <c r="AA42" i="38"/>
  <c r="AB42" i="38"/>
  <c r="AC42" i="38"/>
  <c r="AD42" i="38"/>
  <c r="AE42" i="38"/>
  <c r="AF42" i="38"/>
  <c r="AG42" i="38"/>
  <c r="AH42" i="38"/>
  <c r="AI42" i="38"/>
  <c r="AJ42" i="38"/>
  <c r="AK42" i="38"/>
  <c r="AL42" i="38"/>
  <c r="AM42" i="38"/>
  <c r="AN42" i="38"/>
  <c r="AO42" i="38"/>
  <c r="AP42" i="38"/>
  <c r="AQ42" i="38"/>
  <c r="AR42" i="38"/>
  <c r="AS42" i="38"/>
  <c r="AT42" i="38"/>
  <c r="AU42" i="38"/>
  <c r="AV42" i="38"/>
  <c r="E43" i="38"/>
  <c r="F43" i="38"/>
  <c r="G43" i="38"/>
  <c r="H43" i="38"/>
  <c r="I43" i="38"/>
  <c r="J43" i="38"/>
  <c r="J45" i="38" s="1"/>
  <c r="K43" i="38"/>
  <c r="L43" i="38"/>
  <c r="M43" i="38"/>
  <c r="N43" i="38"/>
  <c r="O43" i="38"/>
  <c r="P43" i="38"/>
  <c r="Q43" i="38"/>
  <c r="R43" i="38"/>
  <c r="S43" i="38"/>
  <c r="T43" i="38"/>
  <c r="U43" i="38"/>
  <c r="V43" i="38"/>
  <c r="W43" i="38"/>
  <c r="X43" i="38"/>
  <c r="Y43" i="38"/>
  <c r="Z43" i="38"/>
  <c r="AA43" i="38"/>
  <c r="AB43" i="38"/>
  <c r="AC43" i="38"/>
  <c r="AD43" i="38"/>
  <c r="AE43" i="38"/>
  <c r="AF43" i="38"/>
  <c r="AG43" i="38"/>
  <c r="AH43" i="38"/>
  <c r="AI43" i="38"/>
  <c r="AJ43" i="38"/>
  <c r="AK43" i="38"/>
  <c r="AL43" i="38"/>
  <c r="AM43" i="38"/>
  <c r="AN43" i="38"/>
  <c r="AO43" i="38"/>
  <c r="AP43" i="38"/>
  <c r="AQ43" i="38"/>
  <c r="AR43" i="38"/>
  <c r="AS43" i="38"/>
  <c r="AT43" i="38"/>
  <c r="AU43" i="38"/>
  <c r="AV43" i="38"/>
  <c r="E44" i="38"/>
  <c r="F44" i="38"/>
  <c r="G44" i="38"/>
  <c r="H44" i="38"/>
  <c r="I44" i="38"/>
  <c r="J44" i="38"/>
  <c r="K44" i="38"/>
  <c r="L44" i="38"/>
  <c r="M44" i="38"/>
  <c r="N44" i="38"/>
  <c r="O44" i="38"/>
  <c r="P44" i="38"/>
  <c r="Q44" i="38"/>
  <c r="R44" i="38"/>
  <c r="S44" i="38"/>
  <c r="T44" i="38"/>
  <c r="U44" i="38"/>
  <c r="V44" i="38"/>
  <c r="W44" i="38"/>
  <c r="X44" i="38"/>
  <c r="Y44" i="38"/>
  <c r="Z44" i="38"/>
  <c r="AA44" i="38"/>
  <c r="AB44" i="38"/>
  <c r="AC44" i="38"/>
  <c r="AD44" i="38"/>
  <c r="AE44" i="38"/>
  <c r="AF44" i="38"/>
  <c r="AG44" i="38"/>
  <c r="AH44" i="38"/>
  <c r="AI44" i="38"/>
  <c r="AJ44" i="38"/>
  <c r="AK44" i="38"/>
  <c r="AL44" i="38"/>
  <c r="AM44" i="38"/>
  <c r="AN44" i="38"/>
  <c r="AO44" i="38"/>
  <c r="AP44" i="38"/>
  <c r="AQ44" i="38"/>
  <c r="AR44" i="38"/>
  <c r="AS44" i="38"/>
  <c r="AT44" i="38"/>
  <c r="AU44" i="38"/>
  <c r="AV44" i="38"/>
  <c r="I45" i="38"/>
  <c r="N45" i="38"/>
  <c r="V45" i="38"/>
  <c r="AT45" i="38"/>
  <c r="D44" i="38"/>
  <c r="D43" i="38"/>
  <c r="D42" i="38"/>
  <c r="D41" i="38"/>
  <c r="D40" i="38"/>
  <c r="D39" i="38"/>
  <c r="D38" i="38"/>
  <c r="D37" i="38"/>
  <c r="D36" i="38"/>
  <c r="D35" i="38"/>
  <c r="AW50" i="38" l="1"/>
  <c r="AT109" i="38"/>
  <c r="AL109" i="38"/>
  <c r="AD109" i="38"/>
  <c r="V109" i="38"/>
  <c r="N109" i="38"/>
  <c r="N111" i="38" s="1"/>
  <c r="N112" i="38" s="1"/>
  <c r="F109" i="38"/>
  <c r="J90" i="38"/>
  <c r="AS45" i="38"/>
  <c r="AO45" i="38"/>
  <c r="AG45" i="38"/>
  <c r="Y45" i="38"/>
  <c r="Q45" i="38"/>
  <c r="X109" i="38"/>
  <c r="X111" i="38" s="1"/>
  <c r="AW43" i="38"/>
  <c r="AP111" i="38"/>
  <c r="AH111" i="38"/>
  <c r="Z109" i="38"/>
  <c r="Z111" i="38" s="1"/>
  <c r="AK45" i="38"/>
  <c r="AK90" i="38" s="1"/>
  <c r="AC45" i="38"/>
  <c r="U45" i="38"/>
  <c r="U90" i="38" s="1"/>
  <c r="M45" i="38"/>
  <c r="M90" i="38" s="1"/>
  <c r="I90" i="38"/>
  <c r="E90" i="38"/>
  <c r="AW39" i="38"/>
  <c r="AT111" i="38"/>
  <c r="AD111" i="38"/>
  <c r="AD112" i="38" s="1"/>
  <c r="R111" i="38"/>
  <c r="R90" i="38"/>
  <c r="R112" i="38" s="1"/>
  <c r="AT90" i="38"/>
  <c r="AP90" i="38"/>
  <c r="AL90" i="38"/>
  <c r="AH90" i="38"/>
  <c r="AD90" i="38"/>
  <c r="V90" i="38"/>
  <c r="N90" i="38"/>
  <c r="F90" i="38"/>
  <c r="AW74" i="38"/>
  <c r="H90" i="38"/>
  <c r="AK109" i="38"/>
  <c r="AK111" i="38" s="1"/>
  <c r="AS90" i="38"/>
  <c r="AC90" i="38"/>
  <c r="AO90" i="38"/>
  <c r="AG90" i="38"/>
  <c r="Y90" i="38"/>
  <c r="U109" i="38"/>
  <c r="U111" i="38" s="1"/>
  <c r="Q90" i="38"/>
  <c r="AR109" i="38"/>
  <c r="AR111" i="38" s="1"/>
  <c r="AJ109" i="38"/>
  <c r="AJ111" i="38" s="1"/>
  <c r="AF109" i="38"/>
  <c r="AF111" i="38" s="1"/>
  <c r="AB109" i="38"/>
  <c r="AB111" i="38" s="1"/>
  <c r="T109" i="38"/>
  <c r="T111" i="38" s="1"/>
  <c r="P109" i="38"/>
  <c r="P111" i="38" s="1"/>
  <c r="L109" i="38"/>
  <c r="L111" i="38" s="1"/>
  <c r="H109" i="38"/>
  <c r="H111" i="38" s="1"/>
  <c r="AW36" i="38"/>
  <c r="D45" i="38"/>
  <c r="AW44" i="38"/>
  <c r="AW41" i="38"/>
  <c r="AV45" i="38"/>
  <c r="AV90" i="38" s="1"/>
  <c r="AR45" i="38"/>
  <c r="AR90" i="38" s="1"/>
  <c r="AN45" i="38"/>
  <c r="AN90" i="38" s="1"/>
  <c r="AJ45" i="38"/>
  <c r="AJ90" i="38" s="1"/>
  <c r="AF45" i="38"/>
  <c r="AF90" i="38" s="1"/>
  <c r="AB45" i="38"/>
  <c r="AB90" i="38" s="1"/>
  <c r="X45" i="38"/>
  <c r="X90" i="38" s="1"/>
  <c r="X112" i="38" s="1"/>
  <c r="T45" i="38"/>
  <c r="T90" i="38" s="1"/>
  <c r="P45" i="38"/>
  <c r="P90" i="38" s="1"/>
  <c r="L45" i="38"/>
  <c r="L90" i="38" s="1"/>
  <c r="AW37" i="38"/>
  <c r="AU109" i="38"/>
  <c r="AU111" i="38" s="1"/>
  <c r="AQ109" i="38"/>
  <c r="AQ111" i="38" s="1"/>
  <c r="AM109" i="38"/>
  <c r="AM111" i="38" s="1"/>
  <c r="AI109" i="38"/>
  <c r="AI111" i="38" s="1"/>
  <c r="AE109" i="38"/>
  <c r="AE111" i="38" s="1"/>
  <c r="AA109" i="38"/>
  <c r="AA111" i="38" s="1"/>
  <c r="W109" i="38"/>
  <c r="W111" i="38" s="1"/>
  <c r="S109" i="38"/>
  <c r="S111" i="38" s="1"/>
  <c r="O109" i="38"/>
  <c r="O111" i="38" s="1"/>
  <c r="K109" i="38"/>
  <c r="K111" i="38" s="1"/>
  <c r="G109" i="38"/>
  <c r="G111" i="38" s="1"/>
  <c r="AV109" i="38"/>
  <c r="AV111" i="38" s="1"/>
  <c r="AQ45" i="38"/>
  <c r="AQ90" i="38" s="1"/>
  <c r="AI45" i="38"/>
  <c r="AI90" i="38" s="1"/>
  <c r="AA45" i="38"/>
  <c r="AA90" i="38" s="1"/>
  <c r="S45" i="38"/>
  <c r="S90" i="38" s="1"/>
  <c r="K45" i="38"/>
  <c r="G90" i="38"/>
  <c r="AW57" i="38"/>
  <c r="D108" i="38"/>
  <c r="AH112" i="38"/>
  <c r="Z112" i="38"/>
  <c r="F111" i="38"/>
  <c r="AW55" i="38"/>
  <c r="D104" i="38"/>
  <c r="AN109" i="38"/>
  <c r="AN111" i="38" s="1"/>
  <c r="AU45" i="38"/>
  <c r="AU90" i="38" s="1"/>
  <c r="AM45" i="38"/>
  <c r="AM90" i="38" s="1"/>
  <c r="AE45" i="38"/>
  <c r="AE90" i="38" s="1"/>
  <c r="W45" i="38"/>
  <c r="W90" i="38" s="1"/>
  <c r="O45" i="38"/>
  <c r="O90" i="38" s="1"/>
  <c r="K90" i="38"/>
  <c r="AT112" i="38"/>
  <c r="J109" i="38"/>
  <c r="J111" i="38" s="1"/>
  <c r="AW38" i="38"/>
  <c r="AW42" i="38"/>
  <c r="AW49" i="38"/>
  <c r="AW53" i="38"/>
  <c r="AW58" i="38"/>
  <c r="D107" i="38"/>
  <c r="AW56" i="38"/>
  <c r="E105" i="38"/>
  <c r="E109" i="38" s="1"/>
  <c r="E111" i="38" s="1"/>
  <c r="E112" i="38" s="1"/>
  <c r="AS109" i="38"/>
  <c r="AS111" i="38" s="1"/>
  <c r="AS112" i="38" s="1"/>
  <c r="AO109" i="38"/>
  <c r="AO111" i="38" s="1"/>
  <c r="AO112" i="38" s="1"/>
  <c r="AG109" i="38"/>
  <c r="AG111" i="38" s="1"/>
  <c r="AC109" i="38"/>
  <c r="AC111" i="38" s="1"/>
  <c r="AC112" i="38" s="1"/>
  <c r="Y109" i="38"/>
  <c r="Y111" i="38" s="1"/>
  <c r="Q109" i="38"/>
  <c r="Q111" i="38" s="1"/>
  <c r="M109" i="38"/>
  <c r="M111" i="38" s="1"/>
  <c r="I109" i="38"/>
  <c r="I111" i="38" s="1"/>
  <c r="AW52" i="38"/>
  <c r="AW51" i="38"/>
  <c r="AW48" i="38"/>
  <c r="AW47" i="38"/>
  <c r="AL111" i="38"/>
  <c r="AL112" i="38" s="1"/>
  <c r="V111" i="38"/>
  <c r="AW40" i="38"/>
  <c r="I112" i="38" l="1"/>
  <c r="J112" i="38"/>
  <c r="AI112" i="38"/>
  <c r="F112" i="38"/>
  <c r="AP112" i="38"/>
  <c r="S112" i="38"/>
  <c r="V112" i="38"/>
  <c r="AN112" i="38"/>
  <c r="H112" i="38"/>
  <c r="AK112" i="38"/>
  <c r="U112" i="38"/>
  <c r="T112" i="38"/>
  <c r="M112" i="38"/>
  <c r="Q112" i="38"/>
  <c r="Y112" i="38"/>
  <c r="AA112" i="38"/>
  <c r="K112" i="38"/>
  <c r="AQ112" i="38"/>
  <c r="AR112" i="38"/>
  <c r="AG112" i="38"/>
  <c r="AV112" i="38"/>
  <c r="O112" i="38"/>
  <c r="AE112" i="38"/>
  <c r="AU112" i="38"/>
  <c r="AB112" i="38"/>
  <c r="AW54" i="38"/>
  <c r="D106" i="38"/>
  <c r="D109" i="38" s="1"/>
  <c r="D111" i="38" s="1"/>
  <c r="L112" i="38"/>
  <c r="AF112" i="38"/>
  <c r="G112" i="38"/>
  <c r="W112" i="38"/>
  <c r="AM112" i="38"/>
  <c r="AW45" i="38"/>
  <c r="P112" i="38"/>
  <c r="AJ112" i="38"/>
  <c r="D90" i="38"/>
  <c r="D112" i="38" l="1"/>
  <c r="BB71" i="38" l="1"/>
  <c r="BD71" i="38" s="1"/>
  <c r="BB72" i="38"/>
  <c r="BD72" i="38" s="1"/>
  <c r="BB73" i="38"/>
  <c r="BD73" i="38" s="1"/>
  <c r="BD43" i="38" l="1"/>
  <c r="BD42" i="38"/>
  <c r="BD41" i="38"/>
  <c r="BD40" i="38"/>
  <c r="BB43" i="38"/>
  <c r="BB41" i="38"/>
  <c r="BB40" i="38"/>
  <c r="AZ43" i="38"/>
  <c r="AZ42" i="38"/>
  <c r="AZ41" i="38"/>
  <c r="AZ40" i="38"/>
  <c r="BD38" i="38"/>
  <c r="BD37" i="38"/>
  <c r="BD36" i="38"/>
  <c r="AZ38" i="38"/>
  <c r="AZ37" i="38"/>
  <c r="AZ36" i="38"/>
  <c r="BB38" i="38"/>
  <c r="BB36" i="38"/>
  <c r="K29" i="41"/>
  <c r="J29" i="41"/>
  <c r="I29" i="41"/>
  <c r="H29" i="41"/>
  <c r="E29" i="41"/>
  <c r="D29" i="41"/>
  <c r="C29" i="41"/>
  <c r="B29" i="41"/>
  <c r="K25" i="41"/>
  <c r="K28" i="41" s="1"/>
  <c r="J25" i="41"/>
  <c r="J28" i="41" s="1"/>
  <c r="I25" i="41"/>
  <c r="I28" i="41" s="1"/>
  <c r="H25" i="41"/>
  <c r="H28" i="41" s="1"/>
  <c r="E25" i="41"/>
  <c r="E28" i="41" s="1"/>
  <c r="D25" i="41"/>
  <c r="D28" i="41" s="1"/>
  <c r="C25" i="41"/>
  <c r="C28" i="41" s="1"/>
  <c r="B25" i="41"/>
  <c r="B28" i="41" s="1"/>
  <c r="K24" i="41"/>
  <c r="J24" i="41"/>
  <c r="I24" i="41"/>
  <c r="H24" i="41"/>
  <c r="E24" i="41"/>
  <c r="T18" i="39" s="1"/>
  <c r="F34" i="40" s="1"/>
  <c r="F35" i="40" s="1"/>
  <c r="D24" i="41"/>
  <c r="C24" i="41"/>
  <c r="B24" i="41"/>
  <c r="K23" i="41"/>
  <c r="J23" i="41"/>
  <c r="I23" i="41"/>
  <c r="H23" i="41"/>
  <c r="E23" i="41"/>
  <c r="N17" i="39" s="1"/>
  <c r="E24" i="40" s="1"/>
  <c r="E25" i="40" s="1"/>
  <c r="D23" i="41"/>
  <c r="C23" i="41"/>
  <c r="B23" i="41"/>
  <c r="K22" i="41"/>
  <c r="J22" i="41"/>
  <c r="I22" i="41"/>
  <c r="H22" i="41"/>
  <c r="E22" i="41"/>
  <c r="N16" i="39" s="1"/>
  <c r="D24" i="40" s="1"/>
  <c r="D25" i="40" s="1"/>
  <c r="D22" i="41"/>
  <c r="C22" i="41"/>
  <c r="B22" i="41"/>
  <c r="K21" i="41"/>
  <c r="J21" i="41"/>
  <c r="I21" i="41"/>
  <c r="H21" i="41"/>
  <c r="E21" i="41"/>
  <c r="N15" i="39" s="1"/>
  <c r="C24" i="40" s="1"/>
  <c r="C25" i="40" s="1"/>
  <c r="D21" i="41"/>
  <c r="C21" i="41"/>
  <c r="B21" i="41"/>
  <c r="K20" i="41"/>
  <c r="J20" i="41"/>
  <c r="I20" i="41"/>
  <c r="H20" i="41"/>
  <c r="E20" i="41"/>
  <c r="E32" i="41" s="1"/>
  <c r="E33" i="41" s="1"/>
  <c r="D20" i="41"/>
  <c r="D32" i="41" s="1"/>
  <c r="D33" i="41" s="1"/>
  <c r="C20" i="41"/>
  <c r="B20" i="41"/>
  <c r="B16" i="41"/>
  <c r="B15" i="41"/>
  <c r="B14" i="41"/>
  <c r="B13" i="41"/>
  <c r="B12" i="41"/>
  <c r="B11" i="41"/>
  <c r="B10" i="41"/>
  <c r="B9" i="41"/>
  <c r="B8" i="41"/>
  <c r="B7" i="41"/>
  <c r="B6" i="41"/>
  <c r="B5" i="41"/>
  <c r="B4" i="41"/>
  <c r="B3" i="41"/>
  <c r="F2" i="41"/>
  <c r="C4" i="40"/>
  <c r="N14" i="39"/>
  <c r="B24" i="40" s="1"/>
  <c r="B25" i="40" s="1"/>
  <c r="T7" i="39"/>
  <c r="Q7" i="39"/>
  <c r="N7" i="39"/>
  <c r="K7" i="39"/>
  <c r="H7" i="39"/>
  <c r="B7" i="39"/>
  <c r="J6" i="39"/>
  <c r="E6" i="39"/>
  <c r="J5" i="39"/>
  <c r="E5" i="39"/>
  <c r="J4" i="39"/>
  <c r="E4" i="39"/>
  <c r="J3" i="39"/>
  <c r="E3" i="39"/>
  <c r="H14" i="39" l="1"/>
  <c r="H15" i="39"/>
  <c r="C14" i="40" s="1"/>
  <c r="C15" i="40" s="1"/>
  <c r="H16" i="39"/>
  <c r="D14" i="40" s="1"/>
  <c r="D15" i="40" s="1"/>
  <c r="H17" i="39"/>
  <c r="E14" i="40" s="1"/>
  <c r="E15" i="40" s="1"/>
  <c r="H18" i="39"/>
  <c r="F14" i="40" s="1"/>
  <c r="F15" i="40" s="1"/>
  <c r="B22" i="39"/>
  <c r="J6" i="40" s="1"/>
  <c r="J7" i="40" s="1"/>
  <c r="B14" i="39"/>
  <c r="B6" i="40" s="1"/>
  <c r="B7" i="40" s="1"/>
  <c r="B15" i="39"/>
  <c r="C6" i="40" s="1"/>
  <c r="C7" i="40" s="1"/>
  <c r="C8" i="40" s="1"/>
  <c r="B16" i="39"/>
  <c r="D6" i="40" s="1"/>
  <c r="D7" i="40" s="1"/>
  <c r="D2" i="40" s="1"/>
  <c r="D4" i="40" s="1"/>
  <c r="B17" i="39"/>
  <c r="E6" i="40" s="1"/>
  <c r="E7" i="40" s="1"/>
  <c r="E2" i="40" s="1"/>
  <c r="N18" i="39"/>
  <c r="F24" i="40" s="1"/>
  <c r="F25" i="40" s="1"/>
  <c r="Q23" i="39"/>
  <c r="B14" i="40"/>
  <c r="B15" i="40" s="1"/>
  <c r="I4" i="39"/>
  <c r="O3" i="39"/>
  <c r="H22" i="39"/>
  <c r="J14" i="40" s="1"/>
  <c r="J15" i="40" s="1"/>
  <c r="T22" i="39"/>
  <c r="T14" i="39"/>
  <c r="U6" i="39" s="1"/>
  <c r="T15" i="39"/>
  <c r="C34" i="40" s="1"/>
  <c r="C35" i="40" s="1"/>
  <c r="T16" i="39"/>
  <c r="D34" i="40" s="1"/>
  <c r="D35" i="40" s="1"/>
  <c r="D36" i="40" s="1"/>
  <c r="D37" i="40" s="1"/>
  <c r="T17" i="39"/>
  <c r="E34" i="40" s="1"/>
  <c r="E35" i="40" s="1"/>
  <c r="H19" i="39"/>
  <c r="G14" i="40" s="1"/>
  <c r="G15" i="40" s="1"/>
  <c r="G16" i="40" s="1"/>
  <c r="G17" i="40" s="1"/>
  <c r="O5" i="39"/>
  <c r="K23" i="39"/>
  <c r="K19" i="40" s="1"/>
  <c r="K20" i="40" s="1"/>
  <c r="N19" i="39"/>
  <c r="G24" i="40" s="1"/>
  <c r="G25" i="40" s="1"/>
  <c r="O4" i="39"/>
  <c r="O6" i="39"/>
  <c r="N22" i="39"/>
  <c r="O22" i="39" s="1"/>
  <c r="B18" i="39"/>
  <c r="F6" i="40" s="1"/>
  <c r="F7" i="40" s="1"/>
  <c r="F2" i="40" s="1"/>
  <c r="F4" i="40" s="1"/>
  <c r="F18" i="40" s="1"/>
  <c r="B19" i="39"/>
  <c r="G6" i="40" s="1"/>
  <c r="G7" i="40" s="1"/>
  <c r="I6" i="39"/>
  <c r="I5" i="39"/>
  <c r="I3" i="39"/>
  <c r="B2" i="41"/>
  <c r="K29" i="40"/>
  <c r="K30" i="40" s="1"/>
  <c r="J34" i="40"/>
  <c r="J35" i="40" s="1"/>
  <c r="U22" i="39"/>
  <c r="B16" i="40"/>
  <c r="B17" i="40" s="1"/>
  <c r="B26" i="40"/>
  <c r="B27" i="40" s="1"/>
  <c r="K15" i="39"/>
  <c r="Q15" i="39"/>
  <c r="D18" i="40"/>
  <c r="D16" i="40"/>
  <c r="D17" i="40" s="1"/>
  <c r="K17" i="39"/>
  <c r="Q17" i="39"/>
  <c r="C3" i="39"/>
  <c r="C4" i="39"/>
  <c r="C5" i="39"/>
  <c r="C6" i="39"/>
  <c r="C14" i="39"/>
  <c r="I14" i="39"/>
  <c r="O14" i="39"/>
  <c r="U14" i="39"/>
  <c r="C16" i="39"/>
  <c r="I16" i="39"/>
  <c r="O16" i="39"/>
  <c r="I18" i="39"/>
  <c r="O18" i="39"/>
  <c r="U18" i="39"/>
  <c r="E7" i="39"/>
  <c r="K14" i="39"/>
  <c r="Q14" i="39"/>
  <c r="R23" i="39" s="1"/>
  <c r="C18" i="40"/>
  <c r="C26" i="40"/>
  <c r="C27" i="40" s="1"/>
  <c r="K16" i="39"/>
  <c r="Q16" i="39"/>
  <c r="E16" i="40"/>
  <c r="E17" i="40" s="1"/>
  <c r="E26" i="40"/>
  <c r="E27" i="40" s="1"/>
  <c r="K18" i="39"/>
  <c r="G8" i="40"/>
  <c r="G26" i="40"/>
  <c r="G27" i="40" s="1"/>
  <c r="T19" i="39"/>
  <c r="E22" i="39"/>
  <c r="K22" i="39"/>
  <c r="Q22" i="39"/>
  <c r="B23" i="39"/>
  <c r="H23" i="39"/>
  <c r="N23" i="39"/>
  <c r="T23" i="39"/>
  <c r="G2" i="40"/>
  <c r="G4" i="40" s="1"/>
  <c r="E14" i="39"/>
  <c r="F3" i="39" s="1"/>
  <c r="E16" i="39"/>
  <c r="E8" i="40"/>
  <c r="E36" i="40"/>
  <c r="E37" i="40" s="1"/>
  <c r="E18" i="39"/>
  <c r="Q18" i="39"/>
  <c r="R6" i="39"/>
  <c r="I15" i="39"/>
  <c r="O15" i="39"/>
  <c r="U15" i="39"/>
  <c r="C17" i="39"/>
  <c r="I17" i="39"/>
  <c r="O17" i="39"/>
  <c r="U17" i="39"/>
  <c r="C19" i="39"/>
  <c r="O19" i="39"/>
  <c r="I24" i="39"/>
  <c r="D8" i="40"/>
  <c r="D26" i="40"/>
  <c r="D27" i="40" s="1"/>
  <c r="E19" i="39"/>
  <c r="K19" i="39"/>
  <c r="Q19" i="39"/>
  <c r="D27" i="41"/>
  <c r="D26" i="41" s="1"/>
  <c r="D30" i="41" s="1"/>
  <c r="J27" i="41"/>
  <c r="J26" i="41" s="1"/>
  <c r="J30" i="41" s="1"/>
  <c r="B32" i="41"/>
  <c r="B33" i="41" s="1"/>
  <c r="E27" i="41"/>
  <c r="E26" i="41" s="1"/>
  <c r="E30" i="41" s="1"/>
  <c r="K27" i="41"/>
  <c r="K26" i="41" s="1"/>
  <c r="K30" i="41" s="1"/>
  <c r="C32" i="41"/>
  <c r="C33" i="41" s="1"/>
  <c r="B27" i="41"/>
  <c r="H27" i="41"/>
  <c r="C27" i="41"/>
  <c r="C26" i="41" s="1"/>
  <c r="C30" i="41" s="1"/>
  <c r="I27" i="41"/>
  <c r="I26" i="41" s="1"/>
  <c r="I30" i="41" s="1"/>
  <c r="C16" i="40" l="1"/>
  <c r="C17" i="40" s="1"/>
  <c r="C18" i="39"/>
  <c r="I22" i="39"/>
  <c r="C22" i="39"/>
  <c r="I19" i="39"/>
  <c r="L23" i="39"/>
  <c r="F36" i="40"/>
  <c r="F37" i="40" s="1"/>
  <c r="C15" i="39"/>
  <c r="F16" i="40"/>
  <c r="F17" i="40" s="1"/>
  <c r="C36" i="40"/>
  <c r="C37" i="40" s="1"/>
  <c r="F26" i="40"/>
  <c r="F27" i="40" s="1"/>
  <c r="F8" i="40"/>
  <c r="R5" i="39"/>
  <c r="G18" i="40"/>
  <c r="U16" i="39"/>
  <c r="J24" i="40"/>
  <c r="J25" i="40" s="1"/>
  <c r="J26" i="40" s="1"/>
  <c r="J27" i="40" s="1"/>
  <c r="B34" i="40"/>
  <c r="B35" i="40" s="1"/>
  <c r="B36" i="40" s="1"/>
  <c r="B37" i="40" s="1"/>
  <c r="U3" i="39"/>
  <c r="R4" i="39"/>
  <c r="U5" i="39"/>
  <c r="R3" i="39"/>
  <c r="F4" i="39"/>
  <c r="U4" i="39"/>
  <c r="J36" i="40"/>
  <c r="J37" i="40" s="1"/>
  <c r="G29" i="40"/>
  <c r="G30" i="40" s="1"/>
  <c r="R19" i="39"/>
  <c r="H26" i="41"/>
  <c r="K21" i="39"/>
  <c r="H21" i="39"/>
  <c r="G9" i="40"/>
  <c r="G10" i="40" s="1"/>
  <c r="G11" i="40" s="1"/>
  <c r="G12" i="40" s="1"/>
  <c r="F19" i="39"/>
  <c r="K34" i="40"/>
  <c r="K35" i="40" s="1"/>
  <c r="U23" i="39"/>
  <c r="J29" i="40"/>
  <c r="J30" i="40" s="1"/>
  <c r="R22" i="39"/>
  <c r="G34" i="40"/>
  <c r="G35" i="40" s="1"/>
  <c r="G36" i="40" s="1"/>
  <c r="G37" i="40" s="1"/>
  <c r="U19" i="39"/>
  <c r="E29" i="40"/>
  <c r="E30" i="40" s="1"/>
  <c r="R17" i="39"/>
  <c r="E15" i="39"/>
  <c r="E23" i="39"/>
  <c r="J8" i="40"/>
  <c r="J2" i="40"/>
  <c r="J4" i="40" s="1"/>
  <c r="B26" i="41"/>
  <c r="Q21" i="39"/>
  <c r="T21" i="39"/>
  <c r="N21" i="39"/>
  <c r="B21" i="39"/>
  <c r="E21" i="39"/>
  <c r="B9" i="40"/>
  <c r="B10" i="40" s="1"/>
  <c r="B11" i="40" s="1"/>
  <c r="B12" i="40" s="1"/>
  <c r="F14" i="39"/>
  <c r="F24" i="39"/>
  <c r="K24" i="40"/>
  <c r="K25" i="40" s="1"/>
  <c r="O23" i="39"/>
  <c r="J19" i="40"/>
  <c r="J20" i="40" s="1"/>
  <c r="J21" i="40" s="1"/>
  <c r="J22" i="40" s="1"/>
  <c r="L22" i="39"/>
  <c r="F19" i="40"/>
  <c r="F20" i="40" s="1"/>
  <c r="F21" i="40" s="1"/>
  <c r="F22" i="40" s="1"/>
  <c r="L18" i="39"/>
  <c r="D29" i="40"/>
  <c r="D30" i="40" s="1"/>
  <c r="R16" i="39"/>
  <c r="E19" i="40"/>
  <c r="E20" i="40" s="1"/>
  <c r="E21" i="40" s="1"/>
  <c r="E22" i="40" s="1"/>
  <c r="L17" i="39"/>
  <c r="D9" i="40"/>
  <c r="D10" i="40" s="1"/>
  <c r="D11" i="40" s="1"/>
  <c r="D12" i="40" s="1"/>
  <c r="F16" i="39"/>
  <c r="K14" i="40"/>
  <c r="K15" i="40" s="1"/>
  <c r="I23" i="39"/>
  <c r="J9" i="40"/>
  <c r="J10" i="40" s="1"/>
  <c r="J11" i="40" s="1"/>
  <c r="J12" i="40" s="1"/>
  <c r="F22" i="39"/>
  <c r="D19" i="40"/>
  <c r="D20" i="40" s="1"/>
  <c r="D21" i="40" s="1"/>
  <c r="D22" i="40" s="1"/>
  <c r="L16" i="39"/>
  <c r="B29" i="40"/>
  <c r="B30" i="40" s="1"/>
  <c r="R14" i="39"/>
  <c r="E17" i="39"/>
  <c r="C29" i="40"/>
  <c r="C30" i="40" s="1"/>
  <c r="R15" i="39"/>
  <c r="F5" i="39"/>
  <c r="J18" i="40"/>
  <c r="J16" i="40"/>
  <c r="J17" i="40" s="1"/>
  <c r="F29" i="40"/>
  <c r="F30" i="40" s="1"/>
  <c r="R18" i="39"/>
  <c r="G19" i="40"/>
  <c r="G20" i="40" s="1"/>
  <c r="G21" i="40" s="1"/>
  <c r="G22" i="40" s="1"/>
  <c r="L19" i="39"/>
  <c r="F9" i="40"/>
  <c r="F10" i="40" s="1"/>
  <c r="F11" i="40" s="1"/>
  <c r="F12" i="40" s="1"/>
  <c r="F18" i="39"/>
  <c r="K6" i="40"/>
  <c r="K7" i="40" s="1"/>
  <c r="C23" i="39"/>
  <c r="B19" i="40"/>
  <c r="B20" i="40" s="1"/>
  <c r="B21" i="40" s="1"/>
  <c r="B22" i="40" s="1"/>
  <c r="L24" i="39"/>
  <c r="L14" i="39"/>
  <c r="C19" i="40"/>
  <c r="C20" i="40" s="1"/>
  <c r="C21" i="40" s="1"/>
  <c r="C22" i="40" s="1"/>
  <c r="L15" i="39"/>
  <c r="F6" i="39"/>
  <c r="K8" i="40" l="1"/>
  <c r="K2" i="40"/>
  <c r="K4" i="40" s="1"/>
  <c r="K33" i="40" s="1"/>
  <c r="B32" i="40"/>
  <c r="I6" i="40"/>
  <c r="I7" i="40" s="1"/>
  <c r="C21" i="39"/>
  <c r="T20" i="39"/>
  <c r="N20" i="39"/>
  <c r="B20" i="39"/>
  <c r="Q20" i="39"/>
  <c r="B30" i="41"/>
  <c r="C9" i="40"/>
  <c r="C10" i="40" s="1"/>
  <c r="C11" i="40" s="1"/>
  <c r="C12" i="40" s="1"/>
  <c r="F15" i="39"/>
  <c r="K36" i="40"/>
  <c r="K37" i="40" s="1"/>
  <c r="I19" i="40"/>
  <c r="I20" i="40" s="1"/>
  <c r="L21" i="39"/>
  <c r="C33" i="40"/>
  <c r="H15" i="11" s="1"/>
  <c r="C31" i="40"/>
  <c r="C32" i="40" s="1"/>
  <c r="K21" i="40"/>
  <c r="K22" i="40" s="1"/>
  <c r="D33" i="40"/>
  <c r="H12" i="11" s="1"/>
  <c r="D31" i="40"/>
  <c r="D32" i="40" s="1"/>
  <c r="I24" i="40"/>
  <c r="I25" i="40" s="1"/>
  <c r="O21" i="39"/>
  <c r="H20" i="39"/>
  <c r="K20" i="39"/>
  <c r="E20" i="39"/>
  <c r="H30" i="41"/>
  <c r="F33" i="40"/>
  <c r="H10" i="11" s="1"/>
  <c r="F31" i="40"/>
  <c r="F32" i="40" s="1"/>
  <c r="E9" i="40"/>
  <c r="E10" i="40" s="1"/>
  <c r="E11" i="40" s="1"/>
  <c r="E12" i="40" s="1"/>
  <c r="F17" i="39"/>
  <c r="K18" i="40"/>
  <c r="K16" i="40"/>
  <c r="K17" i="40" s="1"/>
  <c r="I34" i="40"/>
  <c r="I35" i="40" s="1"/>
  <c r="U21" i="39"/>
  <c r="E31" i="40"/>
  <c r="E32" i="40" s="1"/>
  <c r="J33" i="40"/>
  <c r="H13" i="11" s="1"/>
  <c r="J31" i="40"/>
  <c r="J32" i="40" s="1"/>
  <c r="K31" i="40"/>
  <c r="K32" i="40" s="1"/>
  <c r="K26" i="40"/>
  <c r="K27" i="40" s="1"/>
  <c r="I9" i="40"/>
  <c r="I10" i="40" s="1"/>
  <c r="I11" i="40" s="1"/>
  <c r="I12" i="40" s="1"/>
  <c r="F21" i="39"/>
  <c r="I29" i="40"/>
  <c r="I30" i="40" s="1"/>
  <c r="R21" i="39"/>
  <c r="K9" i="40"/>
  <c r="K10" i="40" s="1"/>
  <c r="K11" i="40" s="1"/>
  <c r="K12" i="40" s="1"/>
  <c r="F23" i="39"/>
  <c r="I14" i="40"/>
  <c r="I15" i="40" s="1"/>
  <c r="I21" i="39"/>
  <c r="G33" i="40"/>
  <c r="H11" i="11" s="1"/>
  <c r="G31" i="40"/>
  <c r="G32" i="40" s="1"/>
  <c r="I21" i="40" l="1"/>
  <c r="I22" i="40" s="1"/>
  <c r="I36" i="40"/>
  <c r="I37" i="40" s="1"/>
  <c r="I26" i="40"/>
  <c r="I27" i="40" s="1"/>
  <c r="I31" i="40"/>
  <c r="I32" i="40" s="1"/>
  <c r="H14" i="40"/>
  <c r="H15" i="40" s="1"/>
  <c r="I20" i="39"/>
  <c r="H24" i="40"/>
  <c r="H25" i="40" s="1"/>
  <c r="O20" i="39"/>
  <c r="I16" i="40"/>
  <c r="I17" i="40" s="1"/>
  <c r="B24" i="39"/>
  <c r="C24" i="39" s="1"/>
  <c r="Q24" i="39"/>
  <c r="R24" i="39" s="1"/>
  <c r="T24" i="39"/>
  <c r="U24" i="39" s="1"/>
  <c r="N24" i="39"/>
  <c r="O24" i="39" s="1"/>
  <c r="H34" i="40"/>
  <c r="H35" i="40" s="1"/>
  <c r="U20" i="39"/>
  <c r="H9" i="40"/>
  <c r="H10" i="40" s="1"/>
  <c r="F20" i="39"/>
  <c r="H29" i="40"/>
  <c r="H30" i="40" s="1"/>
  <c r="R20" i="39"/>
  <c r="H19" i="40"/>
  <c r="H20" i="40" s="1"/>
  <c r="L20" i="39"/>
  <c r="H6" i="40"/>
  <c r="H7" i="40" s="1"/>
  <c r="C20" i="39"/>
  <c r="I8" i="40"/>
  <c r="I2" i="40"/>
  <c r="I4" i="40" s="1"/>
  <c r="I33" i="40" s="1"/>
  <c r="H21" i="40" l="1"/>
  <c r="H22" i="40" s="1"/>
  <c r="H11" i="40"/>
  <c r="H12" i="40" s="1"/>
  <c r="I18" i="40"/>
  <c r="H16" i="40"/>
  <c r="H17" i="40" s="1"/>
  <c r="H8" i="40"/>
  <c r="H2" i="40"/>
  <c r="H4" i="40" s="1"/>
  <c r="H18" i="40" s="1"/>
  <c r="H31" i="40"/>
  <c r="H32" i="40" s="1"/>
  <c r="H36" i="40"/>
  <c r="H37" i="40" s="1"/>
  <c r="H26" i="40"/>
  <c r="H27" i="40" s="1"/>
  <c r="H33" i="40" l="1"/>
  <c r="AN30" i="41"/>
  <c r="AK30" i="41" l="1"/>
  <c r="AH30" i="41" l="1"/>
  <c r="AN4" i="41" l="1"/>
  <c r="W30" i="41"/>
  <c r="W4" i="41" l="1"/>
  <c r="Z30" i="41"/>
  <c r="AC30" i="41"/>
  <c r="AK4" i="41"/>
  <c r="Z4" i="41" l="1"/>
  <c r="AH4" i="41" l="1"/>
  <c r="AC4" i="41" l="1"/>
  <c r="G8" i="10" l="1"/>
  <c r="B3" i="40" s="1"/>
  <c r="B4" i="40" s="1"/>
  <c r="H14" i="11" l="1"/>
  <c r="BD32" i="38"/>
  <c r="BD28" i="38"/>
  <c r="BD31" i="38"/>
  <c r="BD29" i="38" l="1"/>
  <c r="BD26" i="38"/>
  <c r="BD44" i="38" s="1"/>
  <c r="BD30" i="38"/>
  <c r="BD27" i="38"/>
  <c r="BD52" i="38" l="1"/>
  <c r="BD48" i="38"/>
  <c r="BD56" i="38"/>
  <c r="BD105" i="38" s="1"/>
  <c r="BD58" i="38"/>
  <c r="BD107" i="38" s="1"/>
  <c r="BD51" i="38"/>
  <c r="BD47" i="38"/>
  <c r="BD55" i="38"/>
  <c r="BD104" i="38" s="1"/>
  <c r="BD57" i="38"/>
  <c r="BD108" i="38" s="1"/>
  <c r="BD50" i="38"/>
  <c r="BD53" i="38"/>
  <c r="BD49" i="38"/>
  <c r="BD35" i="38"/>
  <c r="BD39" i="38"/>
  <c r="AY149" i="38" l="1"/>
  <c r="AY148" i="38"/>
  <c r="AY147" i="38"/>
  <c r="AY146" i="38"/>
  <c r="AW146" i="38"/>
  <c r="AY145" i="38"/>
  <c r="AW145" i="38"/>
  <c r="AY144" i="38"/>
  <c r="AW144" i="38"/>
  <c r="AY143" i="38"/>
  <c r="AW143" i="38"/>
  <c r="AY142" i="38"/>
  <c r="AW142" i="38"/>
  <c r="AY141" i="38"/>
  <c r="AY140" i="38"/>
  <c r="AY139" i="38"/>
  <c r="AY138" i="38"/>
  <c r="AY137" i="38"/>
  <c r="AY136" i="38"/>
  <c r="AY135" i="38"/>
  <c r="AW135" i="38"/>
  <c r="AY134" i="38"/>
  <c r="AW134" i="38"/>
  <c r="AY133" i="38"/>
  <c r="AW133" i="38"/>
  <c r="AY132" i="38"/>
  <c r="AW132" i="38"/>
  <c r="AY131" i="38"/>
  <c r="AW131" i="38"/>
  <c r="AY130" i="38"/>
  <c r="AY129" i="38"/>
  <c r="AY128" i="38"/>
  <c r="AY127" i="38"/>
  <c r="AY126" i="38"/>
  <c r="AY125" i="38"/>
  <c r="AY124" i="38"/>
  <c r="AW124" i="38"/>
  <c r="AY123" i="38"/>
  <c r="AW123" i="38"/>
  <c r="AY122" i="38"/>
  <c r="AW122" i="38"/>
  <c r="AY121" i="38"/>
  <c r="AW121" i="38"/>
  <c r="AY120" i="38"/>
  <c r="AW120" i="38"/>
  <c r="AY119" i="38"/>
  <c r="AY118" i="38"/>
  <c r="AY117" i="38"/>
  <c r="AV117" i="38"/>
  <c r="AU117" i="38"/>
  <c r="AT117" i="38"/>
  <c r="AS117" i="38"/>
  <c r="AR117" i="38"/>
  <c r="AQ117" i="38"/>
  <c r="AP117" i="38"/>
  <c r="AO117" i="38"/>
  <c r="AN117" i="38"/>
  <c r="AM117" i="38"/>
  <c r="AL117" i="38"/>
  <c r="AK117" i="38"/>
  <c r="AJ117" i="38"/>
  <c r="AI117" i="38"/>
  <c r="AH117" i="38"/>
  <c r="AG117" i="38"/>
  <c r="AF117" i="38"/>
  <c r="AE117" i="38"/>
  <c r="AD117" i="38"/>
  <c r="AC117" i="38"/>
  <c r="AB117" i="38"/>
  <c r="AA117" i="38"/>
  <c r="Z117" i="38"/>
  <c r="Y117" i="38"/>
  <c r="X117" i="38"/>
  <c r="W117" i="38"/>
  <c r="V117" i="38"/>
  <c r="U117" i="38"/>
  <c r="T117" i="38"/>
  <c r="S117" i="38"/>
  <c r="R117" i="38"/>
  <c r="Q117" i="38"/>
  <c r="P117" i="38"/>
  <c r="O117" i="38"/>
  <c r="N117" i="38"/>
  <c r="M117" i="38"/>
  <c r="L117" i="38"/>
  <c r="K117" i="38"/>
  <c r="J117" i="38"/>
  <c r="I117" i="38"/>
  <c r="H117" i="38"/>
  <c r="G117" i="38"/>
  <c r="F117" i="38"/>
  <c r="E117" i="38"/>
  <c r="D117" i="38"/>
  <c r="AY101" i="38"/>
  <c r="AW101" i="38"/>
  <c r="AZ101" i="38" s="1"/>
  <c r="BB101" i="38" s="1"/>
  <c r="AY100" i="38"/>
  <c r="AY99" i="38"/>
  <c r="AW99" i="38"/>
  <c r="AZ99" i="38" s="1"/>
  <c r="BB99" i="38" s="1"/>
  <c r="AY98" i="38"/>
  <c r="AY95" i="38"/>
  <c r="AV95" i="38"/>
  <c r="AU95" i="38"/>
  <c r="AT95" i="38"/>
  <c r="AS95" i="38"/>
  <c r="AR95" i="38"/>
  <c r="AQ95" i="38"/>
  <c r="AP95" i="38"/>
  <c r="AO95" i="38"/>
  <c r="AN95" i="38"/>
  <c r="AM95" i="38"/>
  <c r="AL95" i="38"/>
  <c r="AK95" i="38"/>
  <c r="AJ95" i="38"/>
  <c r="AI95" i="38"/>
  <c r="AH95" i="38"/>
  <c r="AG95" i="38"/>
  <c r="AF95" i="38"/>
  <c r="AE95" i="38"/>
  <c r="AD95" i="38"/>
  <c r="AC95" i="38"/>
  <c r="AB95" i="38"/>
  <c r="AA95" i="38"/>
  <c r="Z95" i="38"/>
  <c r="Y95" i="38"/>
  <c r="X95" i="38"/>
  <c r="W95" i="38"/>
  <c r="V95" i="38"/>
  <c r="U95" i="38"/>
  <c r="T95" i="38"/>
  <c r="S95" i="38"/>
  <c r="R95" i="38"/>
  <c r="Q95" i="38"/>
  <c r="P95" i="38"/>
  <c r="O95" i="38"/>
  <c r="N95" i="38"/>
  <c r="M95" i="38"/>
  <c r="L95" i="38"/>
  <c r="K95" i="38"/>
  <c r="J95" i="38"/>
  <c r="I95" i="38"/>
  <c r="H95" i="38"/>
  <c r="G95" i="38"/>
  <c r="F95" i="38"/>
  <c r="E95" i="38"/>
  <c r="D95" i="38"/>
  <c r="AY94" i="38"/>
  <c r="AW94" i="38"/>
  <c r="AZ94" i="38" s="1"/>
  <c r="BB94" i="38" s="1"/>
  <c r="BD94" i="38" s="1"/>
  <c r="AY93" i="38"/>
  <c r="AY84" i="38"/>
  <c r="AY83" i="38"/>
  <c r="AY82" i="38"/>
  <c r="AY81" i="38"/>
  <c r="AY80" i="38"/>
  <c r="AY79" i="38"/>
  <c r="AY78" i="38"/>
  <c r="AY77" i="38"/>
  <c r="AY76" i="38"/>
  <c r="AY70" i="38"/>
  <c r="AW70" i="38"/>
  <c r="AZ70" i="38" s="1"/>
  <c r="BB70" i="38" s="1"/>
  <c r="AY69" i="38"/>
  <c r="AW69" i="38"/>
  <c r="AZ69" i="38" s="1"/>
  <c r="AY68" i="38"/>
  <c r="AW68" i="38"/>
  <c r="AZ68" i="38" s="1"/>
  <c r="AY67" i="38"/>
  <c r="AW67" i="38"/>
  <c r="AZ67" i="38" s="1"/>
  <c r="AY66" i="38"/>
  <c r="AW66" i="38"/>
  <c r="AZ66" i="38" s="1"/>
  <c r="BB66" i="38" s="1"/>
  <c r="BD66" i="38" s="1"/>
  <c r="AY65" i="38"/>
  <c r="AW65" i="38"/>
  <c r="AZ65" i="38" s="1"/>
  <c r="BB65" i="38" s="1"/>
  <c r="BD65" i="38" s="1"/>
  <c r="AY64" i="38"/>
  <c r="AW64" i="38"/>
  <c r="AZ64" i="38" s="1"/>
  <c r="BB64" i="38" s="1"/>
  <c r="BD64" i="38" s="1"/>
  <c r="AY63" i="38"/>
  <c r="AW63" i="38"/>
  <c r="AZ63" i="38" s="1"/>
  <c r="BB63" i="38" s="1"/>
  <c r="BD63" i="38" s="1"/>
  <c r="AY62" i="38"/>
  <c r="AW62" i="38"/>
  <c r="AZ62" i="38" s="1"/>
  <c r="BB62" i="38" s="1"/>
  <c r="BD62" i="38" s="1"/>
  <c r="AY61" i="38"/>
  <c r="AW61" i="38"/>
  <c r="AZ61" i="38" s="1"/>
  <c r="AY60" i="38"/>
  <c r="AW60" i="38"/>
  <c r="AZ60" i="38" s="1"/>
  <c r="AY59" i="38"/>
  <c r="AW34" i="38"/>
  <c r="AW32" i="38"/>
  <c r="C32" i="38"/>
  <c r="AY32" i="38" s="1"/>
  <c r="AW31" i="38"/>
  <c r="C31" i="38"/>
  <c r="AY31" i="38" s="1"/>
  <c r="AW30" i="38"/>
  <c r="C30" i="38"/>
  <c r="AY30" i="38" s="1"/>
  <c r="AW29" i="38"/>
  <c r="C29" i="38"/>
  <c r="AY29" i="38" s="1"/>
  <c r="AW28" i="38"/>
  <c r="C28" i="38"/>
  <c r="AY28" i="38" s="1"/>
  <c r="AY27" i="38"/>
  <c r="AW27" i="38"/>
  <c r="AY26" i="38"/>
  <c r="AW26" i="38"/>
  <c r="AY25" i="38"/>
  <c r="AW25" i="38"/>
  <c r="AY24" i="38"/>
  <c r="AW24" i="38"/>
  <c r="BB24" i="38" s="1"/>
  <c r="AY23" i="38"/>
  <c r="AW23" i="38"/>
  <c r="AY22" i="38"/>
  <c r="AW22" i="38"/>
  <c r="AZ21" i="38"/>
  <c r="AY21" i="38"/>
  <c r="AV21" i="38"/>
  <c r="AV34" i="38" s="1"/>
  <c r="AV152" i="38" s="1"/>
  <c r="AU21" i="38"/>
  <c r="AU34" i="38" s="1"/>
  <c r="AU152" i="38" s="1"/>
  <c r="AT21" i="38"/>
  <c r="AT34" i="38" s="1"/>
  <c r="AT152" i="38" s="1"/>
  <c r="AS21" i="38"/>
  <c r="AS34" i="38" s="1"/>
  <c r="AS152" i="38" s="1"/>
  <c r="AR21" i="38"/>
  <c r="AR34" i="38" s="1"/>
  <c r="AR152" i="38" s="1"/>
  <c r="AQ21" i="38"/>
  <c r="AQ34" i="38" s="1"/>
  <c r="AQ152" i="38" s="1"/>
  <c r="AP21" i="38"/>
  <c r="AP34" i="38" s="1"/>
  <c r="AP152" i="38" s="1"/>
  <c r="AO21" i="38"/>
  <c r="AO34" i="38" s="1"/>
  <c r="AO152" i="38" s="1"/>
  <c r="AN21" i="38"/>
  <c r="AN34" i="38" s="1"/>
  <c r="AN152" i="38" s="1"/>
  <c r="AM21" i="38"/>
  <c r="AM34" i="38" s="1"/>
  <c r="AM152" i="38" s="1"/>
  <c r="AL21" i="38"/>
  <c r="AL34" i="38" s="1"/>
  <c r="AL152" i="38" s="1"/>
  <c r="AK21" i="38"/>
  <c r="AK34" i="38" s="1"/>
  <c r="AK152" i="38" s="1"/>
  <c r="AJ21" i="38"/>
  <c r="AJ34" i="38" s="1"/>
  <c r="AJ152" i="38" s="1"/>
  <c r="AI21" i="38"/>
  <c r="AI34" i="38" s="1"/>
  <c r="AI152" i="38" s="1"/>
  <c r="AH21" i="38"/>
  <c r="AH34" i="38" s="1"/>
  <c r="AH152" i="38" s="1"/>
  <c r="AG21" i="38"/>
  <c r="AG34" i="38" s="1"/>
  <c r="AG152" i="38" s="1"/>
  <c r="AF21" i="38"/>
  <c r="AF34" i="38" s="1"/>
  <c r="AF152" i="38" s="1"/>
  <c r="AE21" i="38"/>
  <c r="AE34" i="38" s="1"/>
  <c r="AE152" i="38" s="1"/>
  <c r="AD21" i="38"/>
  <c r="AD34" i="38" s="1"/>
  <c r="AD152" i="38" s="1"/>
  <c r="AC21" i="38"/>
  <c r="AC34" i="38" s="1"/>
  <c r="AC152" i="38" s="1"/>
  <c r="AB21" i="38"/>
  <c r="AB34" i="38" s="1"/>
  <c r="AB152" i="38" s="1"/>
  <c r="AA21" i="38"/>
  <c r="AA34" i="38" s="1"/>
  <c r="AA152" i="38" s="1"/>
  <c r="Z21" i="38"/>
  <c r="Z34" i="38" s="1"/>
  <c r="Z152" i="38" s="1"/>
  <c r="Y21" i="38"/>
  <c r="Y34" i="38" s="1"/>
  <c r="Y152" i="38" s="1"/>
  <c r="X21" i="38"/>
  <c r="X34" i="38" s="1"/>
  <c r="X152" i="38" s="1"/>
  <c r="W21" i="38"/>
  <c r="W34" i="38" s="1"/>
  <c r="W152" i="38" s="1"/>
  <c r="V21" i="38"/>
  <c r="V34" i="38" s="1"/>
  <c r="V152" i="38" s="1"/>
  <c r="U21" i="38"/>
  <c r="U34" i="38" s="1"/>
  <c r="U152" i="38" s="1"/>
  <c r="T21" i="38"/>
  <c r="T34" i="38" s="1"/>
  <c r="T152" i="38" s="1"/>
  <c r="S21" i="38"/>
  <c r="S34" i="38" s="1"/>
  <c r="S152" i="38" s="1"/>
  <c r="R21" i="38"/>
  <c r="R34" i="38" s="1"/>
  <c r="R152" i="38" s="1"/>
  <c r="Q21" i="38"/>
  <c r="Q34" i="38" s="1"/>
  <c r="Q152" i="38" s="1"/>
  <c r="P21" i="38"/>
  <c r="P34" i="38" s="1"/>
  <c r="P152" i="38" s="1"/>
  <c r="O21" i="38"/>
  <c r="O34" i="38" s="1"/>
  <c r="O152" i="38" s="1"/>
  <c r="N21" i="38"/>
  <c r="N34" i="38" s="1"/>
  <c r="N152" i="38" s="1"/>
  <c r="M21" i="38"/>
  <c r="M34" i="38" s="1"/>
  <c r="M152" i="38" s="1"/>
  <c r="L21" i="38"/>
  <c r="L34" i="38" s="1"/>
  <c r="L152" i="38" s="1"/>
  <c r="K21" i="38"/>
  <c r="K34" i="38" s="1"/>
  <c r="K152" i="38" s="1"/>
  <c r="J21" i="38"/>
  <c r="J34" i="38" s="1"/>
  <c r="J152" i="38" s="1"/>
  <c r="I21" i="38"/>
  <c r="I34" i="38" s="1"/>
  <c r="I152" i="38" s="1"/>
  <c r="H21" i="38"/>
  <c r="H34" i="38" s="1"/>
  <c r="H152" i="38" s="1"/>
  <c r="G21" i="38"/>
  <c r="G34" i="38" s="1"/>
  <c r="G152" i="38" s="1"/>
  <c r="F21" i="38"/>
  <c r="F34" i="38" s="1"/>
  <c r="F152" i="38" s="1"/>
  <c r="E21" i="38"/>
  <c r="E34" i="38" s="1"/>
  <c r="E152" i="38" s="1"/>
  <c r="D21" i="38"/>
  <c r="D34" i="38" s="1"/>
  <c r="D152" i="38" s="1"/>
  <c r="AY20" i="38"/>
  <c r="AY19" i="38"/>
  <c r="AY18" i="38"/>
  <c r="AW18" i="38"/>
  <c r="G13" i="11" s="1"/>
  <c r="AY17" i="38"/>
  <c r="AW17" i="38"/>
  <c r="AY16" i="38"/>
  <c r="AW16" i="38"/>
  <c r="AY15" i="38"/>
  <c r="AW15" i="38"/>
  <c r="AY14" i="38"/>
  <c r="AW14" i="38"/>
  <c r="AZ14" i="38" s="1"/>
  <c r="AY13" i="38"/>
  <c r="AY11" i="38"/>
  <c r="AW11" i="38"/>
  <c r="AZ11" i="38" s="1"/>
  <c r="BB11" i="38" s="1"/>
  <c r="BD11" i="38" s="1"/>
  <c r="AY10" i="38"/>
  <c r="AW10" i="38"/>
  <c r="AY9" i="38"/>
  <c r="AW9" i="38"/>
  <c r="AY8" i="38"/>
  <c r="AW8" i="38"/>
  <c r="AY7" i="38"/>
  <c r="AW7" i="38"/>
  <c r="AY6" i="38"/>
  <c r="AW6" i="38"/>
  <c r="AY5" i="38"/>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D64" i="15"/>
  <c r="AV95" i="15"/>
  <c r="AV96" i="15"/>
  <c r="AV98" i="15"/>
  <c r="D95" i="15"/>
  <c r="D96" i="15"/>
  <c r="E35" i="15"/>
  <c r="F35" i="15"/>
  <c r="G35" i="15"/>
  <c r="H35" i="15"/>
  <c r="I35" i="15"/>
  <c r="J35" i="15"/>
  <c r="K35" i="15"/>
  <c r="L35" i="15"/>
  <c r="M35" i="15"/>
  <c r="N35" i="15"/>
  <c r="O35" i="15"/>
  <c r="P35" i="15"/>
  <c r="Q35" i="15"/>
  <c r="R35" i="15"/>
  <c r="S35" i="15"/>
  <c r="T35" i="15"/>
  <c r="U35" i="15"/>
  <c r="V35" i="15"/>
  <c r="W35" i="15"/>
  <c r="X35" i="15"/>
  <c r="Y35" i="15"/>
  <c r="Z35" i="15"/>
  <c r="AA35" i="15"/>
  <c r="AB35" i="15"/>
  <c r="AC35" i="15"/>
  <c r="AD35" i="15"/>
  <c r="AE35" i="15"/>
  <c r="AF35" i="15"/>
  <c r="AG35" i="15"/>
  <c r="AH35" i="15"/>
  <c r="AI35" i="15"/>
  <c r="AJ35" i="15"/>
  <c r="AK35" i="15"/>
  <c r="AL35" i="15"/>
  <c r="AM35" i="15"/>
  <c r="AN35" i="15"/>
  <c r="AO35" i="15"/>
  <c r="AP35" i="15"/>
  <c r="AQ35" i="15"/>
  <c r="AR35" i="15"/>
  <c r="AS35" i="15"/>
  <c r="AT35" i="15"/>
  <c r="AU35" i="15"/>
  <c r="AV35" i="15"/>
  <c r="E36" i="15"/>
  <c r="F36" i="15"/>
  <c r="G36" i="15"/>
  <c r="H36" i="15"/>
  <c r="I36" i="15"/>
  <c r="J36" i="15"/>
  <c r="K36" i="15"/>
  <c r="L36" i="15"/>
  <c r="M36" i="15"/>
  <c r="N36" i="15"/>
  <c r="O36" i="15"/>
  <c r="P36" i="15"/>
  <c r="Q36" i="15"/>
  <c r="R36" i="15"/>
  <c r="S36" i="15"/>
  <c r="T36" i="15"/>
  <c r="U36" i="15"/>
  <c r="V36" i="15"/>
  <c r="W36" i="15"/>
  <c r="X36" i="15"/>
  <c r="Y36" i="15"/>
  <c r="Z36" i="15"/>
  <c r="AA36" i="15"/>
  <c r="AB36" i="15"/>
  <c r="AC36" i="15"/>
  <c r="AD36" i="15"/>
  <c r="AE36" i="15"/>
  <c r="AF36" i="15"/>
  <c r="AG36" i="15"/>
  <c r="AH36" i="15"/>
  <c r="AI36" i="15"/>
  <c r="AJ36" i="15"/>
  <c r="AK36" i="15"/>
  <c r="AL36" i="15"/>
  <c r="AM36" i="15"/>
  <c r="AN36" i="15"/>
  <c r="AO36" i="15"/>
  <c r="AP36" i="15"/>
  <c r="AQ36" i="15"/>
  <c r="AR36" i="15"/>
  <c r="AS36" i="15"/>
  <c r="AT36" i="15"/>
  <c r="AU36" i="15"/>
  <c r="AV36" i="15"/>
  <c r="E37" i="15"/>
  <c r="F37" i="15"/>
  <c r="G37" i="15"/>
  <c r="H37" i="15"/>
  <c r="I37" i="15"/>
  <c r="J37" i="15"/>
  <c r="K37" i="15"/>
  <c r="L37" i="15"/>
  <c r="M37" i="15"/>
  <c r="N37" i="15"/>
  <c r="O37" i="15"/>
  <c r="P37" i="15"/>
  <c r="Q37" i="15"/>
  <c r="R37" i="15"/>
  <c r="S37" i="15"/>
  <c r="T37" i="15"/>
  <c r="U37" i="15"/>
  <c r="V37" i="15"/>
  <c r="W37" i="15"/>
  <c r="X37" i="15"/>
  <c r="Y37" i="15"/>
  <c r="Z37" i="15"/>
  <c r="AA37" i="15"/>
  <c r="AB37" i="15"/>
  <c r="AC37" i="15"/>
  <c r="AD37" i="15"/>
  <c r="AE37" i="15"/>
  <c r="AF37" i="15"/>
  <c r="AG37" i="15"/>
  <c r="AH37" i="15"/>
  <c r="AI37" i="15"/>
  <c r="AJ37" i="15"/>
  <c r="AK37" i="15"/>
  <c r="AL37" i="15"/>
  <c r="AM37" i="15"/>
  <c r="AN37" i="15"/>
  <c r="AO37" i="15"/>
  <c r="AP37" i="15"/>
  <c r="AQ37" i="15"/>
  <c r="AR37" i="15"/>
  <c r="AS37" i="15"/>
  <c r="AT37" i="15"/>
  <c r="AU37" i="15"/>
  <c r="AV37" i="15"/>
  <c r="D37" i="15"/>
  <c r="D36" i="15"/>
  <c r="AW36" i="15" s="1"/>
  <c r="D35" i="15"/>
  <c r="G69" i="15"/>
  <c r="K69" i="15"/>
  <c r="O69" i="15"/>
  <c r="S69" i="15"/>
  <c r="W69" i="15"/>
  <c r="AA69" i="15"/>
  <c r="AE69" i="15"/>
  <c r="AI69" i="15"/>
  <c r="AM69" i="15"/>
  <c r="AQ69" i="15"/>
  <c r="AU69" i="15"/>
  <c r="AW34" i="15"/>
  <c r="G8" i="11" l="1"/>
  <c r="BD101" i="38"/>
  <c r="G9" i="11"/>
  <c r="BD99" i="38"/>
  <c r="BB69" i="38"/>
  <c r="BB74" i="38" s="1"/>
  <c r="AZ74" i="38"/>
  <c r="AZ79" i="38"/>
  <c r="BB37" i="38"/>
  <c r="BB42" i="38"/>
  <c r="AT69" i="15"/>
  <c r="AL69" i="15"/>
  <c r="AH69" i="15"/>
  <c r="AD69" i="15"/>
  <c r="BD70" i="38"/>
  <c r="AP69" i="15"/>
  <c r="Z69" i="15"/>
  <c r="V69" i="15"/>
  <c r="R69" i="15"/>
  <c r="N69" i="15"/>
  <c r="J69" i="15"/>
  <c r="F69" i="15"/>
  <c r="AS69" i="15"/>
  <c r="AO69" i="15"/>
  <c r="AK69" i="15"/>
  <c r="AG69" i="15"/>
  <c r="AC69" i="15"/>
  <c r="Y69" i="15"/>
  <c r="U69" i="15"/>
  <c r="Q69" i="15"/>
  <c r="M69" i="15"/>
  <c r="I69" i="15"/>
  <c r="AW35" i="15"/>
  <c r="AZ17" i="38"/>
  <c r="BB17" i="38" s="1"/>
  <c r="AV69" i="15"/>
  <c r="AR69" i="15"/>
  <c r="AN69" i="15"/>
  <c r="AJ69" i="15"/>
  <c r="AF69" i="15"/>
  <c r="AB69" i="15"/>
  <c r="X69" i="15"/>
  <c r="T69" i="15"/>
  <c r="P69" i="15"/>
  <c r="L69" i="15"/>
  <c r="H69" i="15"/>
  <c r="BB14" i="38"/>
  <c r="E10" i="10"/>
  <c r="AZ15" i="38"/>
  <c r="BB15" i="38" s="1"/>
  <c r="AZ16" i="38"/>
  <c r="BB16" i="38" s="1"/>
  <c r="AZ18" i="38"/>
  <c r="BB18" i="38" s="1"/>
  <c r="BD18" i="38" s="1"/>
  <c r="AW110" i="38"/>
  <c r="AW85" i="38"/>
  <c r="BB68" i="38"/>
  <c r="BD68" i="38" s="1"/>
  <c r="BB67" i="38"/>
  <c r="AW78" i="38"/>
  <c r="AW80" i="38"/>
  <c r="AW108" i="38"/>
  <c r="AW77" i="38"/>
  <c r="AW95" i="38"/>
  <c r="AZ95" i="38" s="1"/>
  <c r="BB95" i="38" s="1"/>
  <c r="AW105" i="38"/>
  <c r="AW106" i="38"/>
  <c r="AW35" i="38"/>
  <c r="BB60" i="38"/>
  <c r="BD60" i="38" s="1"/>
  <c r="AZ77" i="38"/>
  <c r="AZ29" i="38"/>
  <c r="AZ32" i="38"/>
  <c r="AZ28" i="38"/>
  <c r="AZ31" i="38"/>
  <c r="AZ27" i="38"/>
  <c r="AZ26" i="38"/>
  <c r="AZ30" i="38"/>
  <c r="AW76" i="38"/>
  <c r="AW79" i="38"/>
  <c r="BB61" i="38"/>
  <c r="BD61" i="38" s="1"/>
  <c r="AW104" i="38"/>
  <c r="AW107" i="38"/>
  <c r="E69" i="15"/>
  <c r="AW37" i="15"/>
  <c r="D69" i="15"/>
  <c r="BD16" i="38" l="1"/>
  <c r="G11" i="11"/>
  <c r="BD15" i="38"/>
  <c r="G10" i="11"/>
  <c r="G7" i="11"/>
  <c r="BD95" i="38"/>
  <c r="BD17" i="38"/>
  <c r="G12" i="11"/>
  <c r="AZ78" i="38"/>
  <c r="BB45" i="38"/>
  <c r="AZ45" i="38"/>
  <c r="AZ44" i="38"/>
  <c r="AZ85" i="38"/>
  <c r="BD69" i="38"/>
  <c r="BD74" i="38" s="1"/>
  <c r="AZ110" i="38"/>
  <c r="BB78" i="38"/>
  <c r="BD110" i="38"/>
  <c r="BD14" i="38"/>
  <c r="BD85" i="38" s="1"/>
  <c r="AZ76" i="38"/>
  <c r="AZ80" i="38"/>
  <c r="AZ50" i="38"/>
  <c r="AZ56" i="38"/>
  <c r="AZ105" i="38" s="1"/>
  <c r="AZ58" i="38"/>
  <c r="AZ107" i="38" s="1"/>
  <c r="AZ53" i="38"/>
  <c r="AZ49" i="38"/>
  <c r="AZ55" i="38"/>
  <c r="AZ104" i="38" s="1"/>
  <c r="AZ57" i="38"/>
  <c r="AZ108" i="38" s="1"/>
  <c r="AZ52" i="38"/>
  <c r="AZ48" i="38"/>
  <c r="AZ51" i="38"/>
  <c r="AZ47" i="38"/>
  <c r="AZ39" i="38"/>
  <c r="AZ35" i="38"/>
  <c r="BB80" i="38"/>
  <c r="BD80" i="38"/>
  <c r="BD79" i="38"/>
  <c r="BD67" i="38"/>
  <c r="AW109" i="38"/>
  <c r="AW111" i="38"/>
  <c r="AW90" i="38"/>
  <c r="BB32" i="38"/>
  <c r="BB28" i="38"/>
  <c r="BB31" i="38"/>
  <c r="BB27" i="38"/>
  <c r="BB26" i="38"/>
  <c r="BB44" i="38" s="1"/>
  <c r="BB30" i="38"/>
  <c r="BB77" i="38"/>
  <c r="BB29" i="38"/>
  <c r="AW69" i="15"/>
  <c r="AZ90" i="38" l="1"/>
  <c r="BB79" i="38"/>
  <c r="BB76" i="38"/>
  <c r="BD78" i="38"/>
  <c r="BB85" i="38"/>
  <c r="BB110" i="38"/>
  <c r="BD77" i="38"/>
  <c r="AZ54" i="38"/>
  <c r="AZ106" i="38" s="1"/>
  <c r="AZ109" i="38" s="1"/>
  <c r="AZ111" i="38" s="1"/>
  <c r="BD54" i="38"/>
  <c r="BD106" i="38" s="1"/>
  <c r="BD109" i="38" s="1"/>
  <c r="BD45" i="38"/>
  <c r="BD90" i="38" s="1"/>
  <c r="BB57" i="38"/>
  <c r="BB108" i="38" s="1"/>
  <c r="BB51" i="38"/>
  <c r="BB47" i="38"/>
  <c r="BB50" i="38"/>
  <c r="BB53" i="38"/>
  <c r="BB49" i="38"/>
  <c r="BB56" i="38"/>
  <c r="BB105" i="38" s="1"/>
  <c r="BB58" i="38"/>
  <c r="BB107" i="38" s="1"/>
  <c r="BB52" i="38"/>
  <c r="BB48" i="38"/>
  <c r="BB55" i="38"/>
  <c r="BB104" i="38" s="1"/>
  <c r="BD76" i="38"/>
  <c r="BB39" i="38"/>
  <c r="BB35" i="38"/>
  <c r="AW112" i="38"/>
  <c r="AZ112" i="38" l="1"/>
  <c r="BB90" i="38"/>
  <c r="BB54" i="38"/>
  <c r="BB106" i="38" s="1"/>
  <c r="BB109" i="38" s="1"/>
  <c r="BB111" i="38" s="1"/>
  <c r="BD111" i="38"/>
  <c r="BD112" i="38" s="1"/>
  <c r="BB112" i="38" l="1"/>
  <c r="D52" i="15"/>
  <c r="D61" i="15" s="1"/>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AF98" i="15"/>
  <c r="AG98" i="15"/>
  <c r="AH98" i="15"/>
  <c r="AI98" i="15"/>
  <c r="AJ98" i="15"/>
  <c r="AK98" i="15"/>
  <c r="AL98" i="15"/>
  <c r="AM98" i="15"/>
  <c r="AN98" i="15"/>
  <c r="AO98" i="15"/>
  <c r="AP98" i="15"/>
  <c r="AQ98" i="15"/>
  <c r="AR98" i="15"/>
  <c r="AS98" i="15"/>
  <c r="AT98" i="15"/>
  <c r="AU98" i="15"/>
  <c r="D98"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AF85" i="15"/>
  <c r="AG85" i="15"/>
  <c r="AH85" i="15"/>
  <c r="AI85" i="15"/>
  <c r="AJ85" i="15"/>
  <c r="AK85" i="15"/>
  <c r="AL85" i="15"/>
  <c r="AM85" i="15"/>
  <c r="AN85" i="15"/>
  <c r="AO85" i="15"/>
  <c r="AP85" i="15"/>
  <c r="AQ85" i="15"/>
  <c r="AR85" i="15"/>
  <c r="AS85" i="15"/>
  <c r="AT85" i="15"/>
  <c r="AU85" i="15"/>
  <c r="AV85"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AF86" i="15"/>
  <c r="AG86" i="15"/>
  <c r="AH86" i="15"/>
  <c r="AI86" i="15"/>
  <c r="AJ86" i="15"/>
  <c r="AK86" i="15"/>
  <c r="AL86" i="15"/>
  <c r="AM86" i="15"/>
  <c r="AN86" i="15"/>
  <c r="AO86" i="15"/>
  <c r="AP86" i="15"/>
  <c r="AQ86" i="15"/>
  <c r="AR86" i="15"/>
  <c r="AS86" i="15"/>
  <c r="AT86" i="15"/>
  <c r="AU86" i="15"/>
  <c r="AV86"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AF87" i="15"/>
  <c r="AG87" i="15"/>
  <c r="AH87" i="15"/>
  <c r="AI87" i="15"/>
  <c r="AJ87" i="15"/>
  <c r="AK87" i="15"/>
  <c r="AL87" i="15"/>
  <c r="AM87" i="15"/>
  <c r="AN87" i="15"/>
  <c r="AO87" i="15"/>
  <c r="AP87" i="15"/>
  <c r="AQ87" i="15"/>
  <c r="AR87" i="15"/>
  <c r="AS87" i="15"/>
  <c r="AT87" i="15"/>
  <c r="AU87" i="15"/>
  <c r="AV87"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AF88" i="15"/>
  <c r="AG88" i="15"/>
  <c r="AH88" i="15"/>
  <c r="AI88" i="15"/>
  <c r="AJ88" i="15"/>
  <c r="AK88" i="15"/>
  <c r="AL88" i="15"/>
  <c r="AM88" i="15"/>
  <c r="AN88" i="15"/>
  <c r="AO88" i="15"/>
  <c r="AP88" i="15"/>
  <c r="AQ88" i="15"/>
  <c r="AR88" i="15"/>
  <c r="AS88" i="15"/>
  <c r="AT88" i="15"/>
  <c r="AU88" i="15"/>
  <c r="AV88"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AF89" i="15"/>
  <c r="AG89" i="15"/>
  <c r="AH89" i="15"/>
  <c r="AI89" i="15"/>
  <c r="AJ89" i="15"/>
  <c r="AK89" i="15"/>
  <c r="AL89" i="15"/>
  <c r="AM89" i="15"/>
  <c r="AN89" i="15"/>
  <c r="AO89" i="15"/>
  <c r="AP89" i="15"/>
  <c r="AQ89" i="15"/>
  <c r="AR89" i="15"/>
  <c r="AS89" i="15"/>
  <c r="AT89" i="15"/>
  <c r="AU89" i="15"/>
  <c r="AV89"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AF90" i="15"/>
  <c r="AG90" i="15"/>
  <c r="AH90" i="15"/>
  <c r="AI90" i="15"/>
  <c r="AJ90" i="15"/>
  <c r="AK90" i="15"/>
  <c r="AL90" i="15"/>
  <c r="AM90" i="15"/>
  <c r="AN90" i="15"/>
  <c r="AO90" i="15"/>
  <c r="AP90" i="15"/>
  <c r="AQ90" i="15"/>
  <c r="AR90" i="15"/>
  <c r="AS90" i="15"/>
  <c r="AT90" i="15"/>
  <c r="AU90" i="15"/>
  <c r="AV90"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AF91" i="15"/>
  <c r="AG91" i="15"/>
  <c r="AH91" i="15"/>
  <c r="AI91" i="15"/>
  <c r="AJ91" i="15"/>
  <c r="AK91" i="15"/>
  <c r="AL91" i="15"/>
  <c r="AM91" i="15"/>
  <c r="AN91" i="15"/>
  <c r="AO91" i="15"/>
  <c r="AP91" i="15"/>
  <c r="AQ91" i="15"/>
  <c r="AR91" i="15"/>
  <c r="AS91" i="15"/>
  <c r="AT91" i="15"/>
  <c r="AU91" i="15"/>
  <c r="AV91"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AF92" i="15"/>
  <c r="AG92" i="15"/>
  <c r="AH92" i="15"/>
  <c r="AI92" i="15"/>
  <c r="AJ92" i="15"/>
  <c r="AK92" i="15"/>
  <c r="AL92" i="15"/>
  <c r="AM92" i="15"/>
  <c r="AN92" i="15"/>
  <c r="AO92" i="15"/>
  <c r="AP92" i="15"/>
  <c r="AQ92" i="15"/>
  <c r="AR92" i="15"/>
  <c r="AS92" i="15"/>
  <c r="AT92" i="15"/>
  <c r="AU92" i="15"/>
  <c r="AV92"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AF93" i="15"/>
  <c r="AG93" i="15"/>
  <c r="AH93" i="15"/>
  <c r="AI93" i="15"/>
  <c r="AJ93" i="15"/>
  <c r="AK93" i="15"/>
  <c r="AL93" i="15"/>
  <c r="AM93" i="15"/>
  <c r="AN93" i="15"/>
  <c r="AO93" i="15"/>
  <c r="AP93" i="15"/>
  <c r="AQ93" i="15"/>
  <c r="AR93" i="15"/>
  <c r="AS93" i="15"/>
  <c r="AT93" i="15"/>
  <c r="AU93" i="15"/>
  <c r="AV93"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AF94" i="15"/>
  <c r="AG94" i="15"/>
  <c r="AH94" i="15"/>
  <c r="AI94" i="15"/>
  <c r="AJ94" i="15"/>
  <c r="AK94" i="15"/>
  <c r="AL94" i="15"/>
  <c r="AM94" i="15"/>
  <c r="AN94" i="15"/>
  <c r="AO94" i="15"/>
  <c r="AP94" i="15"/>
  <c r="AQ94" i="15"/>
  <c r="AR94" i="15"/>
  <c r="AS94" i="15"/>
  <c r="AT94" i="15"/>
  <c r="AU94" i="15"/>
  <c r="AV94"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AF95" i="15"/>
  <c r="AG95" i="15"/>
  <c r="AH95" i="15"/>
  <c r="AI95" i="15"/>
  <c r="AJ95" i="15"/>
  <c r="AK95" i="15"/>
  <c r="AL95" i="15"/>
  <c r="AM95" i="15"/>
  <c r="AN95" i="15"/>
  <c r="AO95" i="15"/>
  <c r="AP95" i="15"/>
  <c r="AQ95" i="15"/>
  <c r="AR95" i="15"/>
  <c r="AS95" i="15"/>
  <c r="AT95" i="15"/>
  <c r="AU95"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AF96" i="15"/>
  <c r="AG96" i="15"/>
  <c r="AH96" i="15"/>
  <c r="AI96" i="15"/>
  <c r="AJ96" i="15"/>
  <c r="AK96" i="15"/>
  <c r="AL96" i="15"/>
  <c r="AM96" i="15"/>
  <c r="AN96" i="15"/>
  <c r="AO96" i="15"/>
  <c r="AP96" i="15"/>
  <c r="AQ96" i="15"/>
  <c r="AR96" i="15"/>
  <c r="AS96" i="15"/>
  <c r="AT96" i="15"/>
  <c r="AU96" i="15"/>
  <c r="D94" i="15"/>
  <c r="D93" i="15"/>
  <c r="D92" i="15"/>
  <c r="D91" i="15"/>
  <c r="D90" i="15"/>
  <c r="D89" i="15"/>
  <c r="D88" i="15"/>
  <c r="D87" i="15"/>
  <c r="D86" i="15"/>
  <c r="D85"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AF84" i="15"/>
  <c r="AG84" i="15"/>
  <c r="AH84" i="15"/>
  <c r="AI84" i="15"/>
  <c r="AJ84" i="15"/>
  <c r="AK84" i="15"/>
  <c r="AL84" i="15"/>
  <c r="AM84" i="15"/>
  <c r="AN84" i="15"/>
  <c r="AO84" i="15"/>
  <c r="AP84" i="15"/>
  <c r="AQ84" i="15"/>
  <c r="AR84" i="15"/>
  <c r="AS84" i="15"/>
  <c r="AT84" i="15"/>
  <c r="AU84" i="15"/>
  <c r="AV84" i="15"/>
  <c r="D84" i="15"/>
  <c r="BD84"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AF83" i="15"/>
  <c r="AG83" i="15"/>
  <c r="AH83" i="15"/>
  <c r="AI83" i="15"/>
  <c r="AJ83" i="15"/>
  <c r="AK83" i="15"/>
  <c r="AL83" i="15"/>
  <c r="AM83" i="15"/>
  <c r="AN83" i="15"/>
  <c r="AO83" i="15"/>
  <c r="AP83" i="15"/>
  <c r="AQ83" i="15"/>
  <c r="AR83" i="15"/>
  <c r="AS83" i="15"/>
  <c r="AT83" i="15"/>
  <c r="AU83" i="15"/>
  <c r="AV83" i="15"/>
  <c r="D83" i="15"/>
  <c r="BD83" i="15"/>
  <c r="BG82" i="15"/>
  <c r="BE82" i="15"/>
  <c r="BD82" i="15"/>
  <c r="AV97" i="15" l="1"/>
  <c r="AE97" i="15"/>
  <c r="W97" i="15"/>
  <c r="G97" i="15"/>
  <c r="AU97" i="15"/>
  <c r="K97" i="15"/>
  <c r="O97" i="15"/>
  <c r="AP97" i="15"/>
  <c r="AH97" i="15"/>
  <c r="Z97" i="15"/>
  <c r="R97" i="15"/>
  <c r="J97" i="15"/>
  <c r="AT97" i="15"/>
  <c r="AL97" i="15"/>
  <c r="AD97" i="15"/>
  <c r="V97" i="15"/>
  <c r="N97" i="15"/>
  <c r="F97" i="15"/>
  <c r="AS97" i="15"/>
  <c r="AO97" i="15"/>
  <c r="AK97" i="15"/>
  <c r="AG97" i="15"/>
  <c r="AC97" i="15"/>
  <c r="Y97" i="15"/>
  <c r="U97" i="15"/>
  <c r="Q97" i="15"/>
  <c r="M97" i="15"/>
  <c r="I97" i="15"/>
  <c r="E97" i="15"/>
  <c r="S97" i="15"/>
  <c r="AW92" i="15"/>
  <c r="AR97" i="15"/>
  <c r="AN97" i="15"/>
  <c r="AJ97" i="15"/>
  <c r="AF97" i="15"/>
  <c r="AW88" i="15"/>
  <c r="AB97" i="15"/>
  <c r="X97" i="15"/>
  <c r="T97" i="15"/>
  <c r="P97" i="15"/>
  <c r="L97" i="15"/>
  <c r="H97" i="15"/>
  <c r="AQ97" i="15"/>
  <c r="AM97" i="15"/>
  <c r="AI97" i="15"/>
  <c r="AA97" i="15"/>
  <c r="AW85" i="15"/>
  <c r="AW89" i="15"/>
  <c r="AW93" i="15"/>
  <c r="AW98" i="15"/>
  <c r="AW86" i="15"/>
  <c r="AW90" i="15"/>
  <c r="AW94" i="15"/>
  <c r="AW96" i="15"/>
  <c r="D97" i="15"/>
  <c r="AW87" i="15"/>
  <c r="AW91" i="15"/>
  <c r="AW95" i="15"/>
  <c r="AW84" i="15"/>
  <c r="AW83" i="15"/>
  <c r="D99" i="15" l="1"/>
  <c r="D100" i="15" s="1"/>
  <c r="AW97" i="15"/>
  <c r="BG74" i="15" l="1"/>
  <c r="BD64" i="15"/>
  <c r="BD63" i="15"/>
  <c r="D62" i="15" l="1"/>
  <c r="BD26" i="37" l="1"/>
  <c r="BD106" i="37"/>
  <c r="BD105" i="37"/>
  <c r="BD104" i="37"/>
  <c r="BD103" i="37"/>
  <c r="AW103" i="37"/>
  <c r="BD102" i="37"/>
  <c r="AW102" i="37"/>
  <c r="BD101" i="37"/>
  <c r="AW101" i="37"/>
  <c r="BD100" i="37"/>
  <c r="AW100" i="37"/>
  <c r="BD99" i="37"/>
  <c r="AW99" i="37"/>
  <c r="BD98" i="37"/>
  <c r="BD97" i="37"/>
  <c r="BD96" i="37"/>
  <c r="BD95" i="37"/>
  <c r="BD94" i="37"/>
  <c r="BD93" i="37"/>
  <c r="BD92" i="37"/>
  <c r="AW92" i="37"/>
  <c r="BD91" i="37"/>
  <c r="AW91" i="37"/>
  <c r="BD90" i="37"/>
  <c r="AW90" i="37"/>
  <c r="BD89" i="37"/>
  <c r="AW89" i="37"/>
  <c r="BD88" i="37"/>
  <c r="AW88" i="37"/>
  <c r="BD87" i="37"/>
  <c r="BD86" i="37"/>
  <c r="BD85" i="37"/>
  <c r="BD84" i="37"/>
  <c r="BD83" i="37"/>
  <c r="BD82" i="37"/>
  <c r="BD81" i="37"/>
  <c r="AW81" i="37"/>
  <c r="BD80" i="37"/>
  <c r="AW80" i="37"/>
  <c r="BD79" i="37"/>
  <c r="AW79" i="37"/>
  <c r="BD78" i="37"/>
  <c r="AW78" i="37"/>
  <c r="BD77" i="37"/>
  <c r="AW77" i="37"/>
  <c r="BD76" i="37"/>
  <c r="BD75" i="37"/>
  <c r="BD74" i="37"/>
  <c r="AV74" i="37"/>
  <c r="AU74" i="37"/>
  <c r="AT74" i="37"/>
  <c r="AS74" i="37"/>
  <c r="AR74" i="37"/>
  <c r="AQ74" i="37"/>
  <c r="AP74" i="37"/>
  <c r="AO74" i="37"/>
  <c r="AN74" i="37"/>
  <c r="AM74" i="37"/>
  <c r="AL74" i="37"/>
  <c r="AK74" i="37"/>
  <c r="AJ74" i="37"/>
  <c r="AI74" i="37"/>
  <c r="AH74" i="37"/>
  <c r="AG74" i="37"/>
  <c r="AF74" i="37"/>
  <c r="AE74" i="37"/>
  <c r="AD74" i="37"/>
  <c r="AC74" i="37"/>
  <c r="AB74" i="37"/>
  <c r="AA74" i="37"/>
  <c r="Z74" i="37"/>
  <c r="Y74" i="37"/>
  <c r="X74" i="37"/>
  <c r="W74" i="37"/>
  <c r="V74" i="37"/>
  <c r="U74" i="37"/>
  <c r="T74" i="37"/>
  <c r="S74" i="37"/>
  <c r="R74" i="37"/>
  <c r="Q74" i="37"/>
  <c r="P74" i="37"/>
  <c r="O74" i="37"/>
  <c r="N74" i="37"/>
  <c r="M74" i="37"/>
  <c r="L74" i="37"/>
  <c r="K74" i="37"/>
  <c r="J74" i="37"/>
  <c r="I74" i="37"/>
  <c r="H74" i="37"/>
  <c r="G74" i="37"/>
  <c r="F74" i="37"/>
  <c r="E74" i="37"/>
  <c r="D74" i="37"/>
  <c r="BD73" i="37"/>
  <c r="BE72" i="37"/>
  <c r="BD72" i="37"/>
  <c r="AW72" i="37"/>
  <c r="BD71" i="37"/>
  <c r="AW71" i="37"/>
  <c r="BE71" i="37" s="1"/>
  <c r="BD70" i="37"/>
  <c r="AW70" i="37"/>
  <c r="BE70" i="37" s="1"/>
  <c r="BD69" i="37"/>
  <c r="AW69" i="37"/>
  <c r="BE69" i="37" s="1"/>
  <c r="BD68" i="37"/>
  <c r="AW68" i="37"/>
  <c r="BE68" i="37" s="1"/>
  <c r="BD67" i="37"/>
  <c r="AW67" i="37"/>
  <c r="BE67" i="37" s="1"/>
  <c r="BD66" i="37"/>
  <c r="BD65" i="37"/>
  <c r="BD64" i="37"/>
  <c r="AW64" i="37"/>
  <c r="BD63" i="37"/>
  <c r="BD62" i="37"/>
  <c r="AW62" i="37"/>
  <c r="BD61" i="37"/>
  <c r="BD60" i="37"/>
  <c r="BD59" i="37"/>
  <c r="BE58" i="37"/>
  <c r="BD58" i="37"/>
  <c r="AV58" i="37"/>
  <c r="AU58" i="37"/>
  <c r="AT58" i="37"/>
  <c r="AS58" i="37"/>
  <c r="AR58" i="37"/>
  <c r="AQ58" i="37"/>
  <c r="AP58" i="37"/>
  <c r="AO58" i="37"/>
  <c r="AN58" i="37"/>
  <c r="AM58" i="37"/>
  <c r="AL58" i="37"/>
  <c r="AK58" i="37"/>
  <c r="AJ58" i="37"/>
  <c r="AI58" i="37"/>
  <c r="AH58" i="37"/>
  <c r="AG58" i="37"/>
  <c r="AF58" i="37"/>
  <c r="AE58" i="37"/>
  <c r="AD58" i="37"/>
  <c r="AC58"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BD57" i="37"/>
  <c r="AW57" i="37"/>
  <c r="BD56" i="37"/>
  <c r="BD50" i="37"/>
  <c r="BD49" i="37"/>
  <c r="BD48" i="37"/>
  <c r="AV48" i="37"/>
  <c r="AU48" i="37"/>
  <c r="AT48" i="37"/>
  <c r="AS48" i="37"/>
  <c r="AR48" i="37"/>
  <c r="AQ48" i="37"/>
  <c r="AP48" i="37"/>
  <c r="AO48" i="37"/>
  <c r="AN48" i="37"/>
  <c r="AM48" i="37"/>
  <c r="AL48" i="37"/>
  <c r="AK48" i="37"/>
  <c r="AJ48" i="37"/>
  <c r="AI48" i="37"/>
  <c r="AH48" i="37"/>
  <c r="AG48" i="37"/>
  <c r="AF48" i="37"/>
  <c r="AE48" i="37"/>
  <c r="AD48" i="37"/>
  <c r="AC48" i="37"/>
  <c r="AB48" i="37"/>
  <c r="AA48" i="37"/>
  <c r="Z48" i="37"/>
  <c r="Y48" i="37"/>
  <c r="X48" i="37"/>
  <c r="W48" i="37"/>
  <c r="V48" i="37"/>
  <c r="U48" i="37"/>
  <c r="T48" i="37"/>
  <c r="S48" i="37"/>
  <c r="R48" i="37"/>
  <c r="Q48" i="37"/>
  <c r="P48" i="37"/>
  <c r="O48" i="37"/>
  <c r="N48" i="37"/>
  <c r="M48" i="37"/>
  <c r="L48" i="37"/>
  <c r="K48" i="37"/>
  <c r="J48" i="37"/>
  <c r="I48" i="37"/>
  <c r="H48" i="37"/>
  <c r="G48" i="37"/>
  <c r="F48" i="37"/>
  <c r="E48" i="37"/>
  <c r="D48" i="37"/>
  <c r="BD47" i="37"/>
  <c r="BD46" i="37"/>
  <c r="BD45" i="37"/>
  <c r="BD44" i="37"/>
  <c r="BD43" i="37"/>
  <c r="AV43" i="37"/>
  <c r="AU43" i="37"/>
  <c r="AT43" i="37"/>
  <c r="AS43" i="37"/>
  <c r="AR43" i="37"/>
  <c r="AQ43" i="37"/>
  <c r="AP43" i="37"/>
  <c r="AO43" i="37"/>
  <c r="AN43" i="37"/>
  <c r="AM43" i="37"/>
  <c r="AL43" i="37"/>
  <c r="AK43" i="37"/>
  <c r="AJ43" i="37"/>
  <c r="AI43" i="37"/>
  <c r="AH43" i="37"/>
  <c r="AG43" i="37"/>
  <c r="AF43" i="37"/>
  <c r="AE43" i="37"/>
  <c r="AD43" i="37"/>
  <c r="AC43" i="37"/>
  <c r="AB43" i="37"/>
  <c r="AA43" i="37"/>
  <c r="Z43" i="37"/>
  <c r="Y43" i="37"/>
  <c r="X43" i="37"/>
  <c r="W43" i="37"/>
  <c r="V43" i="37"/>
  <c r="U43" i="37"/>
  <c r="T43" i="37"/>
  <c r="S43" i="37"/>
  <c r="R43" i="37"/>
  <c r="Q43" i="37"/>
  <c r="P43" i="37"/>
  <c r="O43" i="37"/>
  <c r="N43" i="37"/>
  <c r="M43" i="37"/>
  <c r="L43" i="37"/>
  <c r="K43" i="37"/>
  <c r="J43" i="37"/>
  <c r="I43" i="37"/>
  <c r="H43" i="37"/>
  <c r="G43" i="37"/>
  <c r="F43" i="37"/>
  <c r="E43" i="37"/>
  <c r="D43" i="37"/>
  <c r="BD42" i="37"/>
  <c r="AV42" i="37"/>
  <c r="AU42" i="37"/>
  <c r="AT42" i="37"/>
  <c r="AS42" i="37"/>
  <c r="AR42" i="37"/>
  <c r="AQ42" i="37"/>
  <c r="AP42" i="37"/>
  <c r="AO42" i="37"/>
  <c r="AN42" i="37"/>
  <c r="AM42" i="37"/>
  <c r="AL42" i="37"/>
  <c r="AK42" i="37"/>
  <c r="AJ42" i="37"/>
  <c r="AI42" i="37"/>
  <c r="AH42" i="37"/>
  <c r="AG42" i="37"/>
  <c r="AF42" i="37"/>
  <c r="AE42" i="37"/>
  <c r="AD42" i="37"/>
  <c r="AC42" i="37"/>
  <c r="AB42" i="37"/>
  <c r="AA42" i="37"/>
  <c r="Z42" i="37"/>
  <c r="Y42" i="37"/>
  <c r="X42" i="37"/>
  <c r="W42" i="37"/>
  <c r="V42" i="37"/>
  <c r="U42" i="37"/>
  <c r="T42" i="37"/>
  <c r="S42" i="37"/>
  <c r="R42" i="37"/>
  <c r="Q42" i="37"/>
  <c r="P42" i="37"/>
  <c r="O42" i="37"/>
  <c r="N42" i="37"/>
  <c r="M42" i="37"/>
  <c r="L42" i="37"/>
  <c r="K42" i="37"/>
  <c r="J42" i="37"/>
  <c r="I42" i="37"/>
  <c r="H42" i="37"/>
  <c r="G42" i="37"/>
  <c r="F42" i="37"/>
  <c r="E42" i="37"/>
  <c r="D42" i="37"/>
  <c r="BD41" i="37"/>
  <c r="AV41" i="37"/>
  <c r="AU41" i="37"/>
  <c r="AT41" i="37"/>
  <c r="AS41" i="37"/>
  <c r="AR41" i="37"/>
  <c r="AQ41" i="37"/>
  <c r="AP41" i="37"/>
  <c r="AO41" i="37"/>
  <c r="AN41" i="37"/>
  <c r="AM41" i="37"/>
  <c r="AL41" i="37"/>
  <c r="AK41" i="37"/>
  <c r="AJ41" i="37"/>
  <c r="AI41" i="37"/>
  <c r="AH41" i="37"/>
  <c r="AG41" i="37"/>
  <c r="AF41" i="37"/>
  <c r="AE41" i="37"/>
  <c r="AD41" i="37"/>
  <c r="AC41" i="37"/>
  <c r="AB41" i="37"/>
  <c r="AA41" i="37"/>
  <c r="Z41" i="37"/>
  <c r="Y41" i="37"/>
  <c r="X41" i="37"/>
  <c r="W41" i="37"/>
  <c r="V41" i="37"/>
  <c r="U41" i="37"/>
  <c r="T41" i="37"/>
  <c r="S41" i="37"/>
  <c r="R41" i="37"/>
  <c r="Q41" i="37"/>
  <c r="P41" i="37"/>
  <c r="O41" i="37"/>
  <c r="N41" i="37"/>
  <c r="M41" i="37"/>
  <c r="L41" i="37"/>
  <c r="K41" i="37"/>
  <c r="J41" i="37"/>
  <c r="I41" i="37"/>
  <c r="H41" i="37"/>
  <c r="G41" i="37"/>
  <c r="F41" i="37"/>
  <c r="E41" i="37"/>
  <c r="D41" i="37"/>
  <c r="BD40" i="37"/>
  <c r="AV40" i="37"/>
  <c r="AU40" i="37"/>
  <c r="AT40" i="37"/>
  <c r="AS40" i="37"/>
  <c r="AR40" i="37"/>
  <c r="AQ40" i="37"/>
  <c r="AP40" i="37"/>
  <c r="AO40" i="37"/>
  <c r="AN40" i="37"/>
  <c r="AM40" i="37"/>
  <c r="AL40" i="37"/>
  <c r="AK40" i="37"/>
  <c r="AJ40" i="37"/>
  <c r="AI40" i="37"/>
  <c r="AH40" i="37"/>
  <c r="AG40" i="37"/>
  <c r="AF40" i="37"/>
  <c r="AE40" i="37"/>
  <c r="AD40" i="37"/>
  <c r="AC40" i="37"/>
  <c r="AB40" i="37"/>
  <c r="AA40" i="37"/>
  <c r="Z40" i="37"/>
  <c r="Y40" i="37"/>
  <c r="X40" i="37"/>
  <c r="W40" i="37"/>
  <c r="V40" i="37"/>
  <c r="U40" i="37"/>
  <c r="T40" i="37"/>
  <c r="S40" i="37"/>
  <c r="R40" i="37"/>
  <c r="Q40" i="37"/>
  <c r="P40" i="37"/>
  <c r="O40" i="37"/>
  <c r="N40" i="37"/>
  <c r="M40" i="37"/>
  <c r="L40" i="37"/>
  <c r="K40" i="37"/>
  <c r="J40" i="37"/>
  <c r="I40" i="37"/>
  <c r="H40" i="37"/>
  <c r="G40" i="37"/>
  <c r="F40" i="37"/>
  <c r="E40" i="37"/>
  <c r="D40" i="37"/>
  <c r="BD39" i="37"/>
  <c r="AV39" i="37"/>
  <c r="AU39" i="37"/>
  <c r="AT39" i="37"/>
  <c r="AS39" i="37"/>
  <c r="AR39" i="37"/>
  <c r="AQ39" i="37"/>
  <c r="AP39" i="37"/>
  <c r="AO39" i="37"/>
  <c r="AN39" i="37"/>
  <c r="AM39" i="37"/>
  <c r="AL39" i="37"/>
  <c r="AK39" i="37"/>
  <c r="AJ39" i="37"/>
  <c r="AI39" i="37"/>
  <c r="AH39" i="37"/>
  <c r="AG39" i="37"/>
  <c r="AF39" i="37"/>
  <c r="AE39" i="37"/>
  <c r="AD39" i="37"/>
  <c r="AC39" i="37"/>
  <c r="AB39" i="37"/>
  <c r="AA39" i="37"/>
  <c r="Z39" i="37"/>
  <c r="Y39" i="37"/>
  <c r="X39" i="37"/>
  <c r="W39" i="37"/>
  <c r="V39" i="37"/>
  <c r="U39" i="37"/>
  <c r="T39" i="37"/>
  <c r="S39" i="37"/>
  <c r="R39" i="37"/>
  <c r="Q39" i="37"/>
  <c r="P39" i="37"/>
  <c r="O39" i="37"/>
  <c r="N39" i="37"/>
  <c r="M39" i="37"/>
  <c r="L39" i="37"/>
  <c r="K39" i="37"/>
  <c r="J39" i="37"/>
  <c r="I39" i="37"/>
  <c r="H39" i="37"/>
  <c r="G39" i="37"/>
  <c r="F39" i="37"/>
  <c r="E39" i="37"/>
  <c r="D39" i="37"/>
  <c r="BD38" i="37"/>
  <c r="BD37" i="37"/>
  <c r="AW37" i="37"/>
  <c r="BE37" i="37" s="1"/>
  <c r="BD36" i="37"/>
  <c r="AW36" i="37"/>
  <c r="BE36" i="37" s="1"/>
  <c r="BD35" i="37"/>
  <c r="AW35" i="37"/>
  <c r="BE35" i="37" s="1"/>
  <c r="BD34" i="37"/>
  <c r="AW34" i="37"/>
  <c r="BE34" i="37" s="1"/>
  <c r="BD33" i="37"/>
  <c r="AW33" i="37"/>
  <c r="BE33" i="37" s="1"/>
  <c r="BD32" i="37"/>
  <c r="AW32" i="37"/>
  <c r="BE32" i="37" s="1"/>
  <c r="BE31" i="37"/>
  <c r="BD31" i="37"/>
  <c r="AW31" i="37"/>
  <c r="BD30" i="37"/>
  <c r="AW30" i="37"/>
  <c r="BE30" i="37" s="1"/>
  <c r="BD29" i="37"/>
  <c r="AW29" i="37"/>
  <c r="BE29" i="37" s="1"/>
  <c r="AW28" i="37"/>
  <c r="AW27" i="37"/>
  <c r="BD25" i="37"/>
  <c r="AW24" i="37"/>
  <c r="C24" i="37"/>
  <c r="BD24" i="37" s="1"/>
  <c r="AW23" i="37"/>
  <c r="C23" i="37"/>
  <c r="BD23" i="37" s="1"/>
  <c r="AW22" i="37"/>
  <c r="C22" i="37"/>
  <c r="BD22" i="37" s="1"/>
  <c r="AW21" i="37"/>
  <c r="C21" i="37"/>
  <c r="BD21" i="37" s="1"/>
  <c r="AW20" i="37"/>
  <c r="C20" i="37"/>
  <c r="BD20" i="37" s="1"/>
  <c r="BD19" i="37"/>
  <c r="AW19" i="37"/>
  <c r="BD18" i="37"/>
  <c r="AW18" i="37"/>
  <c r="BD17" i="37"/>
  <c r="AW17" i="37"/>
  <c r="BD16" i="37"/>
  <c r="AW16" i="37"/>
  <c r="BD15" i="37"/>
  <c r="AW15" i="37"/>
  <c r="BD14" i="37"/>
  <c r="AW14" i="37"/>
  <c r="BD13" i="37"/>
  <c r="AV13" i="37"/>
  <c r="AU13" i="37"/>
  <c r="AT13" i="37"/>
  <c r="AS13" i="37"/>
  <c r="AR13" i="37"/>
  <c r="AQ13" i="37"/>
  <c r="AP13" i="37"/>
  <c r="AO13" i="37"/>
  <c r="AN13" i="37"/>
  <c r="AM13" i="37"/>
  <c r="AL13" i="37"/>
  <c r="AK13" i="37"/>
  <c r="AJ13" i="37"/>
  <c r="AI13" i="37"/>
  <c r="AH13" i="37"/>
  <c r="AG13" i="37"/>
  <c r="AF13" i="37"/>
  <c r="AE13" i="37"/>
  <c r="AD13" i="37"/>
  <c r="AC13" i="37"/>
  <c r="AB13" i="37"/>
  <c r="AA13" i="37"/>
  <c r="Z13" i="37"/>
  <c r="Y13" i="37"/>
  <c r="X13" i="37"/>
  <c r="W13" i="37"/>
  <c r="V13" i="37"/>
  <c r="U13" i="37"/>
  <c r="T13" i="37"/>
  <c r="S13" i="37"/>
  <c r="R13" i="37"/>
  <c r="Q13" i="37"/>
  <c r="P13" i="37"/>
  <c r="O13" i="37"/>
  <c r="N13" i="37"/>
  <c r="M13" i="37"/>
  <c r="L13" i="37"/>
  <c r="K13" i="37"/>
  <c r="J13" i="37"/>
  <c r="I13" i="37"/>
  <c r="H13" i="37"/>
  <c r="G13" i="37"/>
  <c r="F13" i="37"/>
  <c r="E13" i="37"/>
  <c r="D13" i="37"/>
  <c r="BD12" i="37"/>
  <c r="BD11" i="37"/>
  <c r="BD10" i="37"/>
  <c r="AW10" i="37"/>
  <c r="BE10" i="37" s="1"/>
  <c r="BD9" i="37"/>
  <c r="AW9" i="37"/>
  <c r="BE9" i="37" s="1"/>
  <c r="BD8" i="37"/>
  <c r="AW8" i="37"/>
  <c r="BE8" i="37" s="1"/>
  <c r="BD7" i="37"/>
  <c r="AW7" i="37"/>
  <c r="BE7" i="37" s="1"/>
  <c r="BD6" i="37"/>
  <c r="AW6" i="37"/>
  <c r="BE6" i="37" s="1"/>
  <c r="BD5" i="37"/>
  <c r="BG135" i="15"/>
  <c r="BG124" i="15"/>
  <c r="BG113" i="15"/>
  <c r="BG105" i="15"/>
  <c r="AW22" i="15"/>
  <c r="BE22" i="15" s="1"/>
  <c r="AW23" i="15"/>
  <c r="BE23" i="15" s="1"/>
  <c r="BG23" i="15" s="1"/>
  <c r="AW24" i="15"/>
  <c r="BE24" i="15" s="1"/>
  <c r="BG24" i="15" s="1"/>
  <c r="AW25" i="15"/>
  <c r="BE25" i="15" s="1"/>
  <c r="BG25" i="15" s="1"/>
  <c r="AW26" i="15"/>
  <c r="AW27" i="15"/>
  <c r="AW29" i="15"/>
  <c r="AW30" i="15"/>
  <c r="AW31" i="15"/>
  <c r="AW32" i="15"/>
  <c r="AW28" i="15"/>
  <c r="AW42" i="15"/>
  <c r="BE42" i="15" s="1"/>
  <c r="BG42" i="15" s="1"/>
  <c r="AW43" i="15"/>
  <c r="BE43" i="15" s="1"/>
  <c r="BG43" i="15" s="1"/>
  <c r="AW44" i="15"/>
  <c r="BE44" i="15" s="1"/>
  <c r="BG44" i="15" s="1"/>
  <c r="AW45" i="15"/>
  <c r="BE45" i="15" s="1"/>
  <c r="BG45" i="15" s="1"/>
  <c r="AW46" i="15"/>
  <c r="BE46" i="15" s="1"/>
  <c r="BG46" i="15" s="1"/>
  <c r="AW41" i="37" l="1"/>
  <c r="BE41" i="37"/>
  <c r="BE32" i="15"/>
  <c r="BG22" i="15"/>
  <c r="BE30" i="15"/>
  <c r="BE27" i="15"/>
  <c r="BE31" i="15"/>
  <c r="BE28" i="15"/>
  <c r="BE26" i="15"/>
  <c r="AW39" i="37"/>
  <c r="AW58" i="37"/>
  <c r="BE19" i="37"/>
  <c r="BE24" i="37"/>
  <c r="BE20" i="37"/>
  <c r="BE21" i="37"/>
  <c r="BE23" i="37"/>
  <c r="BE40" i="37"/>
  <c r="BE42" i="37"/>
  <c r="AW43" i="37"/>
  <c r="AW40" i="37"/>
  <c r="AW48" i="37"/>
  <c r="BE18" i="37"/>
  <c r="BE22" i="37"/>
  <c r="AW42" i="37"/>
  <c r="BE39" i="37"/>
  <c r="BE43" i="37"/>
  <c r="BE29" i="15"/>
  <c r="BD14" i="15"/>
  <c r="BD15" i="15"/>
  <c r="BD16" i="15"/>
  <c r="BD17" i="15"/>
  <c r="BD18" i="15"/>
  <c r="BD19" i="15"/>
  <c r="BD20" i="15"/>
  <c r="BD21" i="15"/>
  <c r="BD22" i="15"/>
  <c r="BD23" i="15"/>
  <c r="BD24" i="15"/>
  <c r="BD25" i="15"/>
  <c r="BD26" i="15"/>
  <c r="BD27" i="15"/>
  <c r="BD36" i="15"/>
  <c r="BD39" i="15"/>
  <c r="BD40" i="15"/>
  <c r="BD41" i="15"/>
  <c r="BD42" i="15"/>
  <c r="BD43" i="15"/>
  <c r="BD44" i="15"/>
  <c r="BD45" i="15"/>
  <c r="BD46" i="15"/>
  <c r="BD47" i="15"/>
  <c r="BD48" i="15"/>
  <c r="BD49" i="15"/>
  <c r="BD50" i="15"/>
  <c r="BD51" i="15"/>
  <c r="BD52" i="15"/>
  <c r="BD53" i="15"/>
  <c r="BD54" i="15"/>
  <c r="BD55" i="15"/>
  <c r="BD56" i="15"/>
  <c r="BD57" i="15"/>
  <c r="BD58" i="15"/>
  <c r="BD59" i="15"/>
  <c r="BD60" i="15"/>
  <c r="BD62" i="15"/>
  <c r="BD65" i="15"/>
  <c r="BD66" i="15"/>
  <c r="BD67" i="15"/>
  <c r="BD68" i="15"/>
  <c r="BD69" i="15"/>
  <c r="BD70" i="15"/>
  <c r="BD71" i="15"/>
  <c r="BD72" i="15"/>
  <c r="BD73" i="15"/>
  <c r="BD74" i="15"/>
  <c r="BD75" i="15"/>
  <c r="BD76" i="15"/>
  <c r="BD77" i="15"/>
  <c r="BD78" i="15"/>
  <c r="BD79" i="15"/>
  <c r="BD80" i="15"/>
  <c r="BD5" i="15"/>
  <c r="BD6" i="15"/>
  <c r="BD7" i="15"/>
  <c r="BD8" i="15"/>
  <c r="BD9" i="15"/>
  <c r="BD10" i="15"/>
  <c r="BD11" i="15"/>
  <c r="BD105" i="15"/>
  <c r="BD106" i="15"/>
  <c r="BD107" i="15"/>
  <c r="BD108" i="15"/>
  <c r="BD109" i="15"/>
  <c r="BD110" i="15"/>
  <c r="BD111" i="15"/>
  <c r="BD112" i="15"/>
  <c r="BD113" i="15"/>
  <c r="BD114" i="15"/>
  <c r="BD115" i="15"/>
  <c r="BD116" i="15"/>
  <c r="BD117" i="15"/>
  <c r="BD118" i="15"/>
  <c r="BD119" i="15"/>
  <c r="BD120" i="15"/>
  <c r="BD121" i="15"/>
  <c r="BD122" i="15"/>
  <c r="BD123" i="15"/>
  <c r="BD124" i="15"/>
  <c r="BD125" i="15"/>
  <c r="BD126" i="15"/>
  <c r="BD127" i="15"/>
  <c r="BD128" i="15"/>
  <c r="BD129" i="15"/>
  <c r="BD130" i="15"/>
  <c r="BD131" i="15"/>
  <c r="BD132" i="15"/>
  <c r="BD133" i="15"/>
  <c r="BD134" i="15"/>
  <c r="BD135" i="15"/>
  <c r="BD136" i="15"/>
  <c r="BD137" i="15"/>
  <c r="BD13" i="15"/>
  <c r="BE135" i="15"/>
  <c r="BE124" i="15"/>
  <c r="BE113" i="15"/>
  <c r="BE105" i="15"/>
  <c r="BE74" i="15"/>
  <c r="BE21" i="15"/>
  <c r="D37" i="36"/>
  <c r="E37" i="36"/>
  <c r="F37" i="36"/>
  <c r="G37" i="36"/>
  <c r="H37" i="36"/>
  <c r="I37" i="36"/>
  <c r="J37" i="36"/>
  <c r="K37" i="36"/>
  <c r="L37" i="36"/>
  <c r="M37" i="36"/>
  <c r="N37" i="36"/>
  <c r="C37" i="36"/>
  <c r="O29" i="36"/>
  <c r="P29" i="36" s="1"/>
  <c r="O32" i="36"/>
  <c r="O34" i="36"/>
  <c r="O33" i="36"/>
  <c r="O16" i="36"/>
  <c r="O15" i="36"/>
  <c r="O14" i="36"/>
  <c r="O31" i="36"/>
  <c r="O30" i="36"/>
  <c r="O28" i="36"/>
  <c r="O26" i="36"/>
  <c r="O18" i="36"/>
  <c r="O24" i="36"/>
  <c r="O22" i="36"/>
  <c r="O20" i="36"/>
  <c r="O36" i="36"/>
  <c r="O35" i="36"/>
  <c r="O27" i="36"/>
  <c r="O25" i="36"/>
  <c r="O17" i="36"/>
  <c r="O23" i="36"/>
  <c r="O21" i="36"/>
  <c r="O19" i="36"/>
  <c r="N13" i="36"/>
  <c r="M13" i="36"/>
  <c r="L13" i="36"/>
  <c r="K13" i="36"/>
  <c r="J13" i="36"/>
  <c r="I13" i="36"/>
  <c r="H13" i="36"/>
  <c r="G13" i="36"/>
  <c r="F13" i="36"/>
  <c r="E13" i="36"/>
  <c r="D13" i="36"/>
  <c r="C13" i="36"/>
  <c r="N10" i="36"/>
  <c r="M10" i="36"/>
  <c r="L10" i="36"/>
  <c r="K10" i="36"/>
  <c r="J10" i="36"/>
  <c r="I10" i="36"/>
  <c r="H10" i="36"/>
  <c r="G10" i="36"/>
  <c r="F10" i="36"/>
  <c r="E10" i="36"/>
  <c r="D10" i="36"/>
  <c r="C10" i="36"/>
  <c r="O9" i="36"/>
  <c r="O8" i="36"/>
  <c r="O7" i="36"/>
  <c r="O6" i="36"/>
  <c r="O5" i="36"/>
  <c r="P5" i="36" s="1"/>
  <c r="O4" i="36"/>
  <c r="P32" i="36" l="1"/>
  <c r="P30" i="36"/>
  <c r="P4" i="36"/>
  <c r="P35" i="36"/>
  <c r="P17" i="36"/>
  <c r="Q17" i="36" s="1"/>
  <c r="O37" i="36"/>
  <c r="P37" i="36" s="1"/>
  <c r="Q32" i="36" s="1"/>
  <c r="P14" i="36"/>
  <c r="BG29" i="15"/>
  <c r="BG32" i="15"/>
  <c r="BG31" i="15"/>
  <c r="BG28" i="15"/>
  <c r="BG26" i="15"/>
  <c r="BG30" i="15"/>
  <c r="BG27" i="15"/>
  <c r="BE48" i="37"/>
  <c r="O10" i="36"/>
  <c r="Q4" i="36" s="1"/>
  <c r="C34" i="35" s="1"/>
  <c r="Q7" i="36" l="1"/>
  <c r="C35" i="35" s="1"/>
  <c r="Q5" i="36"/>
  <c r="C33" i="35" s="1"/>
  <c r="Q29" i="36"/>
  <c r="C29" i="35" s="1"/>
  <c r="Q35" i="36"/>
  <c r="C31" i="35" s="1"/>
  <c r="Q30" i="36"/>
  <c r="C30" i="35" s="1"/>
  <c r="Q14" i="36"/>
  <c r="C28" i="35" s="1"/>
  <c r="AW108" i="15"/>
  <c r="AW109" i="15"/>
  <c r="AW110" i="15"/>
  <c r="AW111" i="15"/>
  <c r="AW112" i="15"/>
  <c r="AW119" i="15"/>
  <c r="AW120" i="15"/>
  <c r="AW121" i="15"/>
  <c r="AW122" i="15"/>
  <c r="AW123" i="15"/>
  <c r="AW130" i="15"/>
  <c r="AW131" i="15"/>
  <c r="AW132" i="15"/>
  <c r="AW133" i="15"/>
  <c r="AW134"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AF105" i="15"/>
  <c r="AG105" i="15"/>
  <c r="AH105" i="15"/>
  <c r="AI105" i="15"/>
  <c r="AJ105" i="15"/>
  <c r="AK105" i="15"/>
  <c r="AL105" i="15"/>
  <c r="AM105" i="15"/>
  <c r="AN105" i="15"/>
  <c r="AO105" i="15"/>
  <c r="AP105" i="15"/>
  <c r="AQ105" i="15"/>
  <c r="AR105" i="15"/>
  <c r="AS105" i="15"/>
  <c r="AT105" i="15"/>
  <c r="AU105" i="15"/>
  <c r="AV105" i="15"/>
  <c r="D105" i="15"/>
  <c r="C36" i="35"/>
  <c r="J27" i="35" l="1"/>
  <c r="K27" i="35"/>
  <c r="L27" i="35"/>
  <c r="M27" i="35"/>
  <c r="N27" i="35"/>
  <c r="O27" i="35"/>
  <c r="P27" i="35"/>
  <c r="Q27" i="35"/>
  <c r="R27" i="35"/>
  <c r="S27" i="35"/>
  <c r="T27" i="35"/>
  <c r="U27" i="35"/>
  <c r="V27" i="35"/>
  <c r="W27" i="35"/>
  <c r="X27" i="35"/>
  <c r="Y27" i="35"/>
  <c r="Z27" i="35"/>
  <c r="AA27" i="35"/>
  <c r="AB27" i="35"/>
  <c r="AC27" i="35"/>
  <c r="AD27" i="35"/>
  <c r="AE27" i="35"/>
  <c r="AF27" i="35"/>
  <c r="AG27" i="35"/>
  <c r="AH27" i="35"/>
  <c r="AI27" i="35"/>
  <c r="AJ27" i="35"/>
  <c r="AK27" i="35"/>
  <c r="AL27" i="35"/>
  <c r="AM27" i="35"/>
  <c r="AN27" i="35"/>
  <c r="AO27" i="35"/>
  <c r="AP27" i="35"/>
  <c r="AQ27" i="35"/>
  <c r="AR27" i="35"/>
  <c r="AS27" i="35"/>
  <c r="AT27" i="35"/>
  <c r="AU27" i="35"/>
  <c r="AV27" i="35"/>
  <c r="AW27" i="35"/>
  <c r="AX27" i="35"/>
  <c r="AY27" i="35"/>
  <c r="AZ27" i="35"/>
  <c r="E27" i="35"/>
  <c r="O62" i="29"/>
  <c r="O63" i="29"/>
  <c r="O64" i="29"/>
  <c r="O65" i="29"/>
  <c r="O66" i="29"/>
  <c r="O67" i="29"/>
  <c r="O68" i="29"/>
  <c r="O69" i="29"/>
  <c r="O61" i="29"/>
  <c r="DY25" i="35"/>
  <c r="AY36" i="35" s="1"/>
  <c r="DY24" i="35"/>
  <c r="AY35" i="35" s="1"/>
  <c r="DY23" i="35"/>
  <c r="AY34" i="35" s="1"/>
  <c r="DY22" i="35"/>
  <c r="AY33" i="35" s="1"/>
  <c r="DY21" i="35"/>
  <c r="AY32" i="35" s="1"/>
  <c r="AY41" i="35" s="1"/>
  <c r="DY20" i="35"/>
  <c r="AY31" i="35" s="1"/>
  <c r="DY19" i="35"/>
  <c r="AY30" i="35" s="1"/>
  <c r="DY18" i="35"/>
  <c r="AY29" i="35" s="1"/>
  <c r="DY17" i="35"/>
  <c r="AY28" i="35" s="1"/>
  <c r="DT25" i="35"/>
  <c r="AW36" i="35" s="1"/>
  <c r="DT24" i="35"/>
  <c r="AW35" i="35" s="1"/>
  <c r="DT23" i="35"/>
  <c r="AW34" i="35" s="1"/>
  <c r="DT22" i="35"/>
  <c r="AW33" i="35" s="1"/>
  <c r="DT21" i="35"/>
  <c r="AW32" i="35" s="1"/>
  <c r="AW41" i="35" s="1"/>
  <c r="DT20" i="35"/>
  <c r="AW31" i="35" s="1"/>
  <c r="DT19" i="35"/>
  <c r="AW30" i="35" s="1"/>
  <c r="DT18" i="35"/>
  <c r="AW29" i="35" s="1"/>
  <c r="DT17" i="35"/>
  <c r="AW28" i="35" s="1"/>
  <c r="EA25" i="35"/>
  <c r="AZ36" i="35" s="1"/>
  <c r="EA24" i="35"/>
  <c r="AZ35" i="35" s="1"/>
  <c r="EA23" i="35"/>
  <c r="AZ34" i="35" s="1"/>
  <c r="EA22" i="35"/>
  <c r="AZ33" i="35" s="1"/>
  <c r="EA21" i="35"/>
  <c r="AZ32" i="35" s="1"/>
  <c r="AZ41" i="35" s="1"/>
  <c r="EA20" i="35"/>
  <c r="AZ31" i="35" s="1"/>
  <c r="EA19" i="35"/>
  <c r="AZ30" i="35" s="1"/>
  <c r="EA18" i="35"/>
  <c r="AZ29" i="35" s="1"/>
  <c r="EA17" i="35"/>
  <c r="AZ28" i="35" s="1"/>
  <c r="DV25" i="35"/>
  <c r="AX36" i="35" s="1"/>
  <c r="DV24" i="35"/>
  <c r="AX35" i="35" s="1"/>
  <c r="DV23" i="35"/>
  <c r="AX34" i="35" s="1"/>
  <c r="DV22" i="35"/>
  <c r="AX33" i="35" s="1"/>
  <c r="DV21" i="35"/>
  <c r="AX32" i="35" s="1"/>
  <c r="AX41" i="35" s="1"/>
  <c r="DV20" i="35"/>
  <c r="AX31" i="35" s="1"/>
  <c r="DV19" i="35"/>
  <c r="AX30" i="35" s="1"/>
  <c r="DV18" i="35"/>
  <c r="AX29" i="35" s="1"/>
  <c r="DV17" i="35"/>
  <c r="AX28" i="35" s="1"/>
  <c r="DQ25" i="35"/>
  <c r="AV36" i="35" s="1"/>
  <c r="DQ24" i="35"/>
  <c r="AV35" i="35" s="1"/>
  <c r="DQ23" i="35"/>
  <c r="AV34" i="35" s="1"/>
  <c r="DQ22" i="35"/>
  <c r="AV33" i="35" s="1"/>
  <c r="DQ21" i="35"/>
  <c r="AV32" i="35" s="1"/>
  <c r="AV41" i="35" s="1"/>
  <c r="DQ20" i="35"/>
  <c r="AV31" i="35" s="1"/>
  <c r="DQ19" i="35"/>
  <c r="AV30" i="35" s="1"/>
  <c r="DQ18" i="35"/>
  <c r="AV29" i="35" s="1"/>
  <c r="DQ17" i="35"/>
  <c r="AV28" i="35" s="1"/>
  <c r="DM25" i="35"/>
  <c r="AU36" i="35" s="1"/>
  <c r="DM24" i="35"/>
  <c r="AU35" i="35" s="1"/>
  <c r="DM23" i="35"/>
  <c r="AU34" i="35" s="1"/>
  <c r="DM22" i="35"/>
  <c r="AU33" i="35" s="1"/>
  <c r="DM21" i="35"/>
  <c r="AU32" i="35" s="1"/>
  <c r="AU41" i="35" s="1"/>
  <c r="DM20" i="35"/>
  <c r="AU31" i="35" s="1"/>
  <c r="DM19" i="35"/>
  <c r="AU30" i="35" s="1"/>
  <c r="DM18" i="35"/>
  <c r="AU29" i="35" s="1"/>
  <c r="DM17" i="35"/>
  <c r="AU28" i="35" s="1"/>
  <c r="DJ25" i="35"/>
  <c r="AT36" i="35" s="1"/>
  <c r="DJ24" i="35"/>
  <c r="AT35" i="35" s="1"/>
  <c r="DJ23" i="35"/>
  <c r="AT34" i="35" s="1"/>
  <c r="DJ22" i="35"/>
  <c r="AT33" i="35" s="1"/>
  <c r="DJ21" i="35"/>
  <c r="AT32" i="35" s="1"/>
  <c r="AT41" i="35" s="1"/>
  <c r="DJ20" i="35"/>
  <c r="AT31" i="35" s="1"/>
  <c r="DJ19" i="35"/>
  <c r="AT30" i="35" s="1"/>
  <c r="DJ18" i="35"/>
  <c r="AT29" i="35" s="1"/>
  <c r="DJ17" i="35"/>
  <c r="AT28" i="35" s="1"/>
  <c r="DG25" i="35"/>
  <c r="AS36" i="35" s="1"/>
  <c r="DG24" i="35"/>
  <c r="AS35" i="35" s="1"/>
  <c r="DG23" i="35"/>
  <c r="AS34" i="35" s="1"/>
  <c r="DG22" i="35"/>
  <c r="AS33" i="35" s="1"/>
  <c r="DG21" i="35"/>
  <c r="AS32" i="35" s="1"/>
  <c r="AS41" i="35" s="1"/>
  <c r="DG20" i="35"/>
  <c r="AS31" i="35" s="1"/>
  <c r="DG19" i="35"/>
  <c r="AS30" i="35" s="1"/>
  <c r="DG18" i="35"/>
  <c r="AS29" i="35" s="1"/>
  <c r="DG17" i="35"/>
  <c r="AS28" i="35" s="1"/>
  <c r="DD25" i="35"/>
  <c r="AR36" i="35" s="1"/>
  <c r="DD24" i="35"/>
  <c r="AR35" i="35" s="1"/>
  <c r="DD23" i="35"/>
  <c r="AR34" i="35" s="1"/>
  <c r="DD22" i="35"/>
  <c r="AR33" i="35" s="1"/>
  <c r="DD21" i="35"/>
  <c r="AR32" i="35" s="1"/>
  <c r="AR41" i="35" s="1"/>
  <c r="DD20" i="35"/>
  <c r="AR31" i="35" s="1"/>
  <c r="DD19" i="35"/>
  <c r="AR30" i="35" s="1"/>
  <c r="DD18" i="35"/>
  <c r="AR29" i="35" s="1"/>
  <c r="DD17" i="35"/>
  <c r="AR28" i="35" s="1"/>
  <c r="DA25" i="35"/>
  <c r="AQ36" i="35" s="1"/>
  <c r="DA24" i="35"/>
  <c r="AQ35" i="35" s="1"/>
  <c r="DA23" i="35"/>
  <c r="AQ34" i="35" s="1"/>
  <c r="DA22" i="35"/>
  <c r="AQ33" i="35" s="1"/>
  <c r="DA21" i="35"/>
  <c r="AQ32" i="35" s="1"/>
  <c r="AQ41" i="35" s="1"/>
  <c r="DA20" i="35"/>
  <c r="AQ31" i="35" s="1"/>
  <c r="DA19" i="35"/>
  <c r="AQ30" i="35" s="1"/>
  <c r="DA18" i="35"/>
  <c r="AQ29" i="35" s="1"/>
  <c r="DA17" i="35"/>
  <c r="AQ28" i="35" s="1"/>
  <c r="CV18" i="35"/>
  <c r="AP29" i="35" s="1"/>
  <c r="CV19" i="35"/>
  <c r="AP30" i="35" s="1"/>
  <c r="CV20" i="35"/>
  <c r="AP31" i="35" s="1"/>
  <c r="CV21" i="35"/>
  <c r="AP32" i="35" s="1"/>
  <c r="AP41" i="35" s="1"/>
  <c r="CV22" i="35"/>
  <c r="AP33" i="35" s="1"/>
  <c r="CV23" i="35"/>
  <c r="AP34" i="35" s="1"/>
  <c r="CV24" i="35"/>
  <c r="AP35" i="35" s="1"/>
  <c r="CV25" i="35"/>
  <c r="AP36" i="35" s="1"/>
  <c r="CV17" i="35"/>
  <c r="AP28" i="35" s="1"/>
  <c r="CR25" i="35"/>
  <c r="AO36" i="35" s="1"/>
  <c r="CR24" i="35"/>
  <c r="AO35" i="35" s="1"/>
  <c r="CR23" i="35"/>
  <c r="AO34" i="35" s="1"/>
  <c r="CR22" i="35"/>
  <c r="AO33" i="35" s="1"/>
  <c r="CR21" i="35"/>
  <c r="AO32" i="35" s="1"/>
  <c r="AO41" i="35" s="1"/>
  <c r="CR20" i="35"/>
  <c r="AO31" i="35" s="1"/>
  <c r="CR19" i="35"/>
  <c r="AO30" i="35" s="1"/>
  <c r="CR18" i="35"/>
  <c r="AO29" i="35" s="1"/>
  <c r="CR17" i="35"/>
  <c r="AO28" i="35" s="1"/>
  <c r="CO25" i="35"/>
  <c r="AN36" i="35" s="1"/>
  <c r="CO24" i="35"/>
  <c r="AN35" i="35" s="1"/>
  <c r="CO23" i="35"/>
  <c r="AN34" i="35" s="1"/>
  <c r="CO22" i="35"/>
  <c r="AN33" i="35" s="1"/>
  <c r="CO21" i="35"/>
  <c r="AN32" i="35" s="1"/>
  <c r="AN41" i="35" s="1"/>
  <c r="CO20" i="35"/>
  <c r="AN31" i="35" s="1"/>
  <c r="CO19" i="35"/>
  <c r="AN30" i="35" s="1"/>
  <c r="CO18" i="35"/>
  <c r="AN29" i="35" s="1"/>
  <c r="CO17" i="35"/>
  <c r="AN28" i="35" s="1"/>
  <c r="CL25" i="35"/>
  <c r="AM36" i="35" s="1"/>
  <c r="CL24" i="35"/>
  <c r="AM35" i="35" s="1"/>
  <c r="CL23" i="35"/>
  <c r="AM34" i="35" s="1"/>
  <c r="CL22" i="35"/>
  <c r="AM33" i="35" s="1"/>
  <c r="CL21" i="35"/>
  <c r="AM32" i="35" s="1"/>
  <c r="AM41" i="35" s="1"/>
  <c r="CL20" i="35"/>
  <c r="AM31" i="35" s="1"/>
  <c r="CL19" i="35"/>
  <c r="AM30" i="35" s="1"/>
  <c r="CL18" i="35"/>
  <c r="AM29" i="35" s="1"/>
  <c r="CL17" i="35"/>
  <c r="AM28" i="35" s="1"/>
  <c r="CI25" i="35"/>
  <c r="AL36" i="35" s="1"/>
  <c r="CI24" i="35"/>
  <c r="AL35" i="35" s="1"/>
  <c r="CI23" i="35"/>
  <c r="AL34" i="35" s="1"/>
  <c r="CI22" i="35"/>
  <c r="AL33" i="35" s="1"/>
  <c r="CI21" i="35"/>
  <c r="AL32" i="35" s="1"/>
  <c r="AL41" i="35" s="1"/>
  <c r="CI20" i="35"/>
  <c r="AL31" i="35" s="1"/>
  <c r="CI19" i="35"/>
  <c r="AL30" i="35" s="1"/>
  <c r="CI18" i="35"/>
  <c r="AL29" i="35" s="1"/>
  <c r="CI17" i="35"/>
  <c r="AL28" i="35" s="1"/>
  <c r="CE25" i="35"/>
  <c r="AK36" i="35" s="1"/>
  <c r="CE24" i="35"/>
  <c r="AK35" i="35" s="1"/>
  <c r="CE23" i="35"/>
  <c r="AK34" i="35" s="1"/>
  <c r="CE22" i="35"/>
  <c r="AK33" i="35" s="1"/>
  <c r="CE21" i="35"/>
  <c r="AK32" i="35" s="1"/>
  <c r="AK41" i="35" s="1"/>
  <c r="CE20" i="35"/>
  <c r="AK31" i="35" s="1"/>
  <c r="CE19" i="35"/>
  <c r="AK30" i="35" s="1"/>
  <c r="CE18" i="35"/>
  <c r="AK29" i="35" s="1"/>
  <c r="CE17" i="35"/>
  <c r="AK28" i="35" s="1"/>
  <c r="CB25" i="35"/>
  <c r="AJ36" i="35" s="1"/>
  <c r="CB24" i="35"/>
  <c r="AJ35" i="35" s="1"/>
  <c r="CB23" i="35"/>
  <c r="AJ34" i="35" s="1"/>
  <c r="CB22" i="35"/>
  <c r="AJ33" i="35" s="1"/>
  <c r="CB21" i="35"/>
  <c r="AJ32" i="35" s="1"/>
  <c r="AJ41" i="35" s="1"/>
  <c r="CB20" i="35"/>
  <c r="AJ31" i="35" s="1"/>
  <c r="CB19" i="35"/>
  <c r="AJ30" i="35" s="1"/>
  <c r="CB18" i="35"/>
  <c r="AJ29" i="35" s="1"/>
  <c r="CB17" i="35"/>
  <c r="AJ28" i="35" s="1"/>
  <c r="BY25" i="35"/>
  <c r="AI36" i="35" s="1"/>
  <c r="BY24" i="35"/>
  <c r="AI35" i="35" s="1"/>
  <c r="BY23" i="35"/>
  <c r="AI34" i="35" s="1"/>
  <c r="BY22" i="35"/>
  <c r="AI33" i="35" s="1"/>
  <c r="BY21" i="35"/>
  <c r="AI32" i="35" s="1"/>
  <c r="AI41" i="35" s="1"/>
  <c r="BY20" i="35"/>
  <c r="AI31" i="35" s="1"/>
  <c r="BY19" i="35"/>
  <c r="AI30" i="35" s="1"/>
  <c r="BY18" i="35"/>
  <c r="AI29" i="35" s="1"/>
  <c r="BY17" i="35"/>
  <c r="AI28" i="35" s="1"/>
  <c r="BV25" i="35"/>
  <c r="AH36" i="35" s="1"/>
  <c r="BV24" i="35"/>
  <c r="AH35" i="35" s="1"/>
  <c r="BV23" i="35"/>
  <c r="AH34" i="35" s="1"/>
  <c r="BV22" i="35"/>
  <c r="AH33" i="35" s="1"/>
  <c r="BV21" i="35"/>
  <c r="AH32" i="35" s="1"/>
  <c r="AH41" i="35" s="1"/>
  <c r="BV20" i="35"/>
  <c r="AH31" i="35" s="1"/>
  <c r="BV19" i="35"/>
  <c r="AH30" i="35" s="1"/>
  <c r="BV18" i="35"/>
  <c r="AH29" i="35" s="1"/>
  <c r="BV17" i="35"/>
  <c r="AH28" i="35" s="1"/>
  <c r="BS25" i="35"/>
  <c r="AG36" i="35" s="1"/>
  <c r="BS24" i="35"/>
  <c r="AG35" i="35" s="1"/>
  <c r="BS23" i="35"/>
  <c r="AG34" i="35" s="1"/>
  <c r="BS22" i="35"/>
  <c r="AG33" i="35" s="1"/>
  <c r="BS21" i="35"/>
  <c r="AG32" i="35" s="1"/>
  <c r="AG41" i="35" s="1"/>
  <c r="BS20" i="35"/>
  <c r="AG31" i="35" s="1"/>
  <c r="BS19" i="35"/>
  <c r="AG30" i="35" s="1"/>
  <c r="BS18" i="35"/>
  <c r="AG29" i="35" s="1"/>
  <c r="BS17" i="35"/>
  <c r="AG28" i="35" s="1"/>
  <c r="BQ25" i="35"/>
  <c r="AF36" i="35" s="1"/>
  <c r="BQ24" i="35"/>
  <c r="AF35" i="35" s="1"/>
  <c r="BQ23" i="35"/>
  <c r="AF34" i="35" s="1"/>
  <c r="BQ22" i="35"/>
  <c r="AF33" i="35" s="1"/>
  <c r="AF42" i="35" s="1"/>
  <c r="BQ21" i="35"/>
  <c r="AF32" i="35" s="1"/>
  <c r="AF41" i="35" s="1"/>
  <c r="BQ20" i="35"/>
  <c r="AF31" i="35" s="1"/>
  <c r="BQ19" i="35"/>
  <c r="AF30" i="35" s="1"/>
  <c r="BQ18" i="35"/>
  <c r="AF29" i="35" s="1"/>
  <c r="BQ17" i="35"/>
  <c r="AF28" i="35" s="1"/>
  <c r="BO25" i="35"/>
  <c r="AE36" i="35" s="1"/>
  <c r="BO24" i="35"/>
  <c r="AE35" i="35" s="1"/>
  <c r="BO23" i="35"/>
  <c r="AE34" i="35" s="1"/>
  <c r="BO22" i="35"/>
  <c r="AE33" i="35" s="1"/>
  <c r="BO21" i="35"/>
  <c r="AE32" i="35" s="1"/>
  <c r="AE41" i="35" s="1"/>
  <c r="BO20" i="35"/>
  <c r="AE31" i="35" s="1"/>
  <c r="BO19" i="35"/>
  <c r="AE30" i="35" s="1"/>
  <c r="BO18" i="35"/>
  <c r="AE29" i="35" s="1"/>
  <c r="BO17" i="35"/>
  <c r="AE28" i="35" s="1"/>
  <c r="BL25" i="35"/>
  <c r="AD36" i="35" s="1"/>
  <c r="BL24" i="35"/>
  <c r="AD35" i="35" s="1"/>
  <c r="BL23" i="35"/>
  <c r="AD34" i="35" s="1"/>
  <c r="BL22" i="35"/>
  <c r="AD33" i="35" s="1"/>
  <c r="BL21" i="35"/>
  <c r="AD32" i="35" s="1"/>
  <c r="AD41" i="35" s="1"/>
  <c r="BL20" i="35"/>
  <c r="AD31" i="35" s="1"/>
  <c r="BL19" i="35"/>
  <c r="AD30" i="35" s="1"/>
  <c r="BL18" i="35"/>
  <c r="AD29" i="35" s="1"/>
  <c r="BL17" i="35"/>
  <c r="AD28" i="35" s="1"/>
  <c r="BI25" i="35"/>
  <c r="AC36" i="35" s="1"/>
  <c r="BI24" i="35"/>
  <c r="AC35" i="35" s="1"/>
  <c r="BI23" i="35"/>
  <c r="AC34" i="35" s="1"/>
  <c r="BI22" i="35"/>
  <c r="AC33" i="35" s="1"/>
  <c r="BI21" i="35"/>
  <c r="AC32" i="35" s="1"/>
  <c r="AC41" i="35" s="1"/>
  <c r="BI20" i="35"/>
  <c r="AC31" i="35" s="1"/>
  <c r="BI19" i="35"/>
  <c r="AC30" i="35" s="1"/>
  <c r="BI18" i="35"/>
  <c r="AC29" i="35" s="1"/>
  <c r="BI17" i="35"/>
  <c r="AC28" i="35" s="1"/>
  <c r="BH25" i="35"/>
  <c r="AB36" i="35" s="1"/>
  <c r="BH24" i="35"/>
  <c r="AB35" i="35" s="1"/>
  <c r="BH23" i="35"/>
  <c r="AB34" i="35" s="1"/>
  <c r="BH22" i="35"/>
  <c r="AB33" i="35" s="1"/>
  <c r="BH21" i="35"/>
  <c r="AB32" i="35" s="1"/>
  <c r="AB41" i="35" s="1"/>
  <c r="BH20" i="35"/>
  <c r="AB31" i="35" s="1"/>
  <c r="BH19" i="35"/>
  <c r="AB30" i="35" s="1"/>
  <c r="BH18" i="35"/>
  <c r="AB29" i="35" s="1"/>
  <c r="BH17" i="35"/>
  <c r="AB28" i="35" s="1"/>
  <c r="BD25" i="35"/>
  <c r="AA36" i="35" s="1"/>
  <c r="BD24" i="35"/>
  <c r="AA35" i="35" s="1"/>
  <c r="BD23" i="35"/>
  <c r="AA34" i="35" s="1"/>
  <c r="BD22" i="35"/>
  <c r="AA33" i="35" s="1"/>
  <c r="BD21" i="35"/>
  <c r="AA32" i="35" s="1"/>
  <c r="AA41" i="35" s="1"/>
  <c r="BD20" i="35"/>
  <c r="AA31" i="35" s="1"/>
  <c r="BD19" i="35"/>
  <c r="AA30" i="35" s="1"/>
  <c r="BD18" i="35"/>
  <c r="AA29" i="35" s="1"/>
  <c r="BD17" i="35"/>
  <c r="AA28" i="35" s="1"/>
  <c r="BA25" i="35"/>
  <c r="Z36" i="35" s="1"/>
  <c r="BA24" i="35"/>
  <c r="Z35" i="35" s="1"/>
  <c r="BA23" i="35"/>
  <c r="Z34" i="35" s="1"/>
  <c r="BA22" i="35"/>
  <c r="Z33" i="35" s="1"/>
  <c r="BA21" i="35"/>
  <c r="Z32" i="35" s="1"/>
  <c r="Z41" i="35" s="1"/>
  <c r="BA20" i="35"/>
  <c r="Z31" i="35" s="1"/>
  <c r="BA19" i="35"/>
  <c r="Z30" i="35" s="1"/>
  <c r="BA18" i="35"/>
  <c r="Z29" i="35" s="1"/>
  <c r="BA17" i="35"/>
  <c r="Z28" i="35" s="1"/>
  <c r="AX25" i="35"/>
  <c r="Y36" i="35" s="1"/>
  <c r="AX24" i="35"/>
  <c r="Y35" i="35" s="1"/>
  <c r="AX23" i="35"/>
  <c r="Y34" i="35" s="1"/>
  <c r="AX22" i="35"/>
  <c r="Y33" i="35" s="1"/>
  <c r="AX21" i="35"/>
  <c r="Y32" i="35" s="1"/>
  <c r="Y41" i="35" s="1"/>
  <c r="AX20" i="35"/>
  <c r="Y31" i="35" s="1"/>
  <c r="AX19" i="35"/>
  <c r="Y30" i="35" s="1"/>
  <c r="AX18" i="35"/>
  <c r="Y29" i="35" s="1"/>
  <c r="AX17" i="35"/>
  <c r="Y28" i="35" s="1"/>
  <c r="AV25" i="35"/>
  <c r="X36" i="35" s="1"/>
  <c r="AV24" i="35"/>
  <c r="X35" i="35" s="1"/>
  <c r="AV23" i="35"/>
  <c r="X34" i="35" s="1"/>
  <c r="AV22" i="35"/>
  <c r="X33" i="35" s="1"/>
  <c r="X42" i="35" s="1"/>
  <c r="AV21" i="35"/>
  <c r="X32" i="35" s="1"/>
  <c r="X41" i="35" s="1"/>
  <c r="AV20" i="35"/>
  <c r="X31" i="35" s="1"/>
  <c r="AV19" i="35"/>
  <c r="X30" i="35" s="1"/>
  <c r="AV18" i="35"/>
  <c r="X29" i="35" s="1"/>
  <c r="AV17" i="35"/>
  <c r="X28" i="35" s="1"/>
  <c r="AT25" i="35"/>
  <c r="W36" i="35" s="1"/>
  <c r="AT24" i="35"/>
  <c r="W35" i="35" s="1"/>
  <c r="AT23" i="35"/>
  <c r="W34" i="35" s="1"/>
  <c r="AT22" i="35"/>
  <c r="W33" i="35" s="1"/>
  <c r="AT21" i="35"/>
  <c r="W32" i="35" s="1"/>
  <c r="W41" i="35" s="1"/>
  <c r="AT20" i="35"/>
  <c r="W31" i="35" s="1"/>
  <c r="AT19" i="35"/>
  <c r="W30" i="35" s="1"/>
  <c r="AT18" i="35"/>
  <c r="W29" i="35" s="1"/>
  <c r="AT17" i="35"/>
  <c r="W28" i="35" s="1"/>
  <c r="AP25" i="35"/>
  <c r="V36" i="35" s="1"/>
  <c r="AP24" i="35"/>
  <c r="V35" i="35" s="1"/>
  <c r="AP23" i="35"/>
  <c r="V34" i="35" s="1"/>
  <c r="AP22" i="35"/>
  <c r="V33" i="35" s="1"/>
  <c r="AP21" i="35"/>
  <c r="V32" i="35" s="1"/>
  <c r="V41" i="35" s="1"/>
  <c r="AP20" i="35"/>
  <c r="V31" i="35" s="1"/>
  <c r="AP19" i="35"/>
  <c r="V30" i="35" s="1"/>
  <c r="AP18" i="35"/>
  <c r="V29" i="35" s="1"/>
  <c r="AP17" i="35"/>
  <c r="V28" i="35" s="1"/>
  <c r="AL25" i="35"/>
  <c r="U36" i="35" s="1"/>
  <c r="AL24" i="35"/>
  <c r="U35" i="35" s="1"/>
  <c r="AL23" i="35"/>
  <c r="U34" i="35" s="1"/>
  <c r="AL22" i="35"/>
  <c r="U33" i="35" s="1"/>
  <c r="AL21" i="35"/>
  <c r="U32" i="35" s="1"/>
  <c r="U41" i="35" s="1"/>
  <c r="AL20" i="35"/>
  <c r="U31" i="35" s="1"/>
  <c r="AL19" i="35"/>
  <c r="U30" i="35" s="1"/>
  <c r="AL18" i="35"/>
  <c r="U29" i="35" s="1"/>
  <c r="AL17" i="35"/>
  <c r="U28" i="35" s="1"/>
  <c r="AH25" i="35"/>
  <c r="T36" i="35" s="1"/>
  <c r="AH24" i="35"/>
  <c r="T35" i="35" s="1"/>
  <c r="AH23" i="35"/>
  <c r="T34" i="35" s="1"/>
  <c r="AH22" i="35"/>
  <c r="T33" i="35" s="1"/>
  <c r="AH21" i="35"/>
  <c r="T32" i="35" s="1"/>
  <c r="T41" i="35" s="1"/>
  <c r="AH20" i="35"/>
  <c r="T31" i="35" s="1"/>
  <c r="AH19" i="35"/>
  <c r="T30" i="35" s="1"/>
  <c r="AH18" i="35"/>
  <c r="T29" i="35" s="1"/>
  <c r="AH17" i="35"/>
  <c r="T28" i="35" s="1"/>
  <c r="AG25" i="35"/>
  <c r="S36" i="35" s="1"/>
  <c r="AG24" i="35"/>
  <c r="S35" i="35" s="1"/>
  <c r="AG23" i="35"/>
  <c r="S34" i="35" s="1"/>
  <c r="AG22" i="35"/>
  <c r="S33" i="35" s="1"/>
  <c r="AG21" i="35"/>
  <c r="S32" i="35" s="1"/>
  <c r="S41" i="35" s="1"/>
  <c r="AG20" i="35"/>
  <c r="S31" i="35" s="1"/>
  <c r="AG19" i="35"/>
  <c r="S30" i="35" s="1"/>
  <c r="AG18" i="35"/>
  <c r="S29" i="35" s="1"/>
  <c r="AG17" i="35"/>
  <c r="S28" i="35" s="1"/>
  <c r="AE25" i="35"/>
  <c r="R36" i="35" s="1"/>
  <c r="AE24" i="35"/>
  <c r="R35" i="35" s="1"/>
  <c r="AE23" i="35"/>
  <c r="R34" i="35" s="1"/>
  <c r="AE22" i="35"/>
  <c r="R33" i="35" s="1"/>
  <c r="AE21" i="35"/>
  <c r="R32" i="35" s="1"/>
  <c r="R41" i="35" s="1"/>
  <c r="AE20" i="35"/>
  <c r="R31" i="35" s="1"/>
  <c r="AE19" i="35"/>
  <c r="R30" i="35" s="1"/>
  <c r="AE18" i="35"/>
  <c r="R29" i="35" s="1"/>
  <c r="AE17" i="35"/>
  <c r="R28" i="35" s="1"/>
  <c r="AC25" i="35"/>
  <c r="Q36" i="35" s="1"/>
  <c r="AC24" i="35"/>
  <c r="Q35" i="35" s="1"/>
  <c r="AC23" i="35"/>
  <c r="Q34" i="35" s="1"/>
  <c r="AC22" i="35"/>
  <c r="Q33" i="35" s="1"/>
  <c r="AC21" i="35"/>
  <c r="Q32" i="35" s="1"/>
  <c r="Q41" i="35" s="1"/>
  <c r="AC20" i="35"/>
  <c r="Q31" i="35" s="1"/>
  <c r="AC19" i="35"/>
  <c r="Q30" i="35" s="1"/>
  <c r="AC18" i="35"/>
  <c r="Q29" i="35" s="1"/>
  <c r="AC17" i="35"/>
  <c r="Q28" i="35" s="1"/>
  <c r="AB25" i="35"/>
  <c r="P36" i="35" s="1"/>
  <c r="AB24" i="35"/>
  <c r="P35" i="35" s="1"/>
  <c r="AB23" i="35"/>
  <c r="P34" i="35" s="1"/>
  <c r="AB22" i="35"/>
  <c r="P33" i="35" s="1"/>
  <c r="P42" i="35" s="1"/>
  <c r="AB21" i="35"/>
  <c r="P32" i="35" s="1"/>
  <c r="P41" i="35" s="1"/>
  <c r="AB20" i="35"/>
  <c r="P31" i="35" s="1"/>
  <c r="AB19" i="35"/>
  <c r="P30" i="35" s="1"/>
  <c r="AB18" i="35"/>
  <c r="P29" i="35" s="1"/>
  <c r="AB17" i="35"/>
  <c r="P28" i="35" s="1"/>
  <c r="Y18" i="35"/>
  <c r="O29" i="35" s="1"/>
  <c r="Y19" i="35"/>
  <c r="O30" i="35" s="1"/>
  <c r="Y20" i="35"/>
  <c r="O31" i="35" s="1"/>
  <c r="Y21" i="35"/>
  <c r="O32" i="35" s="1"/>
  <c r="O41" i="35" s="1"/>
  <c r="Y22" i="35"/>
  <c r="O33" i="35" s="1"/>
  <c r="Y23" i="35"/>
  <c r="O34" i="35" s="1"/>
  <c r="Y24" i="35"/>
  <c r="O35" i="35" s="1"/>
  <c r="Y25" i="35"/>
  <c r="O36" i="35" s="1"/>
  <c r="Y17" i="35"/>
  <c r="O28" i="35" s="1"/>
  <c r="W25" i="35"/>
  <c r="N36" i="35" s="1"/>
  <c r="W24" i="35"/>
  <c r="N35" i="35" s="1"/>
  <c r="W23" i="35"/>
  <c r="N34" i="35" s="1"/>
  <c r="W22" i="35"/>
  <c r="N33" i="35" s="1"/>
  <c r="W21" i="35"/>
  <c r="N32" i="35" s="1"/>
  <c r="N41" i="35" s="1"/>
  <c r="W20" i="35"/>
  <c r="N31" i="35" s="1"/>
  <c r="W19" i="35"/>
  <c r="N30" i="35" s="1"/>
  <c r="W18" i="35"/>
  <c r="N29" i="35" s="1"/>
  <c r="W17" i="35"/>
  <c r="N28" i="35" s="1"/>
  <c r="V25" i="35"/>
  <c r="M36" i="35" s="1"/>
  <c r="V24" i="35"/>
  <c r="M35" i="35" s="1"/>
  <c r="V23" i="35"/>
  <c r="M34" i="35" s="1"/>
  <c r="V22" i="35"/>
  <c r="M33" i="35" s="1"/>
  <c r="V21" i="35"/>
  <c r="M32" i="35" s="1"/>
  <c r="M41" i="35" s="1"/>
  <c r="V20" i="35"/>
  <c r="M31" i="35" s="1"/>
  <c r="V19" i="35"/>
  <c r="M30" i="35" s="1"/>
  <c r="V18" i="35"/>
  <c r="M29" i="35" s="1"/>
  <c r="V17" i="35"/>
  <c r="M28" i="35" s="1"/>
  <c r="M40" i="35" s="1"/>
  <c r="T25" i="35"/>
  <c r="L36" i="35" s="1"/>
  <c r="T24" i="35"/>
  <c r="L35" i="35" s="1"/>
  <c r="T23" i="35"/>
  <c r="L34" i="35" s="1"/>
  <c r="T22" i="35"/>
  <c r="L33" i="35" s="1"/>
  <c r="T21" i="35"/>
  <c r="L32" i="35" s="1"/>
  <c r="L41" i="35" s="1"/>
  <c r="T20" i="35"/>
  <c r="L31" i="35" s="1"/>
  <c r="T19" i="35"/>
  <c r="L30" i="35" s="1"/>
  <c r="T18" i="35"/>
  <c r="L29" i="35" s="1"/>
  <c r="T17" i="35"/>
  <c r="L28" i="35" s="1"/>
  <c r="R25" i="35"/>
  <c r="K36" i="35" s="1"/>
  <c r="R24" i="35"/>
  <c r="K35" i="35" s="1"/>
  <c r="R23" i="35"/>
  <c r="K34" i="35" s="1"/>
  <c r="R22" i="35"/>
  <c r="K33" i="35" s="1"/>
  <c r="R21" i="35"/>
  <c r="K32" i="35" s="1"/>
  <c r="K41" i="35" s="1"/>
  <c r="R20" i="35"/>
  <c r="K31" i="35" s="1"/>
  <c r="R19" i="35"/>
  <c r="K30" i="35" s="1"/>
  <c r="R18" i="35"/>
  <c r="K29" i="35" s="1"/>
  <c r="R17" i="35"/>
  <c r="K28" i="35" s="1"/>
  <c r="Q18" i="35"/>
  <c r="J29" i="35" s="1"/>
  <c r="Q19" i="35"/>
  <c r="J30" i="35" s="1"/>
  <c r="Q20" i="35"/>
  <c r="J31" i="35" s="1"/>
  <c r="Q21" i="35"/>
  <c r="J32" i="35" s="1"/>
  <c r="J41" i="35" s="1"/>
  <c r="Q22" i="35"/>
  <c r="J33" i="35" s="1"/>
  <c r="Q23" i="35"/>
  <c r="J34" i="35" s="1"/>
  <c r="Q24" i="35"/>
  <c r="J35" i="35" s="1"/>
  <c r="Q25" i="35"/>
  <c r="J36" i="35" s="1"/>
  <c r="Q17" i="35"/>
  <c r="J28" i="35" s="1"/>
  <c r="O17" i="35"/>
  <c r="I28" i="35" s="1"/>
  <c r="I40" i="35" s="1"/>
  <c r="O18" i="35"/>
  <c r="I29" i="35" s="1"/>
  <c r="O19" i="35"/>
  <c r="I30" i="35" s="1"/>
  <c r="O20" i="35"/>
  <c r="I31" i="35" s="1"/>
  <c r="O21" i="35"/>
  <c r="I32" i="35" s="1"/>
  <c r="I41" i="35" s="1"/>
  <c r="O22" i="35"/>
  <c r="I33" i="35" s="1"/>
  <c r="O23" i="35"/>
  <c r="I34" i="35" s="1"/>
  <c r="O24" i="35"/>
  <c r="I35" i="35" s="1"/>
  <c r="O25" i="35"/>
  <c r="I36" i="35" s="1"/>
  <c r="M17" i="35"/>
  <c r="H28" i="35" s="1"/>
  <c r="M18" i="35"/>
  <c r="H29" i="35" s="1"/>
  <c r="M19" i="35"/>
  <c r="H30" i="35" s="1"/>
  <c r="M20" i="35"/>
  <c r="H31" i="35" s="1"/>
  <c r="M21" i="35"/>
  <c r="H32" i="35" s="1"/>
  <c r="H41" i="35" s="1"/>
  <c r="M22" i="35"/>
  <c r="H33" i="35" s="1"/>
  <c r="M23" i="35"/>
  <c r="H34" i="35" s="1"/>
  <c r="M24" i="35"/>
  <c r="H35" i="35" s="1"/>
  <c r="M25" i="35"/>
  <c r="H36" i="35" s="1"/>
  <c r="K18" i="35"/>
  <c r="G29" i="35" s="1"/>
  <c r="K19" i="35"/>
  <c r="G30" i="35" s="1"/>
  <c r="K20" i="35"/>
  <c r="G31" i="35" s="1"/>
  <c r="K21" i="35"/>
  <c r="G32" i="35" s="1"/>
  <c r="G41" i="35" s="1"/>
  <c r="K22" i="35"/>
  <c r="G33" i="35" s="1"/>
  <c r="K23" i="35"/>
  <c r="G34" i="35" s="1"/>
  <c r="K24" i="35"/>
  <c r="G35" i="35" s="1"/>
  <c r="K25" i="35"/>
  <c r="G36" i="35" s="1"/>
  <c r="K17" i="35"/>
  <c r="G28" i="35" s="1"/>
  <c r="I18" i="35"/>
  <c r="F29" i="35" s="1"/>
  <c r="I19" i="35"/>
  <c r="F30" i="35" s="1"/>
  <c r="I20" i="35"/>
  <c r="F31" i="35" s="1"/>
  <c r="I21" i="35"/>
  <c r="F32" i="35" s="1"/>
  <c r="F41" i="35" s="1"/>
  <c r="I22" i="35"/>
  <c r="F33" i="35" s="1"/>
  <c r="I23" i="35"/>
  <c r="F34" i="35" s="1"/>
  <c r="I24" i="35"/>
  <c r="F35" i="35" s="1"/>
  <c r="I25" i="35"/>
  <c r="F36" i="35" s="1"/>
  <c r="I17" i="35"/>
  <c r="F28" i="35" s="1"/>
  <c r="E18" i="35"/>
  <c r="E29" i="35" s="1"/>
  <c r="E19" i="35"/>
  <c r="E30" i="35" s="1"/>
  <c r="E20" i="35"/>
  <c r="E31" i="35" s="1"/>
  <c r="E21" i="35"/>
  <c r="E32" i="35" s="1"/>
  <c r="E41" i="35" s="1"/>
  <c r="E22" i="35"/>
  <c r="E33" i="35" s="1"/>
  <c r="E42" i="35" s="1"/>
  <c r="E23" i="35"/>
  <c r="E34" i="35" s="1"/>
  <c r="E24" i="35"/>
  <c r="E35" i="35" s="1"/>
  <c r="E25" i="35"/>
  <c r="E36" i="35" s="1"/>
  <c r="E17" i="35"/>
  <c r="E28" i="35" s="1"/>
  <c r="E40" i="35" s="1"/>
  <c r="I16" i="35"/>
  <c r="K16" i="35" s="1"/>
  <c r="M16" i="35" s="1"/>
  <c r="O16" i="35" s="1"/>
  <c r="I27" i="35" s="1"/>
  <c r="I3" i="35"/>
  <c r="K3" i="35" s="1"/>
  <c r="M3" i="35" s="1"/>
  <c r="O3" i="35" s="1"/>
  <c r="AI40" i="35" l="1"/>
  <c r="AL42" i="35"/>
  <c r="AQ40" i="35"/>
  <c r="AT42" i="35"/>
  <c r="AH42" i="35"/>
  <c r="AM40" i="35"/>
  <c r="AU40" i="35"/>
  <c r="AT124" i="15" s="1"/>
  <c r="AZ42" i="35"/>
  <c r="L42" i="35"/>
  <c r="Q40" i="35"/>
  <c r="T42" i="35"/>
  <c r="AB42" i="35"/>
  <c r="AY42" i="35"/>
  <c r="V42" i="35"/>
  <c r="W40" i="35"/>
  <c r="V124" i="15" s="1"/>
  <c r="Z42" i="35"/>
  <c r="Y135" i="15" s="1"/>
  <c r="AA40" i="35"/>
  <c r="AD42" i="35"/>
  <c r="AE40" i="35"/>
  <c r="AW40" i="35"/>
  <c r="AJ42" i="35"/>
  <c r="AN42" i="35"/>
  <c r="D136" i="38"/>
  <c r="D93" i="37"/>
  <c r="D124" i="15"/>
  <c r="L124" i="15"/>
  <c r="L136" i="38"/>
  <c r="L93" i="37"/>
  <c r="L125" i="38"/>
  <c r="L82" i="37"/>
  <c r="L113" i="15"/>
  <c r="O135" i="15"/>
  <c r="O147" i="38"/>
  <c r="O104" i="37"/>
  <c r="P124" i="15"/>
  <c r="P136" i="38"/>
  <c r="P93" i="37"/>
  <c r="P125" i="38"/>
  <c r="P82" i="37"/>
  <c r="P113" i="15"/>
  <c r="D125" i="38"/>
  <c r="D82" i="37"/>
  <c r="D113" i="15"/>
  <c r="F40" i="35"/>
  <c r="F42" i="35"/>
  <c r="J40" i="35"/>
  <c r="J42" i="35"/>
  <c r="M42" i="35"/>
  <c r="N40" i="35"/>
  <c r="M125" i="38"/>
  <c r="M82" i="37"/>
  <c r="M113" i="15"/>
  <c r="Q42" i="35"/>
  <c r="R40" i="35"/>
  <c r="Q125" i="38"/>
  <c r="Q82" i="37"/>
  <c r="Q113" i="15"/>
  <c r="U42" i="35"/>
  <c r="V40" i="35"/>
  <c r="U125" i="38"/>
  <c r="U82" i="37"/>
  <c r="U113" i="15"/>
  <c r="Y42" i="35"/>
  <c r="Z40" i="35"/>
  <c r="Y125" i="38"/>
  <c r="Y82" i="37"/>
  <c r="Y113" i="15"/>
  <c r="AC42" i="35"/>
  <c r="AD40" i="35"/>
  <c r="AC125" i="38"/>
  <c r="AC82" i="37"/>
  <c r="AC113" i="15"/>
  <c r="AG42" i="35"/>
  <c r="AH40" i="35"/>
  <c r="AG125" i="38"/>
  <c r="AG82" i="37"/>
  <c r="AG113" i="15"/>
  <c r="AK42" i="35"/>
  <c r="AL40" i="35"/>
  <c r="AK125" i="38"/>
  <c r="AK82" i="37"/>
  <c r="AK113" i="15"/>
  <c r="AO42" i="35"/>
  <c r="AP40" i="35"/>
  <c r="AP42" i="35"/>
  <c r="AS42" i="35"/>
  <c r="AT40" i="35"/>
  <c r="AS125" i="38"/>
  <c r="AS82" i="37"/>
  <c r="AS113" i="15"/>
  <c r="AX42" i="35"/>
  <c r="AZ40" i="35"/>
  <c r="D135" i="15"/>
  <c r="D147" i="38"/>
  <c r="D104" i="37"/>
  <c r="H124" i="15"/>
  <c r="H136" i="38"/>
  <c r="H93" i="37"/>
  <c r="K135" i="15"/>
  <c r="K147" i="38"/>
  <c r="K104" i="37"/>
  <c r="E125" i="38"/>
  <c r="E82" i="37"/>
  <c r="E113" i="15"/>
  <c r="G42" i="35"/>
  <c r="K40" i="35"/>
  <c r="O40" i="35"/>
  <c r="O42" i="35"/>
  <c r="R42" i="35"/>
  <c r="S40" i="35"/>
  <c r="R125" i="38"/>
  <c r="R82" i="37"/>
  <c r="R113" i="15"/>
  <c r="U135" i="15"/>
  <c r="U147" i="38"/>
  <c r="U104" i="37"/>
  <c r="V93" i="37"/>
  <c r="V125" i="38"/>
  <c r="V82" i="37"/>
  <c r="V113" i="15"/>
  <c r="Z124" i="15"/>
  <c r="Z136" i="38"/>
  <c r="Z93" i="37"/>
  <c r="Z125" i="38"/>
  <c r="Z82" i="37"/>
  <c r="Z113" i="15"/>
  <c r="AC135" i="15"/>
  <c r="AC147" i="38"/>
  <c r="AC104" i="37"/>
  <c r="AD124" i="15"/>
  <c r="AD136" i="38"/>
  <c r="AD93" i="37"/>
  <c r="AD125" i="38"/>
  <c r="AD82" i="37"/>
  <c r="AD113" i="15"/>
  <c r="AG135" i="15"/>
  <c r="AG147" i="38"/>
  <c r="AG104" i="37"/>
  <c r="AH124" i="15"/>
  <c r="AH136" i="38"/>
  <c r="AH93" i="37"/>
  <c r="AH125" i="38"/>
  <c r="AH82" i="37"/>
  <c r="AH113" i="15"/>
  <c r="AK135" i="15"/>
  <c r="AK147" i="38"/>
  <c r="AK104" i="37"/>
  <c r="AL124" i="15"/>
  <c r="AL136" i="38"/>
  <c r="AL93" i="37"/>
  <c r="AL125" i="38"/>
  <c r="AL82" i="37"/>
  <c r="AL113" i="15"/>
  <c r="AO125" i="38"/>
  <c r="AO82" i="37"/>
  <c r="AO113" i="15"/>
  <c r="AP124" i="15"/>
  <c r="AP136" i="38"/>
  <c r="AP93" i="37"/>
  <c r="AP125" i="38"/>
  <c r="AP82" i="37"/>
  <c r="AP113" i="15"/>
  <c r="AS135" i="15"/>
  <c r="AS147" i="38"/>
  <c r="AS104" i="37"/>
  <c r="AT125" i="38"/>
  <c r="AT82" i="37"/>
  <c r="AT113" i="15"/>
  <c r="AV124" i="15"/>
  <c r="AV136" i="38"/>
  <c r="AV93" i="37"/>
  <c r="AV125" i="38"/>
  <c r="AV82" i="37"/>
  <c r="AV113" i="15"/>
  <c r="H125" i="38"/>
  <c r="H82" i="37"/>
  <c r="H113" i="15"/>
  <c r="G40" i="35"/>
  <c r="H42" i="35"/>
  <c r="I125" i="38"/>
  <c r="I82" i="37"/>
  <c r="I113" i="15"/>
  <c r="J125" i="38"/>
  <c r="J82" i="37"/>
  <c r="J113" i="15"/>
  <c r="N42" i="35"/>
  <c r="F125" i="38"/>
  <c r="F82" i="37"/>
  <c r="F113" i="15"/>
  <c r="G125" i="38"/>
  <c r="G82" i="37"/>
  <c r="G113" i="15"/>
  <c r="H40" i="35"/>
  <c r="I42" i="35"/>
  <c r="K42" i="35"/>
  <c r="L40" i="35"/>
  <c r="K125" i="38"/>
  <c r="K82" i="37"/>
  <c r="K113" i="15"/>
  <c r="N125" i="38"/>
  <c r="N82" i="37"/>
  <c r="N113" i="15"/>
  <c r="P40" i="35"/>
  <c r="O125" i="38"/>
  <c r="O82" i="37"/>
  <c r="O113" i="15"/>
  <c r="S42" i="35"/>
  <c r="T40" i="35"/>
  <c r="S125" i="38"/>
  <c r="S82" i="37"/>
  <c r="S113" i="15"/>
  <c r="W42" i="35"/>
  <c r="X40" i="35"/>
  <c r="W125" i="38"/>
  <c r="W82" i="37"/>
  <c r="W113" i="15"/>
  <c r="AA42" i="35"/>
  <c r="AB40" i="35"/>
  <c r="AA125" i="38"/>
  <c r="AA82" i="37"/>
  <c r="AA113" i="15"/>
  <c r="AE42" i="35"/>
  <c r="AF40" i="35"/>
  <c r="AE125" i="38"/>
  <c r="AE82" i="37"/>
  <c r="AE113" i="15"/>
  <c r="AI42" i="35"/>
  <c r="AJ40" i="35"/>
  <c r="AI125" i="38"/>
  <c r="AI82" i="37"/>
  <c r="AI113" i="15"/>
  <c r="AM42" i="35"/>
  <c r="AN40" i="35"/>
  <c r="AM125" i="38"/>
  <c r="AM82" i="37"/>
  <c r="AM113" i="15"/>
  <c r="AQ42" i="35"/>
  <c r="AR40" i="35"/>
  <c r="AQ125" i="38"/>
  <c r="AQ82" i="37"/>
  <c r="AQ113" i="15"/>
  <c r="AU42" i="35"/>
  <c r="AV40" i="35"/>
  <c r="AU125" i="38"/>
  <c r="AU82" i="37"/>
  <c r="AU113" i="15"/>
  <c r="AW42" i="35"/>
  <c r="AY40" i="35"/>
  <c r="S135" i="15"/>
  <c r="S147" i="38"/>
  <c r="S104" i="37"/>
  <c r="U40" i="35"/>
  <c r="T125" i="38"/>
  <c r="T82" i="37"/>
  <c r="T113" i="15"/>
  <c r="W135" i="15"/>
  <c r="W147" i="38"/>
  <c r="W104" i="37"/>
  <c r="Y40" i="35"/>
  <c r="X125" i="38"/>
  <c r="X82" i="37"/>
  <c r="X113" i="15"/>
  <c r="AA135" i="15"/>
  <c r="AA147" i="38"/>
  <c r="AA104" i="37"/>
  <c r="AC40" i="35"/>
  <c r="AB125" i="38"/>
  <c r="AB82" i="37"/>
  <c r="AB113" i="15"/>
  <c r="AE135" i="15"/>
  <c r="AE147" i="38"/>
  <c r="AE104" i="37"/>
  <c r="AG40" i="35"/>
  <c r="AF125" i="38"/>
  <c r="AF82" i="37"/>
  <c r="AF113" i="15"/>
  <c r="AI135" i="15"/>
  <c r="AI147" i="38"/>
  <c r="AI104" i="37"/>
  <c r="AK40" i="35"/>
  <c r="AJ125" i="38"/>
  <c r="AJ82" i="37"/>
  <c r="AJ113" i="15"/>
  <c r="AM135" i="15"/>
  <c r="AM147" i="38"/>
  <c r="AM104" i="37"/>
  <c r="AO40" i="35"/>
  <c r="AN125" i="38"/>
  <c r="AN82" i="37"/>
  <c r="AN113" i="15"/>
  <c r="AR42" i="35"/>
  <c r="AS40" i="35"/>
  <c r="AR125" i="38"/>
  <c r="AR82" i="37"/>
  <c r="AR113" i="15"/>
  <c r="AV42" i="35"/>
  <c r="AX40" i="35"/>
  <c r="H27" i="35"/>
  <c r="G27" i="35"/>
  <c r="F27" i="35"/>
  <c r="N430" i="31"/>
  <c r="N431" i="31"/>
  <c r="N432" i="31"/>
  <c r="N433" i="31"/>
  <c r="N434" i="31"/>
  <c r="N435" i="31"/>
  <c r="N436" i="31"/>
  <c r="N437" i="31"/>
  <c r="N438" i="31"/>
  <c r="N439" i="31"/>
  <c r="N440" i="31"/>
  <c r="N441" i="31"/>
  <c r="N442" i="31"/>
  <c r="N443" i="31"/>
  <c r="N444" i="31"/>
  <c r="N445" i="31"/>
  <c r="N446" i="31"/>
  <c r="N447" i="31"/>
  <c r="N448" i="31"/>
  <c r="N449" i="31"/>
  <c r="N450" i="31"/>
  <c r="N451" i="31"/>
  <c r="N452" i="31"/>
  <c r="N453" i="31"/>
  <c r="N454" i="31"/>
  <c r="N455" i="31"/>
  <c r="N456" i="31"/>
  <c r="N457" i="31"/>
  <c r="N458" i="31"/>
  <c r="N459" i="31"/>
  <c r="N460" i="31"/>
  <c r="N461" i="31"/>
  <c r="N462" i="31"/>
  <c r="N463" i="31"/>
  <c r="N464" i="31"/>
  <c r="N465" i="31"/>
  <c r="N466" i="31"/>
  <c r="N467" i="31"/>
  <c r="N468" i="31"/>
  <c r="N469" i="31"/>
  <c r="N470" i="31"/>
  <c r="N471" i="31"/>
  <c r="N472" i="31"/>
  <c r="N473" i="31"/>
  <c r="N474" i="31"/>
  <c r="N475" i="31"/>
  <c r="N476" i="31"/>
  <c r="N477" i="31"/>
  <c r="N478" i="31"/>
  <c r="N479" i="31"/>
  <c r="N480" i="31"/>
  <c r="N481" i="31"/>
  <c r="N482" i="31"/>
  <c r="N483" i="31"/>
  <c r="N484" i="31"/>
  <c r="N485" i="31"/>
  <c r="N486" i="31"/>
  <c r="N487" i="31"/>
  <c r="N488" i="31"/>
  <c r="N489" i="31"/>
  <c r="N490" i="31"/>
  <c r="N491" i="31"/>
  <c r="N492" i="31"/>
  <c r="N493" i="31"/>
  <c r="N494" i="31"/>
  <c r="N495" i="31"/>
  <c r="N496" i="31"/>
  <c r="N497" i="31"/>
  <c r="N498" i="31"/>
  <c r="N499" i="31"/>
  <c r="N500" i="31"/>
  <c r="N501" i="31"/>
  <c r="N502" i="31"/>
  <c r="N503" i="31"/>
  <c r="N504" i="31"/>
  <c r="N505" i="31"/>
  <c r="N506" i="31"/>
  <c r="N507" i="31"/>
  <c r="N508" i="31"/>
  <c r="N509" i="31"/>
  <c r="N510" i="31"/>
  <c r="N511" i="31"/>
  <c r="N512" i="31"/>
  <c r="N513" i="31"/>
  <c r="N514" i="31"/>
  <c r="N515" i="31"/>
  <c r="N516" i="31"/>
  <c r="N517" i="31"/>
  <c r="N518" i="31"/>
  <c r="N519" i="31"/>
  <c r="N520" i="31"/>
  <c r="N521" i="31"/>
  <c r="N522" i="31"/>
  <c r="N523" i="31"/>
  <c r="N524" i="31"/>
  <c r="N525" i="31"/>
  <c r="N526" i="31"/>
  <c r="N527" i="31"/>
  <c r="N528" i="31"/>
  <c r="N529" i="31"/>
  <c r="N530" i="31"/>
  <c r="N531" i="31"/>
  <c r="N532" i="31"/>
  <c r="N533" i="31"/>
  <c r="N534" i="31"/>
  <c r="N535" i="31"/>
  <c r="N536" i="31"/>
  <c r="N537" i="31"/>
  <c r="N538" i="31"/>
  <c r="N539" i="31"/>
  <c r="N540" i="31"/>
  <c r="N541" i="31"/>
  <c r="N542" i="31"/>
  <c r="N543" i="31"/>
  <c r="N544" i="31"/>
  <c r="N545" i="31"/>
  <c r="N546" i="31"/>
  <c r="N547" i="31"/>
  <c r="N548" i="31"/>
  <c r="N549" i="31"/>
  <c r="N550" i="31"/>
  <c r="N551" i="31"/>
  <c r="N552" i="31"/>
  <c r="N553" i="31"/>
  <c r="N554" i="31"/>
  <c r="N555" i="31"/>
  <c r="N556" i="31"/>
  <c r="N557" i="31"/>
  <c r="N558" i="31"/>
  <c r="N559" i="31"/>
  <c r="N560" i="31"/>
  <c r="N561" i="31"/>
  <c r="N562" i="31"/>
  <c r="N563" i="31"/>
  <c r="N564" i="31"/>
  <c r="N565" i="31"/>
  <c r="N566" i="31"/>
  <c r="N567" i="31"/>
  <c r="N568" i="31"/>
  <c r="N569" i="31"/>
  <c r="N570" i="31"/>
  <c r="N571" i="31"/>
  <c r="N572" i="31"/>
  <c r="N573" i="31"/>
  <c r="N574" i="31"/>
  <c r="N575" i="31"/>
  <c r="N576" i="31"/>
  <c r="N577" i="31"/>
  <c r="N578" i="31"/>
  <c r="N579" i="31"/>
  <c r="N580" i="31"/>
  <c r="N581" i="31"/>
  <c r="N582" i="31"/>
  <c r="N583" i="31"/>
  <c r="N584" i="31"/>
  <c r="N585" i="31"/>
  <c r="N586" i="31"/>
  <c r="N587" i="31"/>
  <c r="N588" i="31"/>
  <c r="N589" i="31"/>
  <c r="N590" i="31"/>
  <c r="N591" i="31"/>
  <c r="N592" i="31"/>
  <c r="N593" i="31"/>
  <c r="N594" i="31"/>
  <c r="N595" i="31"/>
  <c r="N596" i="31"/>
  <c r="N597" i="31"/>
  <c r="N598" i="31"/>
  <c r="N599" i="31"/>
  <c r="N600" i="31"/>
  <c r="N601" i="31"/>
  <c r="N602" i="31"/>
  <c r="N603" i="31"/>
  <c r="N604" i="31"/>
  <c r="N605" i="31"/>
  <c r="N606" i="31"/>
  <c r="N607" i="31"/>
  <c r="N608" i="31"/>
  <c r="N609" i="31"/>
  <c r="N610" i="31"/>
  <c r="N611" i="31"/>
  <c r="N612" i="31"/>
  <c r="N613" i="31"/>
  <c r="N614" i="31"/>
  <c r="N615" i="31"/>
  <c r="N616" i="31"/>
  <c r="N617" i="31"/>
  <c r="N618" i="31"/>
  <c r="N619" i="31"/>
  <c r="N620" i="31"/>
  <c r="N621" i="31"/>
  <c r="N622" i="31"/>
  <c r="N623" i="31"/>
  <c r="N624" i="31"/>
  <c r="N625" i="31"/>
  <c r="N626" i="31"/>
  <c r="N627" i="31"/>
  <c r="N628" i="31"/>
  <c r="N629" i="31"/>
  <c r="N630" i="31"/>
  <c r="N631" i="31"/>
  <c r="N632" i="31"/>
  <c r="N633" i="31"/>
  <c r="N634" i="31"/>
  <c r="N635" i="31"/>
  <c r="N636" i="31"/>
  <c r="N637" i="31"/>
  <c r="N638" i="31"/>
  <c r="N639" i="31"/>
  <c r="N640" i="31"/>
  <c r="N641" i="31"/>
  <c r="N642" i="31"/>
  <c r="N643" i="31"/>
  <c r="N644" i="31"/>
  <c r="N645" i="31"/>
  <c r="N646" i="31"/>
  <c r="N647" i="31"/>
  <c r="N648" i="31"/>
  <c r="N649" i="31"/>
  <c r="N650" i="31"/>
  <c r="N651" i="31"/>
  <c r="N652" i="31"/>
  <c r="N653" i="31"/>
  <c r="N654" i="31"/>
  <c r="N655" i="31"/>
  <c r="N656" i="31"/>
  <c r="N657" i="31"/>
  <c r="N658" i="31"/>
  <c r="N659" i="31"/>
  <c r="N660" i="31"/>
  <c r="N661" i="31"/>
  <c r="N662" i="31"/>
  <c r="N663" i="31"/>
  <c r="N664" i="31"/>
  <c r="N665" i="31"/>
  <c r="N666" i="31"/>
  <c r="N667" i="31"/>
  <c r="N668" i="31"/>
  <c r="N669" i="31"/>
  <c r="N670" i="31"/>
  <c r="N671" i="31"/>
  <c r="N672" i="31"/>
  <c r="N673" i="31"/>
  <c r="N674" i="31"/>
  <c r="N675" i="31"/>
  <c r="N676" i="31"/>
  <c r="N677" i="31"/>
  <c r="N678" i="31"/>
  <c r="N679" i="31"/>
  <c r="N680" i="31"/>
  <c r="N681" i="31"/>
  <c r="N682" i="31"/>
  <c r="N683" i="31"/>
  <c r="N684" i="31"/>
  <c r="N685" i="31"/>
  <c r="N686" i="31"/>
  <c r="N687" i="31"/>
  <c r="N688" i="31"/>
  <c r="N689" i="31"/>
  <c r="N690" i="31"/>
  <c r="N691" i="31"/>
  <c r="N692" i="31"/>
  <c r="N693" i="31"/>
  <c r="N694" i="31"/>
  <c r="N695" i="31"/>
  <c r="N696" i="31"/>
  <c r="N697" i="31"/>
  <c r="N698" i="31"/>
  <c r="N699" i="31"/>
  <c r="N700" i="31"/>
  <c r="N701" i="31"/>
  <c r="N702" i="31"/>
  <c r="N703" i="31"/>
  <c r="N704" i="31"/>
  <c r="N705" i="31"/>
  <c r="N706" i="31"/>
  <c r="N707" i="31"/>
  <c r="N708" i="31"/>
  <c r="N709" i="31"/>
  <c r="N710" i="31"/>
  <c r="N711" i="31"/>
  <c r="N712" i="31"/>
  <c r="N713" i="31"/>
  <c r="N714" i="31"/>
  <c r="N715" i="31"/>
  <c r="N716" i="31"/>
  <c r="N717" i="31"/>
  <c r="N718" i="31"/>
  <c r="N719" i="31"/>
  <c r="N720" i="31"/>
  <c r="N721" i="31"/>
  <c r="N722" i="31"/>
  <c r="N723" i="31"/>
  <c r="N724" i="31"/>
  <c r="N725" i="31"/>
  <c r="N726" i="31"/>
  <c r="N727" i="31"/>
  <c r="N728" i="31"/>
  <c r="N729" i="31"/>
  <c r="N730" i="31"/>
  <c r="N731" i="31"/>
  <c r="N732" i="31"/>
  <c r="N733" i="31"/>
  <c r="N734" i="31"/>
  <c r="N735" i="31"/>
  <c r="N736" i="31"/>
  <c r="N737" i="31"/>
  <c r="N738" i="31"/>
  <c r="N739" i="31"/>
  <c r="N740" i="31"/>
  <c r="N741" i="31"/>
  <c r="N742" i="31"/>
  <c r="N743" i="31"/>
  <c r="N744" i="31"/>
  <c r="N745" i="31"/>
  <c r="N746" i="31"/>
  <c r="N747" i="31"/>
  <c r="N748" i="31"/>
  <c r="N749" i="31"/>
  <c r="N750" i="31"/>
  <c r="N751" i="31"/>
  <c r="N752" i="31"/>
  <c r="N753" i="31"/>
  <c r="N754" i="31"/>
  <c r="N755" i="31"/>
  <c r="N756" i="31"/>
  <c r="N757" i="31"/>
  <c r="N758" i="31"/>
  <c r="N759" i="31"/>
  <c r="N760" i="31"/>
  <c r="N761" i="31"/>
  <c r="N762" i="31"/>
  <c r="N763" i="31"/>
  <c r="N764" i="31"/>
  <c r="N765" i="31"/>
  <c r="N766" i="31"/>
  <c r="N767" i="31"/>
  <c r="N768" i="31"/>
  <c r="N769" i="31"/>
  <c r="N770" i="31"/>
  <c r="N771" i="31"/>
  <c r="N772" i="31"/>
  <c r="N773" i="31"/>
  <c r="N774" i="31"/>
  <c r="N775" i="31"/>
  <c r="N776" i="31"/>
  <c r="N777" i="31"/>
  <c r="N778" i="31"/>
  <c r="N779" i="31"/>
  <c r="N780" i="31"/>
  <c r="N781" i="31"/>
  <c r="N782" i="31"/>
  <c r="N783" i="31"/>
  <c r="N784" i="31"/>
  <c r="N785" i="31"/>
  <c r="N786" i="31"/>
  <c r="N787" i="31"/>
  <c r="N788" i="31"/>
  <c r="N789" i="31"/>
  <c r="N790" i="31"/>
  <c r="N791" i="31"/>
  <c r="N792" i="31"/>
  <c r="N793" i="31"/>
  <c r="N794" i="31"/>
  <c r="N795" i="31"/>
  <c r="N796" i="31"/>
  <c r="N797" i="31"/>
  <c r="N798" i="31"/>
  <c r="N799" i="31"/>
  <c r="N800" i="31"/>
  <c r="N801" i="31"/>
  <c r="N802" i="31"/>
  <c r="N803" i="31"/>
  <c r="N804" i="31"/>
  <c r="N805" i="31"/>
  <c r="N806" i="31"/>
  <c r="N807" i="31"/>
  <c r="N808" i="31"/>
  <c r="N809" i="31"/>
  <c r="N810" i="31"/>
  <c r="N811" i="31"/>
  <c r="N812" i="31"/>
  <c r="N813" i="31"/>
  <c r="N814" i="31"/>
  <c r="N815" i="31"/>
  <c r="N816" i="31"/>
  <c r="N817" i="31"/>
  <c r="N818" i="31"/>
  <c r="N819" i="31"/>
  <c r="N820" i="31"/>
  <c r="N821" i="31"/>
  <c r="N822" i="31"/>
  <c r="N823" i="31"/>
  <c r="N824" i="31"/>
  <c r="N825" i="31"/>
  <c r="N826" i="31"/>
  <c r="N827" i="31"/>
  <c r="N828" i="31"/>
  <c r="N829" i="31"/>
  <c r="N830" i="31"/>
  <c r="N831" i="31"/>
  <c r="N832" i="31"/>
  <c r="N833" i="31"/>
  <c r="N834" i="31"/>
  <c r="N835" i="31"/>
  <c r="N836" i="31"/>
  <c r="N837" i="31"/>
  <c r="N838" i="31"/>
  <c r="N839" i="31"/>
  <c r="N840" i="31"/>
  <c r="N841" i="31"/>
  <c r="N842" i="31"/>
  <c r="N843" i="31"/>
  <c r="N844" i="31"/>
  <c r="N845" i="31"/>
  <c r="N846" i="31"/>
  <c r="N847" i="31"/>
  <c r="N848" i="31"/>
  <c r="N849" i="31"/>
  <c r="N850" i="31"/>
  <c r="N851" i="31"/>
  <c r="N852" i="31"/>
  <c r="N853" i="31"/>
  <c r="N854" i="31"/>
  <c r="N855" i="31"/>
  <c r="N856" i="31"/>
  <c r="N857" i="31"/>
  <c r="N858" i="31"/>
  <c r="N859" i="31"/>
  <c r="N860" i="31"/>
  <c r="N861" i="31"/>
  <c r="N862" i="31"/>
  <c r="N863" i="31"/>
  <c r="N864" i="31"/>
  <c r="N865" i="31"/>
  <c r="N866" i="31"/>
  <c r="N867" i="31"/>
  <c r="N868" i="31"/>
  <c r="N869" i="31"/>
  <c r="N870" i="31"/>
  <c r="N871" i="31"/>
  <c r="N872" i="31"/>
  <c r="N873" i="31"/>
  <c r="N874" i="31"/>
  <c r="N875" i="31"/>
  <c r="N876" i="31"/>
  <c r="N877" i="31"/>
  <c r="N878" i="31"/>
  <c r="N879" i="31"/>
  <c r="N880" i="31"/>
  <c r="N881" i="31"/>
  <c r="N882" i="31"/>
  <c r="N883" i="31"/>
  <c r="N884" i="31"/>
  <c r="N885" i="31"/>
  <c r="N886" i="31"/>
  <c r="N887" i="31"/>
  <c r="N888" i="31"/>
  <c r="N889" i="31"/>
  <c r="N890" i="31"/>
  <c r="N891" i="31"/>
  <c r="N892" i="31"/>
  <c r="N893" i="31"/>
  <c r="N894" i="31"/>
  <c r="N895" i="31"/>
  <c r="N896" i="31"/>
  <c r="N897" i="31"/>
  <c r="N898" i="31"/>
  <c r="N899" i="31"/>
  <c r="N900" i="31"/>
  <c r="N901" i="31"/>
  <c r="N902" i="31"/>
  <c r="N903" i="31"/>
  <c r="N904" i="31"/>
  <c r="N905" i="31"/>
  <c r="N906" i="31"/>
  <c r="N907" i="31"/>
  <c r="N908" i="31"/>
  <c r="N909" i="31"/>
  <c r="N910" i="31"/>
  <c r="N911" i="31"/>
  <c r="N912" i="31"/>
  <c r="N913" i="31"/>
  <c r="N914" i="31"/>
  <c r="N915" i="31"/>
  <c r="N916" i="31"/>
  <c r="N917" i="31"/>
  <c r="N918" i="31"/>
  <c r="N919" i="31"/>
  <c r="N920" i="31"/>
  <c r="N921" i="31"/>
  <c r="N922" i="31"/>
  <c r="N3" i="31"/>
  <c r="N4" i="31"/>
  <c r="N5" i="31"/>
  <c r="N6" i="31"/>
  <c r="N7" i="31"/>
  <c r="N8" i="31"/>
  <c r="N9" i="31"/>
  <c r="N10" i="31"/>
  <c r="N11" i="31"/>
  <c r="N12" i="31"/>
  <c r="N13" i="31"/>
  <c r="N14" i="31"/>
  <c r="N15" i="31"/>
  <c r="N16" i="31"/>
  <c r="N17" i="31"/>
  <c r="N18" i="31"/>
  <c r="N19" i="31"/>
  <c r="N20" i="31"/>
  <c r="N21" i="31"/>
  <c r="N22" i="31"/>
  <c r="N23" i="31"/>
  <c r="N24" i="31"/>
  <c r="N25" i="31"/>
  <c r="N26" i="31"/>
  <c r="N27" i="31"/>
  <c r="N28" i="31"/>
  <c r="N29" i="31"/>
  <c r="N30" i="31"/>
  <c r="N31" i="31"/>
  <c r="N32" i="31"/>
  <c r="N33" i="31"/>
  <c r="N34" i="31"/>
  <c r="N35" i="31"/>
  <c r="N36" i="31"/>
  <c r="N37" i="31"/>
  <c r="N38" i="31"/>
  <c r="N39" i="31"/>
  <c r="N40" i="31"/>
  <c r="N41" i="31"/>
  <c r="N42" i="31"/>
  <c r="N43" i="31"/>
  <c r="N44" i="31"/>
  <c r="N45" i="31"/>
  <c r="N46" i="31"/>
  <c r="N47" i="31"/>
  <c r="N48" i="31"/>
  <c r="N49" i="31"/>
  <c r="N50" i="31"/>
  <c r="N51" i="31"/>
  <c r="N52" i="31"/>
  <c r="N53" i="31"/>
  <c r="N54" i="31"/>
  <c r="N55" i="31"/>
  <c r="N56" i="31"/>
  <c r="N57" i="31"/>
  <c r="N58" i="31"/>
  <c r="N59" i="31"/>
  <c r="N60" i="31"/>
  <c r="N61" i="31"/>
  <c r="N62" i="31"/>
  <c r="N63" i="31"/>
  <c r="N64" i="31"/>
  <c r="N65" i="31"/>
  <c r="N66" i="31"/>
  <c r="N67" i="31"/>
  <c r="N68" i="31"/>
  <c r="N69" i="31"/>
  <c r="N70" i="31"/>
  <c r="N71" i="31"/>
  <c r="N72" i="31"/>
  <c r="N73" i="31"/>
  <c r="N74" i="31"/>
  <c r="N75" i="31"/>
  <c r="N76" i="31"/>
  <c r="N77" i="31"/>
  <c r="N78" i="31"/>
  <c r="N79" i="31"/>
  <c r="N80" i="31"/>
  <c r="N81" i="31"/>
  <c r="N82" i="31"/>
  <c r="N83" i="31"/>
  <c r="N84" i="31"/>
  <c r="N85" i="31"/>
  <c r="N86" i="31"/>
  <c r="N87" i="31"/>
  <c r="N88" i="31"/>
  <c r="N89" i="31"/>
  <c r="N90" i="31"/>
  <c r="N91" i="31"/>
  <c r="N92" i="31"/>
  <c r="N93" i="31"/>
  <c r="N94" i="31"/>
  <c r="N95" i="31"/>
  <c r="N96" i="31"/>
  <c r="N97" i="31"/>
  <c r="N98" i="31"/>
  <c r="N99" i="31"/>
  <c r="N100" i="31"/>
  <c r="N101" i="31"/>
  <c r="N102" i="31"/>
  <c r="N103" i="31"/>
  <c r="N104" i="31"/>
  <c r="N105" i="31"/>
  <c r="N106" i="31"/>
  <c r="N107" i="31"/>
  <c r="N108" i="31"/>
  <c r="N109" i="31"/>
  <c r="N110" i="31"/>
  <c r="N111" i="31"/>
  <c r="N112" i="31"/>
  <c r="N113" i="31"/>
  <c r="N114" i="31"/>
  <c r="N115" i="31"/>
  <c r="N116" i="31"/>
  <c r="N117" i="31"/>
  <c r="N118" i="31"/>
  <c r="N119" i="31"/>
  <c r="N120" i="31"/>
  <c r="N121" i="31"/>
  <c r="N122" i="31"/>
  <c r="N123" i="31"/>
  <c r="N124" i="31"/>
  <c r="N125" i="31"/>
  <c r="N126" i="31"/>
  <c r="N127" i="31"/>
  <c r="N128" i="31"/>
  <c r="N129" i="31"/>
  <c r="N130" i="31"/>
  <c r="N131" i="31"/>
  <c r="N132" i="31"/>
  <c r="N133" i="31"/>
  <c r="N134" i="31"/>
  <c r="N135" i="31"/>
  <c r="N136" i="31"/>
  <c r="N137" i="31"/>
  <c r="N138" i="31"/>
  <c r="N139" i="31"/>
  <c r="N140" i="31"/>
  <c r="N141" i="31"/>
  <c r="N142" i="31"/>
  <c r="N143" i="31"/>
  <c r="N144" i="31"/>
  <c r="N145" i="31"/>
  <c r="N146" i="31"/>
  <c r="N147" i="31"/>
  <c r="N148" i="31"/>
  <c r="N149" i="31"/>
  <c r="N150" i="31"/>
  <c r="N151" i="31"/>
  <c r="N152" i="31"/>
  <c r="N153" i="31"/>
  <c r="N154" i="31"/>
  <c r="N155" i="31"/>
  <c r="N156" i="31"/>
  <c r="N157" i="31"/>
  <c r="N158" i="31"/>
  <c r="N159" i="31"/>
  <c r="N160" i="31"/>
  <c r="N161" i="31"/>
  <c r="N162" i="31"/>
  <c r="N163" i="31"/>
  <c r="N164" i="31"/>
  <c r="N165" i="31"/>
  <c r="N166" i="31"/>
  <c r="N167" i="31"/>
  <c r="N168" i="31"/>
  <c r="N169" i="31"/>
  <c r="N170" i="31"/>
  <c r="N171" i="31"/>
  <c r="N172" i="31"/>
  <c r="N173" i="31"/>
  <c r="N174" i="31"/>
  <c r="N175" i="31"/>
  <c r="N176" i="31"/>
  <c r="N177" i="31"/>
  <c r="N178" i="31"/>
  <c r="N179" i="31"/>
  <c r="N180" i="31"/>
  <c r="N181" i="31"/>
  <c r="N182" i="31"/>
  <c r="N183" i="31"/>
  <c r="N184" i="31"/>
  <c r="N185" i="31"/>
  <c r="N186" i="31"/>
  <c r="N187" i="31"/>
  <c r="N188" i="31"/>
  <c r="N189" i="31"/>
  <c r="N190" i="31"/>
  <c r="N191" i="31"/>
  <c r="N192" i="31"/>
  <c r="N193" i="31"/>
  <c r="N194" i="31"/>
  <c r="N195" i="31"/>
  <c r="N196" i="31"/>
  <c r="N197" i="31"/>
  <c r="N198" i="31"/>
  <c r="N199" i="31"/>
  <c r="N200" i="31"/>
  <c r="N201" i="31"/>
  <c r="N202" i="31"/>
  <c r="N203" i="31"/>
  <c r="N204" i="31"/>
  <c r="N205" i="31"/>
  <c r="N206" i="31"/>
  <c r="N207" i="31"/>
  <c r="N208" i="31"/>
  <c r="N209" i="31"/>
  <c r="N210" i="31"/>
  <c r="N211" i="31"/>
  <c r="N212" i="31"/>
  <c r="N213" i="31"/>
  <c r="N214" i="31"/>
  <c r="N215" i="31"/>
  <c r="N216" i="31"/>
  <c r="N217" i="31"/>
  <c r="N218" i="31"/>
  <c r="N219" i="31"/>
  <c r="N220" i="31"/>
  <c r="N221" i="31"/>
  <c r="N222" i="31"/>
  <c r="N223" i="31"/>
  <c r="N224" i="31"/>
  <c r="N225" i="31"/>
  <c r="N226" i="31"/>
  <c r="N227" i="31"/>
  <c r="N228" i="31"/>
  <c r="N229" i="31"/>
  <c r="N230" i="31"/>
  <c r="N231" i="31"/>
  <c r="N232" i="31"/>
  <c r="N233" i="31"/>
  <c r="N234" i="31"/>
  <c r="N235" i="31"/>
  <c r="N236" i="31"/>
  <c r="N237" i="31"/>
  <c r="N238" i="31"/>
  <c r="N239" i="31"/>
  <c r="N240" i="31"/>
  <c r="N241" i="31"/>
  <c r="N242" i="31"/>
  <c r="N243" i="31"/>
  <c r="N244" i="31"/>
  <c r="N245" i="31"/>
  <c r="N246" i="31"/>
  <c r="N247" i="31"/>
  <c r="N248" i="31"/>
  <c r="N249" i="31"/>
  <c r="N250" i="31"/>
  <c r="N251" i="31"/>
  <c r="N252" i="31"/>
  <c r="N253" i="31"/>
  <c r="N254" i="31"/>
  <c r="N255" i="31"/>
  <c r="N256" i="31"/>
  <c r="N257" i="31"/>
  <c r="N258" i="31"/>
  <c r="N259" i="31"/>
  <c r="N260" i="31"/>
  <c r="N261" i="31"/>
  <c r="N262" i="31"/>
  <c r="N263" i="31"/>
  <c r="N264" i="31"/>
  <c r="N265" i="31"/>
  <c r="N266" i="31"/>
  <c r="N267" i="31"/>
  <c r="N268" i="31"/>
  <c r="N269" i="31"/>
  <c r="N270" i="31"/>
  <c r="N271" i="31"/>
  <c r="N272" i="31"/>
  <c r="N273" i="31"/>
  <c r="N274" i="31"/>
  <c r="N275" i="31"/>
  <c r="N276" i="31"/>
  <c r="N277" i="31"/>
  <c r="N278" i="31"/>
  <c r="N279" i="31"/>
  <c r="N280" i="31"/>
  <c r="N281" i="31"/>
  <c r="N282" i="31"/>
  <c r="N283" i="31"/>
  <c r="N284" i="31"/>
  <c r="N285" i="31"/>
  <c r="N286" i="31"/>
  <c r="N287" i="31"/>
  <c r="N288" i="31"/>
  <c r="N289" i="31"/>
  <c r="N290" i="31"/>
  <c r="N291" i="31"/>
  <c r="N292" i="31"/>
  <c r="N293" i="31"/>
  <c r="N294" i="31"/>
  <c r="N295" i="31"/>
  <c r="N296" i="31"/>
  <c r="N297" i="31"/>
  <c r="N298" i="31"/>
  <c r="N299" i="31"/>
  <c r="N300" i="31"/>
  <c r="N301" i="31"/>
  <c r="N302" i="31"/>
  <c r="N303" i="31"/>
  <c r="N304" i="31"/>
  <c r="N305" i="31"/>
  <c r="N306" i="31"/>
  <c r="N307" i="31"/>
  <c r="N308" i="31"/>
  <c r="N309" i="31"/>
  <c r="N310" i="31"/>
  <c r="N311" i="31"/>
  <c r="N312" i="31"/>
  <c r="N313" i="31"/>
  <c r="N314" i="31"/>
  <c r="N315" i="31"/>
  <c r="N316" i="31"/>
  <c r="N317" i="31"/>
  <c r="N318" i="31"/>
  <c r="N319" i="31"/>
  <c r="N320" i="31"/>
  <c r="N321" i="31"/>
  <c r="N322" i="31"/>
  <c r="N323" i="31"/>
  <c r="N324" i="31"/>
  <c r="N325" i="31"/>
  <c r="N326" i="31"/>
  <c r="N327" i="31"/>
  <c r="N328" i="31"/>
  <c r="N329" i="31"/>
  <c r="N330" i="31"/>
  <c r="N331" i="31"/>
  <c r="N332" i="31"/>
  <c r="N333" i="31"/>
  <c r="N334" i="31"/>
  <c r="N335" i="31"/>
  <c r="N336" i="31"/>
  <c r="N337" i="31"/>
  <c r="N338" i="31"/>
  <c r="N339" i="31"/>
  <c r="N340" i="31"/>
  <c r="N341" i="31"/>
  <c r="N342" i="31"/>
  <c r="N343" i="31"/>
  <c r="N344" i="31"/>
  <c r="N345" i="31"/>
  <c r="N346" i="31"/>
  <c r="N347" i="31"/>
  <c r="N348" i="31"/>
  <c r="N349" i="31"/>
  <c r="N350" i="31"/>
  <c r="N351" i="31"/>
  <c r="N352" i="31"/>
  <c r="N353" i="31"/>
  <c r="N354" i="31"/>
  <c r="N355" i="31"/>
  <c r="N356" i="31"/>
  <c r="N357" i="31"/>
  <c r="N358" i="31"/>
  <c r="N359" i="31"/>
  <c r="N360" i="31"/>
  <c r="N361" i="31"/>
  <c r="N362" i="31"/>
  <c r="N363" i="31"/>
  <c r="N364" i="31"/>
  <c r="N365" i="31"/>
  <c r="N366" i="31"/>
  <c r="N367" i="31"/>
  <c r="N368" i="31"/>
  <c r="N369" i="31"/>
  <c r="N370" i="31"/>
  <c r="N371" i="31"/>
  <c r="N372" i="31"/>
  <c r="N373" i="31"/>
  <c r="N374" i="31"/>
  <c r="N375" i="31"/>
  <c r="N376" i="31"/>
  <c r="N377" i="31"/>
  <c r="N378" i="31"/>
  <c r="N379" i="31"/>
  <c r="N380" i="31"/>
  <c r="N381" i="31"/>
  <c r="N382" i="31"/>
  <c r="N383" i="31"/>
  <c r="N384" i="31"/>
  <c r="N385" i="31"/>
  <c r="N386" i="31"/>
  <c r="N387" i="31"/>
  <c r="N388" i="31"/>
  <c r="N389" i="31"/>
  <c r="N390" i="31"/>
  <c r="N391" i="31"/>
  <c r="N392" i="31"/>
  <c r="N393" i="31"/>
  <c r="N394" i="31"/>
  <c r="N395" i="31"/>
  <c r="N396" i="31"/>
  <c r="N397" i="31"/>
  <c r="N398" i="31"/>
  <c r="N399" i="31"/>
  <c r="N400" i="31"/>
  <c r="N401" i="31"/>
  <c r="N402" i="31"/>
  <c r="N403" i="31"/>
  <c r="N404" i="31"/>
  <c r="N405" i="31"/>
  <c r="N406" i="31"/>
  <c r="N407" i="31"/>
  <c r="N408" i="31"/>
  <c r="N409" i="31"/>
  <c r="N410" i="31"/>
  <c r="N411" i="31"/>
  <c r="N412" i="31"/>
  <c r="N413" i="31"/>
  <c r="N414" i="31"/>
  <c r="N415" i="31"/>
  <c r="N416" i="31"/>
  <c r="N417" i="31"/>
  <c r="N418" i="31"/>
  <c r="N419" i="31"/>
  <c r="N420" i="31"/>
  <c r="N421" i="31"/>
  <c r="N422" i="31"/>
  <c r="N423" i="31"/>
  <c r="N424" i="31"/>
  <c r="N425" i="31"/>
  <c r="N426" i="31"/>
  <c r="N427" i="31"/>
  <c r="N428" i="31"/>
  <c r="N429" i="31"/>
  <c r="N2" i="31"/>
  <c r="L3" i="31"/>
  <c r="M3" i="31" s="1"/>
  <c r="L4" i="31"/>
  <c r="M4" i="31" s="1"/>
  <c r="L5" i="31"/>
  <c r="M5" i="31" s="1"/>
  <c r="L6" i="31"/>
  <c r="M6" i="31" s="1"/>
  <c r="L7" i="31"/>
  <c r="M7" i="31" s="1"/>
  <c r="L8" i="31"/>
  <c r="M8" i="31" s="1"/>
  <c r="L9" i="31"/>
  <c r="M9" i="31" s="1"/>
  <c r="L10" i="31"/>
  <c r="M10" i="31" s="1"/>
  <c r="L11" i="31"/>
  <c r="M11" i="31" s="1"/>
  <c r="L12" i="31"/>
  <c r="M12" i="31" s="1"/>
  <c r="L13" i="31"/>
  <c r="M13" i="31" s="1"/>
  <c r="L14" i="31"/>
  <c r="M14" i="31" s="1"/>
  <c r="L15" i="31"/>
  <c r="M15" i="31" s="1"/>
  <c r="L16" i="31"/>
  <c r="M16" i="31" s="1"/>
  <c r="L17" i="31"/>
  <c r="M17" i="31" s="1"/>
  <c r="L18" i="31"/>
  <c r="M18" i="31" s="1"/>
  <c r="L19" i="31"/>
  <c r="M19" i="31" s="1"/>
  <c r="L20" i="31"/>
  <c r="M20" i="31" s="1"/>
  <c r="L21" i="31"/>
  <c r="M21" i="31" s="1"/>
  <c r="L22" i="31"/>
  <c r="M22" i="31" s="1"/>
  <c r="L23" i="31"/>
  <c r="M23" i="31" s="1"/>
  <c r="L24" i="31"/>
  <c r="M24" i="31" s="1"/>
  <c r="L25" i="31"/>
  <c r="M25" i="31" s="1"/>
  <c r="L26" i="31"/>
  <c r="M26" i="31" s="1"/>
  <c r="L27" i="31"/>
  <c r="M27" i="31" s="1"/>
  <c r="L28" i="31"/>
  <c r="M28" i="31" s="1"/>
  <c r="L29" i="31"/>
  <c r="M29" i="31" s="1"/>
  <c r="L30" i="31"/>
  <c r="M30" i="31" s="1"/>
  <c r="L31" i="31"/>
  <c r="M31" i="31" s="1"/>
  <c r="L32" i="31"/>
  <c r="M32" i="31" s="1"/>
  <c r="L33" i="31"/>
  <c r="M33" i="31" s="1"/>
  <c r="L34" i="31"/>
  <c r="M34" i="31" s="1"/>
  <c r="L35" i="31"/>
  <c r="M35" i="31" s="1"/>
  <c r="L36" i="31"/>
  <c r="M36" i="31" s="1"/>
  <c r="L37" i="31"/>
  <c r="M37" i="31" s="1"/>
  <c r="L38" i="31"/>
  <c r="M38" i="31" s="1"/>
  <c r="L39" i="31"/>
  <c r="M39" i="31" s="1"/>
  <c r="L40" i="31"/>
  <c r="M40" i="31" s="1"/>
  <c r="L41" i="31"/>
  <c r="M41" i="31" s="1"/>
  <c r="L42" i="31"/>
  <c r="M42" i="31" s="1"/>
  <c r="L43" i="31"/>
  <c r="M43" i="31" s="1"/>
  <c r="L44" i="31"/>
  <c r="M44" i="31" s="1"/>
  <c r="L45" i="31"/>
  <c r="M45" i="31" s="1"/>
  <c r="L46" i="31"/>
  <c r="M46" i="31" s="1"/>
  <c r="L47" i="31"/>
  <c r="M47" i="31" s="1"/>
  <c r="L48" i="31"/>
  <c r="M48" i="31" s="1"/>
  <c r="L49" i="31"/>
  <c r="M49" i="31" s="1"/>
  <c r="L50" i="31"/>
  <c r="M50" i="31" s="1"/>
  <c r="L51" i="31"/>
  <c r="M51" i="31" s="1"/>
  <c r="L52" i="31"/>
  <c r="M52" i="31" s="1"/>
  <c r="L53" i="31"/>
  <c r="M53" i="31" s="1"/>
  <c r="L54" i="31"/>
  <c r="M54" i="31" s="1"/>
  <c r="L55" i="31"/>
  <c r="M55" i="31" s="1"/>
  <c r="L56" i="31"/>
  <c r="M56" i="31" s="1"/>
  <c r="L57" i="31"/>
  <c r="M57" i="31" s="1"/>
  <c r="L58" i="31"/>
  <c r="M58" i="31" s="1"/>
  <c r="L59" i="31"/>
  <c r="M59" i="31" s="1"/>
  <c r="L60" i="31"/>
  <c r="M60" i="31" s="1"/>
  <c r="L61" i="31"/>
  <c r="M61" i="31" s="1"/>
  <c r="L62" i="31"/>
  <c r="M62" i="31" s="1"/>
  <c r="L63" i="31"/>
  <c r="M63" i="31" s="1"/>
  <c r="L64" i="31"/>
  <c r="M64" i="31" s="1"/>
  <c r="L65" i="31"/>
  <c r="M65" i="31" s="1"/>
  <c r="L66" i="31"/>
  <c r="M66" i="31" s="1"/>
  <c r="L67" i="31"/>
  <c r="M67" i="31" s="1"/>
  <c r="L68" i="31"/>
  <c r="M68" i="31" s="1"/>
  <c r="L69" i="31"/>
  <c r="M69" i="31" s="1"/>
  <c r="L70" i="31"/>
  <c r="M70" i="31" s="1"/>
  <c r="L71" i="31"/>
  <c r="M71" i="31" s="1"/>
  <c r="L72" i="31"/>
  <c r="M72" i="31" s="1"/>
  <c r="L73" i="31"/>
  <c r="M73" i="31" s="1"/>
  <c r="L74" i="31"/>
  <c r="M74" i="31" s="1"/>
  <c r="L75" i="31"/>
  <c r="M75" i="31" s="1"/>
  <c r="L76" i="31"/>
  <c r="M76" i="31" s="1"/>
  <c r="L77" i="31"/>
  <c r="M77" i="31" s="1"/>
  <c r="L78" i="31"/>
  <c r="M78" i="31" s="1"/>
  <c r="L79" i="31"/>
  <c r="M79" i="31" s="1"/>
  <c r="L80" i="31"/>
  <c r="M80" i="31" s="1"/>
  <c r="L81" i="31"/>
  <c r="M81" i="31" s="1"/>
  <c r="L82" i="31"/>
  <c r="M82" i="31" s="1"/>
  <c r="L83" i="31"/>
  <c r="M83" i="31" s="1"/>
  <c r="L84" i="31"/>
  <c r="M84" i="31" s="1"/>
  <c r="L85" i="31"/>
  <c r="M85" i="31" s="1"/>
  <c r="L86" i="31"/>
  <c r="M86" i="31" s="1"/>
  <c r="L87" i="31"/>
  <c r="M87" i="31" s="1"/>
  <c r="L88" i="31"/>
  <c r="M88" i="31" s="1"/>
  <c r="L89" i="31"/>
  <c r="M89" i="31" s="1"/>
  <c r="L90" i="31"/>
  <c r="M90" i="31" s="1"/>
  <c r="L91" i="31"/>
  <c r="M91" i="31" s="1"/>
  <c r="L92" i="31"/>
  <c r="M92" i="31" s="1"/>
  <c r="L93" i="31"/>
  <c r="M93" i="31" s="1"/>
  <c r="L94" i="31"/>
  <c r="M94" i="31" s="1"/>
  <c r="L95" i="31"/>
  <c r="M95" i="31" s="1"/>
  <c r="L96" i="31"/>
  <c r="M96" i="31" s="1"/>
  <c r="L97" i="31"/>
  <c r="M97" i="31" s="1"/>
  <c r="L98" i="31"/>
  <c r="M98" i="31" s="1"/>
  <c r="L99" i="31"/>
  <c r="M99" i="31" s="1"/>
  <c r="L100" i="31"/>
  <c r="M100" i="31" s="1"/>
  <c r="L101" i="31"/>
  <c r="M101" i="31" s="1"/>
  <c r="L102" i="31"/>
  <c r="M102" i="31" s="1"/>
  <c r="L103" i="31"/>
  <c r="M103" i="31" s="1"/>
  <c r="L104" i="31"/>
  <c r="M104" i="31" s="1"/>
  <c r="L105" i="31"/>
  <c r="M105" i="31" s="1"/>
  <c r="L106" i="31"/>
  <c r="M106" i="31" s="1"/>
  <c r="L107" i="31"/>
  <c r="M107" i="31" s="1"/>
  <c r="L108" i="31"/>
  <c r="M108" i="31" s="1"/>
  <c r="L109" i="31"/>
  <c r="M109" i="31" s="1"/>
  <c r="L110" i="31"/>
  <c r="M110" i="31" s="1"/>
  <c r="L111" i="31"/>
  <c r="M111" i="31" s="1"/>
  <c r="L112" i="31"/>
  <c r="M112" i="31" s="1"/>
  <c r="L113" i="31"/>
  <c r="M113" i="31" s="1"/>
  <c r="L114" i="31"/>
  <c r="M114" i="31" s="1"/>
  <c r="L115" i="31"/>
  <c r="M115" i="31" s="1"/>
  <c r="L116" i="31"/>
  <c r="M116" i="31" s="1"/>
  <c r="L117" i="31"/>
  <c r="M117" i="31" s="1"/>
  <c r="L118" i="31"/>
  <c r="M118" i="31" s="1"/>
  <c r="L119" i="31"/>
  <c r="M119" i="31" s="1"/>
  <c r="L120" i="31"/>
  <c r="M120" i="31" s="1"/>
  <c r="L121" i="31"/>
  <c r="M121" i="31" s="1"/>
  <c r="L122" i="31"/>
  <c r="M122" i="31" s="1"/>
  <c r="L123" i="31"/>
  <c r="M123" i="31" s="1"/>
  <c r="L124" i="31"/>
  <c r="M124" i="31" s="1"/>
  <c r="L125" i="31"/>
  <c r="M125" i="31" s="1"/>
  <c r="L126" i="31"/>
  <c r="M126" i="31" s="1"/>
  <c r="L127" i="31"/>
  <c r="M127" i="31" s="1"/>
  <c r="L128" i="31"/>
  <c r="M128" i="31" s="1"/>
  <c r="L129" i="31"/>
  <c r="M129" i="31" s="1"/>
  <c r="L130" i="31"/>
  <c r="M130" i="31" s="1"/>
  <c r="L131" i="31"/>
  <c r="M131" i="31" s="1"/>
  <c r="L132" i="31"/>
  <c r="M132" i="31" s="1"/>
  <c r="L133" i="31"/>
  <c r="M133" i="31" s="1"/>
  <c r="L134" i="31"/>
  <c r="M134" i="31" s="1"/>
  <c r="L135" i="31"/>
  <c r="M135" i="31" s="1"/>
  <c r="L136" i="31"/>
  <c r="M136" i="31" s="1"/>
  <c r="L137" i="31"/>
  <c r="M137" i="31" s="1"/>
  <c r="L138" i="31"/>
  <c r="M138" i="31" s="1"/>
  <c r="L139" i="31"/>
  <c r="M139" i="31" s="1"/>
  <c r="L140" i="31"/>
  <c r="M140" i="31" s="1"/>
  <c r="L141" i="31"/>
  <c r="M141" i="31" s="1"/>
  <c r="L142" i="31"/>
  <c r="M142" i="31" s="1"/>
  <c r="L143" i="31"/>
  <c r="M143" i="31" s="1"/>
  <c r="L144" i="31"/>
  <c r="M144" i="31" s="1"/>
  <c r="L145" i="31"/>
  <c r="M145" i="31" s="1"/>
  <c r="L146" i="31"/>
  <c r="M146" i="31" s="1"/>
  <c r="L147" i="31"/>
  <c r="M147" i="31" s="1"/>
  <c r="L148" i="31"/>
  <c r="M148" i="31" s="1"/>
  <c r="L149" i="31"/>
  <c r="M149" i="31" s="1"/>
  <c r="L150" i="31"/>
  <c r="M150" i="31" s="1"/>
  <c r="L151" i="31"/>
  <c r="M151" i="31" s="1"/>
  <c r="L152" i="31"/>
  <c r="M152" i="31" s="1"/>
  <c r="L153" i="31"/>
  <c r="M153" i="31" s="1"/>
  <c r="L154" i="31"/>
  <c r="M154" i="31" s="1"/>
  <c r="L155" i="31"/>
  <c r="M155" i="31" s="1"/>
  <c r="L156" i="31"/>
  <c r="M156" i="31" s="1"/>
  <c r="L157" i="31"/>
  <c r="M157" i="31" s="1"/>
  <c r="L158" i="31"/>
  <c r="M158" i="31" s="1"/>
  <c r="L159" i="31"/>
  <c r="M159" i="31" s="1"/>
  <c r="L160" i="31"/>
  <c r="M160" i="31" s="1"/>
  <c r="L161" i="31"/>
  <c r="M161" i="31" s="1"/>
  <c r="L162" i="31"/>
  <c r="M162" i="31" s="1"/>
  <c r="L163" i="31"/>
  <c r="M163" i="31" s="1"/>
  <c r="L164" i="31"/>
  <c r="M164" i="31" s="1"/>
  <c r="L165" i="31"/>
  <c r="M165" i="31" s="1"/>
  <c r="L166" i="31"/>
  <c r="M166" i="31" s="1"/>
  <c r="L167" i="31"/>
  <c r="M167" i="31" s="1"/>
  <c r="L168" i="31"/>
  <c r="M168" i="31" s="1"/>
  <c r="L169" i="31"/>
  <c r="M169" i="31" s="1"/>
  <c r="L170" i="31"/>
  <c r="M170" i="31" s="1"/>
  <c r="L171" i="31"/>
  <c r="M171" i="31" s="1"/>
  <c r="L172" i="31"/>
  <c r="M172" i="31" s="1"/>
  <c r="L173" i="31"/>
  <c r="M173" i="31" s="1"/>
  <c r="L174" i="31"/>
  <c r="M174" i="31" s="1"/>
  <c r="L175" i="31"/>
  <c r="M175" i="31" s="1"/>
  <c r="L176" i="31"/>
  <c r="M176" i="31" s="1"/>
  <c r="L177" i="31"/>
  <c r="M177" i="31" s="1"/>
  <c r="L178" i="31"/>
  <c r="M178" i="31" s="1"/>
  <c r="L179" i="31"/>
  <c r="M179" i="31" s="1"/>
  <c r="L180" i="31"/>
  <c r="M180" i="31" s="1"/>
  <c r="L181" i="31"/>
  <c r="M181" i="31" s="1"/>
  <c r="L182" i="31"/>
  <c r="M182" i="31" s="1"/>
  <c r="L183" i="31"/>
  <c r="M183" i="31" s="1"/>
  <c r="L184" i="31"/>
  <c r="M184" i="31" s="1"/>
  <c r="L185" i="31"/>
  <c r="M185" i="31" s="1"/>
  <c r="L186" i="31"/>
  <c r="M186" i="31" s="1"/>
  <c r="L187" i="31"/>
  <c r="M187" i="31" s="1"/>
  <c r="L188" i="31"/>
  <c r="M188" i="31" s="1"/>
  <c r="L189" i="31"/>
  <c r="M189" i="31" s="1"/>
  <c r="L190" i="31"/>
  <c r="M190" i="31" s="1"/>
  <c r="L191" i="31"/>
  <c r="M191" i="31" s="1"/>
  <c r="L192" i="31"/>
  <c r="M192" i="31" s="1"/>
  <c r="L193" i="31"/>
  <c r="M193" i="31" s="1"/>
  <c r="L194" i="31"/>
  <c r="M194" i="31" s="1"/>
  <c r="L195" i="31"/>
  <c r="M195" i="31" s="1"/>
  <c r="L196" i="31"/>
  <c r="M196" i="31" s="1"/>
  <c r="L197" i="31"/>
  <c r="M197" i="31" s="1"/>
  <c r="L198" i="31"/>
  <c r="M198" i="31" s="1"/>
  <c r="L199" i="31"/>
  <c r="M199" i="31" s="1"/>
  <c r="L200" i="31"/>
  <c r="M200" i="31" s="1"/>
  <c r="L201" i="31"/>
  <c r="M201" i="31" s="1"/>
  <c r="L202" i="31"/>
  <c r="M202" i="31" s="1"/>
  <c r="L203" i="31"/>
  <c r="M203" i="31" s="1"/>
  <c r="L204" i="31"/>
  <c r="M204" i="31" s="1"/>
  <c r="L205" i="31"/>
  <c r="M205" i="31" s="1"/>
  <c r="L206" i="31"/>
  <c r="M206" i="31" s="1"/>
  <c r="L207" i="31"/>
  <c r="M207" i="31" s="1"/>
  <c r="L208" i="31"/>
  <c r="M208" i="31" s="1"/>
  <c r="L209" i="31"/>
  <c r="M209" i="31" s="1"/>
  <c r="L210" i="31"/>
  <c r="M210" i="31" s="1"/>
  <c r="L211" i="31"/>
  <c r="M211" i="31" s="1"/>
  <c r="L212" i="31"/>
  <c r="M212" i="31" s="1"/>
  <c r="L213" i="31"/>
  <c r="M213" i="31" s="1"/>
  <c r="L214" i="31"/>
  <c r="M214" i="31" s="1"/>
  <c r="L215" i="31"/>
  <c r="M215" i="31" s="1"/>
  <c r="L216" i="31"/>
  <c r="M216" i="31" s="1"/>
  <c r="L217" i="31"/>
  <c r="M217" i="31" s="1"/>
  <c r="L218" i="31"/>
  <c r="M218" i="31" s="1"/>
  <c r="L219" i="31"/>
  <c r="M219" i="31" s="1"/>
  <c r="L220" i="31"/>
  <c r="M220" i="31" s="1"/>
  <c r="L221" i="31"/>
  <c r="M221" i="31" s="1"/>
  <c r="L222" i="31"/>
  <c r="M222" i="31" s="1"/>
  <c r="L223" i="31"/>
  <c r="M223" i="31" s="1"/>
  <c r="L224" i="31"/>
  <c r="M224" i="31" s="1"/>
  <c r="L225" i="31"/>
  <c r="M225" i="31" s="1"/>
  <c r="L226" i="31"/>
  <c r="M226" i="31" s="1"/>
  <c r="L227" i="31"/>
  <c r="M227" i="31" s="1"/>
  <c r="L228" i="31"/>
  <c r="M228" i="31" s="1"/>
  <c r="L229" i="31"/>
  <c r="M229" i="31" s="1"/>
  <c r="L230" i="31"/>
  <c r="M230" i="31" s="1"/>
  <c r="L231" i="31"/>
  <c r="M231" i="31" s="1"/>
  <c r="L232" i="31"/>
  <c r="M232" i="31" s="1"/>
  <c r="L233" i="31"/>
  <c r="M233" i="31" s="1"/>
  <c r="L234" i="31"/>
  <c r="M234" i="31" s="1"/>
  <c r="L235" i="31"/>
  <c r="M235" i="31" s="1"/>
  <c r="L236" i="31"/>
  <c r="M236" i="31" s="1"/>
  <c r="L237" i="31"/>
  <c r="M237" i="31" s="1"/>
  <c r="L238" i="31"/>
  <c r="M238" i="31" s="1"/>
  <c r="L239" i="31"/>
  <c r="M239" i="31" s="1"/>
  <c r="L240" i="31"/>
  <c r="M240" i="31" s="1"/>
  <c r="L241" i="31"/>
  <c r="M241" i="31" s="1"/>
  <c r="L242" i="31"/>
  <c r="M242" i="31" s="1"/>
  <c r="L243" i="31"/>
  <c r="M243" i="31" s="1"/>
  <c r="L244" i="31"/>
  <c r="M244" i="31" s="1"/>
  <c r="L245" i="31"/>
  <c r="M245" i="31" s="1"/>
  <c r="L246" i="31"/>
  <c r="M246" i="31" s="1"/>
  <c r="L247" i="31"/>
  <c r="M247" i="31" s="1"/>
  <c r="L248" i="31"/>
  <c r="M248" i="31" s="1"/>
  <c r="L249" i="31"/>
  <c r="M249" i="31" s="1"/>
  <c r="L250" i="31"/>
  <c r="M250" i="31" s="1"/>
  <c r="L251" i="31"/>
  <c r="M251" i="31" s="1"/>
  <c r="L252" i="31"/>
  <c r="M252" i="31" s="1"/>
  <c r="L253" i="31"/>
  <c r="M253" i="31" s="1"/>
  <c r="L254" i="31"/>
  <c r="M254" i="31" s="1"/>
  <c r="L255" i="31"/>
  <c r="M255" i="31" s="1"/>
  <c r="L256" i="31"/>
  <c r="M256" i="31" s="1"/>
  <c r="L257" i="31"/>
  <c r="M257" i="31" s="1"/>
  <c r="L258" i="31"/>
  <c r="M258" i="31" s="1"/>
  <c r="L259" i="31"/>
  <c r="M259" i="31" s="1"/>
  <c r="L260" i="31"/>
  <c r="M260" i="31" s="1"/>
  <c r="L261" i="31"/>
  <c r="M261" i="31" s="1"/>
  <c r="L262" i="31"/>
  <c r="M262" i="31" s="1"/>
  <c r="L263" i="31"/>
  <c r="M263" i="31" s="1"/>
  <c r="L264" i="31"/>
  <c r="M264" i="31" s="1"/>
  <c r="L265" i="31"/>
  <c r="M265" i="31" s="1"/>
  <c r="L266" i="31"/>
  <c r="M266" i="31" s="1"/>
  <c r="L267" i="31"/>
  <c r="M267" i="31" s="1"/>
  <c r="L268" i="31"/>
  <c r="M268" i="31" s="1"/>
  <c r="L269" i="31"/>
  <c r="M269" i="31" s="1"/>
  <c r="L270" i="31"/>
  <c r="M270" i="31" s="1"/>
  <c r="L271" i="31"/>
  <c r="M271" i="31" s="1"/>
  <c r="L272" i="31"/>
  <c r="M272" i="31" s="1"/>
  <c r="L273" i="31"/>
  <c r="M273" i="31" s="1"/>
  <c r="L274" i="31"/>
  <c r="M274" i="31" s="1"/>
  <c r="L275" i="31"/>
  <c r="M275" i="31" s="1"/>
  <c r="L276" i="31"/>
  <c r="M276" i="31" s="1"/>
  <c r="L277" i="31"/>
  <c r="M277" i="31" s="1"/>
  <c r="L278" i="31"/>
  <c r="M278" i="31" s="1"/>
  <c r="L279" i="31"/>
  <c r="M279" i="31" s="1"/>
  <c r="L280" i="31"/>
  <c r="M280" i="31" s="1"/>
  <c r="L281" i="31"/>
  <c r="M281" i="31" s="1"/>
  <c r="L282" i="31"/>
  <c r="M282" i="31" s="1"/>
  <c r="L283" i="31"/>
  <c r="M283" i="31" s="1"/>
  <c r="L284" i="31"/>
  <c r="M284" i="31" s="1"/>
  <c r="L285" i="31"/>
  <c r="M285" i="31" s="1"/>
  <c r="L286" i="31"/>
  <c r="M286" i="31" s="1"/>
  <c r="L287" i="31"/>
  <c r="M287" i="31" s="1"/>
  <c r="L288" i="31"/>
  <c r="M288" i="31" s="1"/>
  <c r="L289" i="31"/>
  <c r="M289" i="31" s="1"/>
  <c r="L290" i="31"/>
  <c r="M290" i="31" s="1"/>
  <c r="L291" i="31"/>
  <c r="M291" i="31" s="1"/>
  <c r="L292" i="31"/>
  <c r="M292" i="31" s="1"/>
  <c r="L293" i="31"/>
  <c r="M293" i="31" s="1"/>
  <c r="L294" i="31"/>
  <c r="M294" i="31" s="1"/>
  <c r="L295" i="31"/>
  <c r="M295" i="31" s="1"/>
  <c r="L296" i="31"/>
  <c r="M296" i="31" s="1"/>
  <c r="L297" i="31"/>
  <c r="M297" i="31" s="1"/>
  <c r="L298" i="31"/>
  <c r="M298" i="31" s="1"/>
  <c r="L299" i="31"/>
  <c r="M299" i="31" s="1"/>
  <c r="L300" i="31"/>
  <c r="M300" i="31" s="1"/>
  <c r="L301" i="31"/>
  <c r="M301" i="31" s="1"/>
  <c r="L302" i="31"/>
  <c r="M302" i="31" s="1"/>
  <c r="L303" i="31"/>
  <c r="M303" i="31" s="1"/>
  <c r="L304" i="31"/>
  <c r="M304" i="31" s="1"/>
  <c r="L305" i="31"/>
  <c r="M305" i="31" s="1"/>
  <c r="L306" i="31"/>
  <c r="M306" i="31" s="1"/>
  <c r="L307" i="31"/>
  <c r="M307" i="31" s="1"/>
  <c r="L308" i="31"/>
  <c r="M308" i="31" s="1"/>
  <c r="L309" i="31"/>
  <c r="M309" i="31" s="1"/>
  <c r="L310" i="31"/>
  <c r="M310" i="31" s="1"/>
  <c r="L311" i="31"/>
  <c r="M311" i="31" s="1"/>
  <c r="L312" i="31"/>
  <c r="M312" i="31" s="1"/>
  <c r="L313" i="31"/>
  <c r="M313" i="31" s="1"/>
  <c r="L314" i="31"/>
  <c r="M314" i="31" s="1"/>
  <c r="L315" i="31"/>
  <c r="M315" i="31" s="1"/>
  <c r="L316" i="31"/>
  <c r="M316" i="31" s="1"/>
  <c r="L317" i="31"/>
  <c r="M317" i="31" s="1"/>
  <c r="L318" i="31"/>
  <c r="M318" i="31" s="1"/>
  <c r="L319" i="31"/>
  <c r="M319" i="31" s="1"/>
  <c r="L320" i="31"/>
  <c r="M320" i="31" s="1"/>
  <c r="L321" i="31"/>
  <c r="M321" i="31" s="1"/>
  <c r="L322" i="31"/>
  <c r="M322" i="31" s="1"/>
  <c r="L323" i="31"/>
  <c r="M323" i="31" s="1"/>
  <c r="L324" i="31"/>
  <c r="M324" i="31" s="1"/>
  <c r="L325" i="31"/>
  <c r="M325" i="31" s="1"/>
  <c r="L326" i="31"/>
  <c r="M326" i="31" s="1"/>
  <c r="L327" i="31"/>
  <c r="M327" i="31" s="1"/>
  <c r="L328" i="31"/>
  <c r="M328" i="31" s="1"/>
  <c r="L329" i="31"/>
  <c r="M329" i="31" s="1"/>
  <c r="L330" i="31"/>
  <c r="M330" i="31" s="1"/>
  <c r="L331" i="31"/>
  <c r="M331" i="31" s="1"/>
  <c r="L332" i="31"/>
  <c r="M332" i="31" s="1"/>
  <c r="L333" i="31"/>
  <c r="M333" i="31" s="1"/>
  <c r="L334" i="31"/>
  <c r="M334" i="31" s="1"/>
  <c r="L335" i="31"/>
  <c r="M335" i="31" s="1"/>
  <c r="L336" i="31"/>
  <c r="M336" i="31" s="1"/>
  <c r="L337" i="31"/>
  <c r="M337" i="31" s="1"/>
  <c r="L338" i="31"/>
  <c r="M338" i="31" s="1"/>
  <c r="L339" i="31"/>
  <c r="M339" i="31" s="1"/>
  <c r="L340" i="31"/>
  <c r="M340" i="31" s="1"/>
  <c r="L341" i="31"/>
  <c r="M341" i="31" s="1"/>
  <c r="L342" i="31"/>
  <c r="M342" i="31" s="1"/>
  <c r="L343" i="31"/>
  <c r="M343" i="31" s="1"/>
  <c r="L344" i="31"/>
  <c r="M344" i="31" s="1"/>
  <c r="L345" i="31"/>
  <c r="M345" i="31" s="1"/>
  <c r="L346" i="31"/>
  <c r="M346" i="31" s="1"/>
  <c r="L347" i="31"/>
  <c r="M347" i="31" s="1"/>
  <c r="L348" i="31"/>
  <c r="M348" i="31" s="1"/>
  <c r="L349" i="31"/>
  <c r="M349" i="31" s="1"/>
  <c r="L350" i="31"/>
  <c r="M350" i="31" s="1"/>
  <c r="L351" i="31"/>
  <c r="M351" i="31" s="1"/>
  <c r="L352" i="31"/>
  <c r="M352" i="31" s="1"/>
  <c r="L353" i="31"/>
  <c r="M353" i="31" s="1"/>
  <c r="L354" i="31"/>
  <c r="M354" i="31" s="1"/>
  <c r="L355" i="31"/>
  <c r="M355" i="31" s="1"/>
  <c r="L356" i="31"/>
  <c r="M356" i="31" s="1"/>
  <c r="L357" i="31"/>
  <c r="M357" i="31" s="1"/>
  <c r="L358" i="31"/>
  <c r="M358" i="31" s="1"/>
  <c r="L359" i="31"/>
  <c r="M359" i="31" s="1"/>
  <c r="L360" i="31"/>
  <c r="M360" i="31" s="1"/>
  <c r="L361" i="31"/>
  <c r="M361" i="31" s="1"/>
  <c r="L362" i="31"/>
  <c r="M362" i="31" s="1"/>
  <c r="L363" i="31"/>
  <c r="M363" i="31" s="1"/>
  <c r="L364" i="31"/>
  <c r="M364" i="31" s="1"/>
  <c r="L365" i="31"/>
  <c r="M365" i="31" s="1"/>
  <c r="L366" i="31"/>
  <c r="M366" i="31" s="1"/>
  <c r="L367" i="31"/>
  <c r="M367" i="31" s="1"/>
  <c r="L368" i="31"/>
  <c r="M368" i="31" s="1"/>
  <c r="L369" i="31"/>
  <c r="M369" i="31" s="1"/>
  <c r="L370" i="31"/>
  <c r="M370" i="31" s="1"/>
  <c r="L371" i="31"/>
  <c r="M371" i="31" s="1"/>
  <c r="L372" i="31"/>
  <c r="M372" i="31" s="1"/>
  <c r="L373" i="31"/>
  <c r="M373" i="31" s="1"/>
  <c r="L374" i="31"/>
  <c r="M374" i="31" s="1"/>
  <c r="L375" i="31"/>
  <c r="M375" i="31" s="1"/>
  <c r="L376" i="31"/>
  <c r="M376" i="31" s="1"/>
  <c r="L377" i="31"/>
  <c r="M377" i="31" s="1"/>
  <c r="L378" i="31"/>
  <c r="M378" i="31" s="1"/>
  <c r="L379" i="31"/>
  <c r="M379" i="31" s="1"/>
  <c r="L380" i="31"/>
  <c r="M380" i="31" s="1"/>
  <c r="L381" i="31"/>
  <c r="M381" i="31" s="1"/>
  <c r="L382" i="31"/>
  <c r="M382" i="31" s="1"/>
  <c r="L383" i="31"/>
  <c r="M383" i="31" s="1"/>
  <c r="L384" i="31"/>
  <c r="M384" i="31" s="1"/>
  <c r="L385" i="31"/>
  <c r="M385" i="31" s="1"/>
  <c r="L386" i="31"/>
  <c r="M386" i="31" s="1"/>
  <c r="L387" i="31"/>
  <c r="M387" i="31" s="1"/>
  <c r="L388" i="31"/>
  <c r="M388" i="31" s="1"/>
  <c r="L389" i="31"/>
  <c r="M389" i="31" s="1"/>
  <c r="L390" i="31"/>
  <c r="M390" i="31" s="1"/>
  <c r="L391" i="31"/>
  <c r="M391" i="31" s="1"/>
  <c r="L392" i="31"/>
  <c r="M392" i="31" s="1"/>
  <c r="L393" i="31"/>
  <c r="M393" i="31" s="1"/>
  <c r="L394" i="31"/>
  <c r="M394" i="31" s="1"/>
  <c r="L395" i="31"/>
  <c r="M395" i="31" s="1"/>
  <c r="L396" i="31"/>
  <c r="M396" i="31" s="1"/>
  <c r="L397" i="31"/>
  <c r="M397" i="31" s="1"/>
  <c r="L398" i="31"/>
  <c r="M398" i="31" s="1"/>
  <c r="L399" i="31"/>
  <c r="M399" i="31" s="1"/>
  <c r="L400" i="31"/>
  <c r="M400" i="31" s="1"/>
  <c r="L401" i="31"/>
  <c r="M401" i="31" s="1"/>
  <c r="L402" i="31"/>
  <c r="M402" i="31" s="1"/>
  <c r="L403" i="31"/>
  <c r="M403" i="31" s="1"/>
  <c r="L404" i="31"/>
  <c r="M404" i="31" s="1"/>
  <c r="L405" i="31"/>
  <c r="M405" i="31" s="1"/>
  <c r="L406" i="31"/>
  <c r="M406" i="31" s="1"/>
  <c r="L407" i="31"/>
  <c r="M407" i="31" s="1"/>
  <c r="L408" i="31"/>
  <c r="M408" i="31" s="1"/>
  <c r="L409" i="31"/>
  <c r="M409" i="31" s="1"/>
  <c r="L410" i="31"/>
  <c r="M410" i="31" s="1"/>
  <c r="L411" i="31"/>
  <c r="M411" i="31" s="1"/>
  <c r="L412" i="31"/>
  <c r="M412" i="31" s="1"/>
  <c r="L413" i="31"/>
  <c r="M413" i="31" s="1"/>
  <c r="L414" i="31"/>
  <c r="M414" i="31" s="1"/>
  <c r="L415" i="31"/>
  <c r="M415" i="31" s="1"/>
  <c r="L416" i="31"/>
  <c r="M416" i="31" s="1"/>
  <c r="L417" i="31"/>
  <c r="M417" i="31" s="1"/>
  <c r="L418" i="31"/>
  <c r="M418" i="31" s="1"/>
  <c r="L419" i="31"/>
  <c r="M419" i="31" s="1"/>
  <c r="L420" i="31"/>
  <c r="M420" i="31" s="1"/>
  <c r="L421" i="31"/>
  <c r="M421" i="31" s="1"/>
  <c r="L422" i="31"/>
  <c r="M422" i="31" s="1"/>
  <c r="L423" i="31"/>
  <c r="M423" i="31" s="1"/>
  <c r="L424" i="31"/>
  <c r="M424" i="31" s="1"/>
  <c r="L425" i="31"/>
  <c r="M425" i="31" s="1"/>
  <c r="L426" i="31"/>
  <c r="M426" i="31" s="1"/>
  <c r="L427" i="31"/>
  <c r="M427" i="31" s="1"/>
  <c r="L428" i="31"/>
  <c r="M428" i="31" s="1"/>
  <c r="L429" i="31"/>
  <c r="M429" i="31" s="1"/>
  <c r="L430" i="31"/>
  <c r="M430" i="31" s="1"/>
  <c r="L431" i="31"/>
  <c r="M431" i="31" s="1"/>
  <c r="L432" i="31"/>
  <c r="M432" i="31" s="1"/>
  <c r="L433" i="31"/>
  <c r="M433" i="31" s="1"/>
  <c r="L434" i="31"/>
  <c r="M434" i="31" s="1"/>
  <c r="L435" i="31"/>
  <c r="M435" i="31" s="1"/>
  <c r="L436" i="31"/>
  <c r="M436" i="31" s="1"/>
  <c r="L437" i="31"/>
  <c r="M437" i="31" s="1"/>
  <c r="L438" i="31"/>
  <c r="M438" i="31" s="1"/>
  <c r="L439" i="31"/>
  <c r="M439" i="31" s="1"/>
  <c r="L440" i="31"/>
  <c r="M440" i="31" s="1"/>
  <c r="L441" i="31"/>
  <c r="M441" i="31" s="1"/>
  <c r="L442" i="31"/>
  <c r="M442" i="31" s="1"/>
  <c r="L443" i="31"/>
  <c r="M443" i="31" s="1"/>
  <c r="L444" i="31"/>
  <c r="M444" i="31" s="1"/>
  <c r="L445" i="31"/>
  <c r="M445" i="31" s="1"/>
  <c r="L446" i="31"/>
  <c r="M446" i="31" s="1"/>
  <c r="L447" i="31"/>
  <c r="M447" i="31" s="1"/>
  <c r="L448" i="31"/>
  <c r="M448" i="31" s="1"/>
  <c r="L449" i="31"/>
  <c r="M449" i="31" s="1"/>
  <c r="L450" i="31"/>
  <c r="M450" i="31" s="1"/>
  <c r="L451" i="31"/>
  <c r="M451" i="31" s="1"/>
  <c r="L452" i="31"/>
  <c r="M452" i="31" s="1"/>
  <c r="L453" i="31"/>
  <c r="M453" i="31" s="1"/>
  <c r="L454" i="31"/>
  <c r="M454" i="31" s="1"/>
  <c r="L455" i="31"/>
  <c r="M455" i="31" s="1"/>
  <c r="L456" i="31"/>
  <c r="M456" i="31" s="1"/>
  <c r="L457" i="31"/>
  <c r="M457" i="31" s="1"/>
  <c r="L458" i="31"/>
  <c r="M458" i="31" s="1"/>
  <c r="L459" i="31"/>
  <c r="M459" i="31" s="1"/>
  <c r="L460" i="31"/>
  <c r="M460" i="31" s="1"/>
  <c r="L461" i="31"/>
  <c r="M461" i="31" s="1"/>
  <c r="L462" i="31"/>
  <c r="M462" i="31" s="1"/>
  <c r="L463" i="31"/>
  <c r="M463" i="31" s="1"/>
  <c r="L464" i="31"/>
  <c r="M464" i="31" s="1"/>
  <c r="L465" i="31"/>
  <c r="M465" i="31" s="1"/>
  <c r="L466" i="31"/>
  <c r="M466" i="31" s="1"/>
  <c r="L467" i="31"/>
  <c r="M467" i="31" s="1"/>
  <c r="L468" i="31"/>
  <c r="M468" i="31" s="1"/>
  <c r="L469" i="31"/>
  <c r="M469" i="31" s="1"/>
  <c r="L470" i="31"/>
  <c r="M470" i="31" s="1"/>
  <c r="L471" i="31"/>
  <c r="M471" i="31" s="1"/>
  <c r="L472" i="31"/>
  <c r="M472" i="31" s="1"/>
  <c r="L473" i="31"/>
  <c r="M473" i="31" s="1"/>
  <c r="L474" i="31"/>
  <c r="M474" i="31" s="1"/>
  <c r="L475" i="31"/>
  <c r="M475" i="31" s="1"/>
  <c r="L476" i="31"/>
  <c r="M476" i="31" s="1"/>
  <c r="L477" i="31"/>
  <c r="M477" i="31" s="1"/>
  <c r="L478" i="31"/>
  <c r="M478" i="31" s="1"/>
  <c r="L479" i="31"/>
  <c r="M479" i="31" s="1"/>
  <c r="L480" i="31"/>
  <c r="M480" i="31" s="1"/>
  <c r="L481" i="31"/>
  <c r="M481" i="31" s="1"/>
  <c r="L482" i="31"/>
  <c r="M482" i="31" s="1"/>
  <c r="L483" i="31"/>
  <c r="M483" i="31" s="1"/>
  <c r="L484" i="31"/>
  <c r="M484" i="31" s="1"/>
  <c r="L485" i="31"/>
  <c r="M485" i="31" s="1"/>
  <c r="L486" i="31"/>
  <c r="M486" i="31" s="1"/>
  <c r="L487" i="31"/>
  <c r="M487" i="31" s="1"/>
  <c r="L488" i="31"/>
  <c r="M488" i="31" s="1"/>
  <c r="L489" i="31"/>
  <c r="M489" i="31" s="1"/>
  <c r="L490" i="31"/>
  <c r="M490" i="31" s="1"/>
  <c r="L491" i="31"/>
  <c r="M491" i="31" s="1"/>
  <c r="L492" i="31"/>
  <c r="M492" i="31" s="1"/>
  <c r="L493" i="31"/>
  <c r="M493" i="31" s="1"/>
  <c r="L494" i="31"/>
  <c r="M494" i="31" s="1"/>
  <c r="L495" i="31"/>
  <c r="M495" i="31" s="1"/>
  <c r="L496" i="31"/>
  <c r="M496" i="31" s="1"/>
  <c r="L497" i="31"/>
  <c r="M497" i="31" s="1"/>
  <c r="L498" i="31"/>
  <c r="M498" i="31" s="1"/>
  <c r="L499" i="31"/>
  <c r="M499" i="31" s="1"/>
  <c r="L500" i="31"/>
  <c r="M500" i="31" s="1"/>
  <c r="L501" i="31"/>
  <c r="M501" i="31" s="1"/>
  <c r="L502" i="31"/>
  <c r="M502" i="31" s="1"/>
  <c r="L503" i="31"/>
  <c r="M503" i="31" s="1"/>
  <c r="L504" i="31"/>
  <c r="M504" i="31" s="1"/>
  <c r="L505" i="31"/>
  <c r="M505" i="31" s="1"/>
  <c r="L506" i="31"/>
  <c r="M506" i="31" s="1"/>
  <c r="L507" i="31"/>
  <c r="M507" i="31" s="1"/>
  <c r="L508" i="31"/>
  <c r="M508" i="31" s="1"/>
  <c r="L509" i="31"/>
  <c r="M509" i="31" s="1"/>
  <c r="L510" i="31"/>
  <c r="M510" i="31" s="1"/>
  <c r="L511" i="31"/>
  <c r="M511" i="31" s="1"/>
  <c r="L512" i="31"/>
  <c r="M512" i="31" s="1"/>
  <c r="L513" i="31"/>
  <c r="M513" i="31" s="1"/>
  <c r="L514" i="31"/>
  <c r="M514" i="31" s="1"/>
  <c r="L515" i="31"/>
  <c r="M515" i="31" s="1"/>
  <c r="L516" i="31"/>
  <c r="M516" i="31" s="1"/>
  <c r="L517" i="31"/>
  <c r="M517" i="31" s="1"/>
  <c r="L518" i="31"/>
  <c r="M518" i="31" s="1"/>
  <c r="L519" i="31"/>
  <c r="M519" i="31" s="1"/>
  <c r="L520" i="31"/>
  <c r="M520" i="31" s="1"/>
  <c r="L521" i="31"/>
  <c r="M521" i="31" s="1"/>
  <c r="L522" i="31"/>
  <c r="M522" i="31" s="1"/>
  <c r="L523" i="31"/>
  <c r="M523" i="31" s="1"/>
  <c r="L524" i="31"/>
  <c r="M524" i="31" s="1"/>
  <c r="L525" i="31"/>
  <c r="M525" i="31" s="1"/>
  <c r="L526" i="31"/>
  <c r="M526" i="31" s="1"/>
  <c r="L527" i="31"/>
  <c r="M527" i="31" s="1"/>
  <c r="L528" i="31"/>
  <c r="M528" i="31" s="1"/>
  <c r="L529" i="31"/>
  <c r="M529" i="31" s="1"/>
  <c r="L530" i="31"/>
  <c r="M530" i="31" s="1"/>
  <c r="L531" i="31"/>
  <c r="M531" i="31" s="1"/>
  <c r="L532" i="31"/>
  <c r="M532" i="31" s="1"/>
  <c r="L533" i="31"/>
  <c r="M533" i="31" s="1"/>
  <c r="L534" i="31"/>
  <c r="M534" i="31" s="1"/>
  <c r="L535" i="31"/>
  <c r="M535" i="31" s="1"/>
  <c r="L536" i="31"/>
  <c r="M536" i="31" s="1"/>
  <c r="L537" i="31"/>
  <c r="M537" i="31" s="1"/>
  <c r="L538" i="31"/>
  <c r="M538" i="31" s="1"/>
  <c r="L539" i="31"/>
  <c r="M539" i="31" s="1"/>
  <c r="L540" i="31"/>
  <c r="M540" i="31" s="1"/>
  <c r="L541" i="31"/>
  <c r="M541" i="31" s="1"/>
  <c r="L542" i="31"/>
  <c r="M542" i="31" s="1"/>
  <c r="L543" i="31"/>
  <c r="M543" i="31" s="1"/>
  <c r="L544" i="31"/>
  <c r="M544" i="31" s="1"/>
  <c r="L545" i="31"/>
  <c r="M545" i="31" s="1"/>
  <c r="L546" i="31"/>
  <c r="M546" i="31" s="1"/>
  <c r="L547" i="31"/>
  <c r="M547" i="31" s="1"/>
  <c r="L548" i="31"/>
  <c r="M548" i="31" s="1"/>
  <c r="L549" i="31"/>
  <c r="M549" i="31" s="1"/>
  <c r="L550" i="31"/>
  <c r="M550" i="31" s="1"/>
  <c r="L551" i="31"/>
  <c r="M551" i="31" s="1"/>
  <c r="L552" i="31"/>
  <c r="M552" i="31" s="1"/>
  <c r="L553" i="31"/>
  <c r="M553" i="31" s="1"/>
  <c r="L554" i="31"/>
  <c r="M554" i="31" s="1"/>
  <c r="L555" i="31"/>
  <c r="M555" i="31" s="1"/>
  <c r="L556" i="31"/>
  <c r="M556" i="31" s="1"/>
  <c r="L557" i="31"/>
  <c r="M557" i="31" s="1"/>
  <c r="L558" i="31"/>
  <c r="M558" i="31" s="1"/>
  <c r="L559" i="31"/>
  <c r="M559" i="31" s="1"/>
  <c r="L560" i="31"/>
  <c r="M560" i="31" s="1"/>
  <c r="L561" i="31"/>
  <c r="M561" i="31" s="1"/>
  <c r="L562" i="31"/>
  <c r="M562" i="31" s="1"/>
  <c r="L563" i="31"/>
  <c r="M563" i="31" s="1"/>
  <c r="L564" i="31"/>
  <c r="M564" i="31" s="1"/>
  <c r="L565" i="31"/>
  <c r="M565" i="31" s="1"/>
  <c r="L566" i="31"/>
  <c r="M566" i="31" s="1"/>
  <c r="L567" i="31"/>
  <c r="M567" i="31" s="1"/>
  <c r="L568" i="31"/>
  <c r="M568" i="31" s="1"/>
  <c r="L569" i="31"/>
  <c r="M569" i="31" s="1"/>
  <c r="L570" i="31"/>
  <c r="M570" i="31" s="1"/>
  <c r="L571" i="31"/>
  <c r="M571" i="31" s="1"/>
  <c r="L572" i="31"/>
  <c r="M572" i="31" s="1"/>
  <c r="L573" i="31"/>
  <c r="M573" i="31" s="1"/>
  <c r="L574" i="31"/>
  <c r="M574" i="31" s="1"/>
  <c r="L575" i="31"/>
  <c r="M575" i="31" s="1"/>
  <c r="L576" i="31"/>
  <c r="M576" i="31" s="1"/>
  <c r="L577" i="31"/>
  <c r="M577" i="31" s="1"/>
  <c r="L578" i="31"/>
  <c r="M578" i="31" s="1"/>
  <c r="L579" i="31"/>
  <c r="M579" i="31" s="1"/>
  <c r="L580" i="31"/>
  <c r="M580" i="31" s="1"/>
  <c r="L581" i="31"/>
  <c r="M581" i="31" s="1"/>
  <c r="L582" i="31"/>
  <c r="M582" i="31" s="1"/>
  <c r="L583" i="31"/>
  <c r="M583" i="31" s="1"/>
  <c r="L584" i="31"/>
  <c r="M584" i="31" s="1"/>
  <c r="L585" i="31"/>
  <c r="M585" i="31" s="1"/>
  <c r="L586" i="31"/>
  <c r="M586" i="31" s="1"/>
  <c r="L587" i="31"/>
  <c r="M587" i="31" s="1"/>
  <c r="L588" i="31"/>
  <c r="M588" i="31" s="1"/>
  <c r="L589" i="31"/>
  <c r="M589" i="31" s="1"/>
  <c r="L590" i="31"/>
  <c r="M590" i="31" s="1"/>
  <c r="L591" i="31"/>
  <c r="M591" i="31" s="1"/>
  <c r="L592" i="31"/>
  <c r="M592" i="31" s="1"/>
  <c r="L593" i="31"/>
  <c r="M593" i="31" s="1"/>
  <c r="L594" i="31"/>
  <c r="M594" i="31" s="1"/>
  <c r="L595" i="31"/>
  <c r="M595" i="31" s="1"/>
  <c r="L596" i="31"/>
  <c r="M596" i="31" s="1"/>
  <c r="L597" i="31"/>
  <c r="M597" i="31" s="1"/>
  <c r="L598" i="31"/>
  <c r="M598" i="31" s="1"/>
  <c r="L599" i="31"/>
  <c r="M599" i="31" s="1"/>
  <c r="L600" i="31"/>
  <c r="M600" i="31" s="1"/>
  <c r="L601" i="31"/>
  <c r="M601" i="31" s="1"/>
  <c r="L602" i="31"/>
  <c r="M602" i="31" s="1"/>
  <c r="L603" i="31"/>
  <c r="M603" i="31" s="1"/>
  <c r="L604" i="31"/>
  <c r="M604" i="31" s="1"/>
  <c r="L605" i="31"/>
  <c r="M605" i="31" s="1"/>
  <c r="L606" i="31"/>
  <c r="M606" i="31" s="1"/>
  <c r="L607" i="31"/>
  <c r="M607" i="31" s="1"/>
  <c r="L608" i="31"/>
  <c r="M608" i="31" s="1"/>
  <c r="L609" i="31"/>
  <c r="M609" i="31" s="1"/>
  <c r="L610" i="31"/>
  <c r="M610" i="31" s="1"/>
  <c r="L611" i="31"/>
  <c r="M611" i="31" s="1"/>
  <c r="L612" i="31"/>
  <c r="M612" i="31" s="1"/>
  <c r="L613" i="31"/>
  <c r="M613" i="31" s="1"/>
  <c r="L614" i="31"/>
  <c r="M614" i="31" s="1"/>
  <c r="L615" i="31"/>
  <c r="M615" i="31" s="1"/>
  <c r="L616" i="31"/>
  <c r="M616" i="31" s="1"/>
  <c r="L617" i="31"/>
  <c r="M617" i="31" s="1"/>
  <c r="L618" i="31"/>
  <c r="M618" i="31" s="1"/>
  <c r="L619" i="31"/>
  <c r="M619" i="31" s="1"/>
  <c r="L620" i="31"/>
  <c r="M620" i="31" s="1"/>
  <c r="L621" i="31"/>
  <c r="M621" i="31" s="1"/>
  <c r="L622" i="31"/>
  <c r="M622" i="31" s="1"/>
  <c r="L623" i="31"/>
  <c r="M623" i="31" s="1"/>
  <c r="L624" i="31"/>
  <c r="M624" i="31" s="1"/>
  <c r="L625" i="31"/>
  <c r="M625" i="31" s="1"/>
  <c r="L626" i="31"/>
  <c r="M626" i="31" s="1"/>
  <c r="L627" i="31"/>
  <c r="M627" i="31" s="1"/>
  <c r="L628" i="31"/>
  <c r="M628" i="31" s="1"/>
  <c r="L629" i="31"/>
  <c r="M629" i="31" s="1"/>
  <c r="L630" i="31"/>
  <c r="M630" i="31" s="1"/>
  <c r="L631" i="31"/>
  <c r="M631" i="31" s="1"/>
  <c r="L632" i="31"/>
  <c r="M632" i="31" s="1"/>
  <c r="L633" i="31"/>
  <c r="M633" i="31" s="1"/>
  <c r="L634" i="31"/>
  <c r="M634" i="31" s="1"/>
  <c r="L635" i="31"/>
  <c r="M635" i="31" s="1"/>
  <c r="L636" i="31"/>
  <c r="M636" i="31" s="1"/>
  <c r="L637" i="31"/>
  <c r="M637" i="31" s="1"/>
  <c r="L638" i="31"/>
  <c r="M638" i="31" s="1"/>
  <c r="L639" i="31"/>
  <c r="M639" i="31" s="1"/>
  <c r="L640" i="31"/>
  <c r="M640" i="31" s="1"/>
  <c r="L641" i="31"/>
  <c r="M641" i="31" s="1"/>
  <c r="L642" i="31"/>
  <c r="M642" i="31" s="1"/>
  <c r="L643" i="31"/>
  <c r="M643" i="31" s="1"/>
  <c r="L644" i="31"/>
  <c r="M644" i="31" s="1"/>
  <c r="L645" i="31"/>
  <c r="M645" i="31" s="1"/>
  <c r="L646" i="31"/>
  <c r="M646" i="31" s="1"/>
  <c r="L647" i="31"/>
  <c r="M647" i="31" s="1"/>
  <c r="L648" i="31"/>
  <c r="M648" i="31" s="1"/>
  <c r="L649" i="31"/>
  <c r="M649" i="31" s="1"/>
  <c r="L650" i="31"/>
  <c r="M650" i="31" s="1"/>
  <c r="L651" i="31"/>
  <c r="M651" i="31" s="1"/>
  <c r="L652" i="31"/>
  <c r="M652" i="31" s="1"/>
  <c r="L653" i="31"/>
  <c r="M653" i="31" s="1"/>
  <c r="L654" i="31"/>
  <c r="M654" i="31" s="1"/>
  <c r="L655" i="31"/>
  <c r="M655" i="31" s="1"/>
  <c r="L656" i="31"/>
  <c r="M656" i="31" s="1"/>
  <c r="L657" i="31"/>
  <c r="M657" i="31" s="1"/>
  <c r="L658" i="31"/>
  <c r="M658" i="31" s="1"/>
  <c r="L659" i="31"/>
  <c r="M659" i="31" s="1"/>
  <c r="L660" i="31"/>
  <c r="M660" i="31" s="1"/>
  <c r="L661" i="31"/>
  <c r="M661" i="31" s="1"/>
  <c r="L662" i="31"/>
  <c r="M662" i="31" s="1"/>
  <c r="L663" i="31"/>
  <c r="M663" i="31" s="1"/>
  <c r="L664" i="31"/>
  <c r="M664" i="31" s="1"/>
  <c r="L665" i="31"/>
  <c r="M665" i="31" s="1"/>
  <c r="L666" i="31"/>
  <c r="M666" i="31" s="1"/>
  <c r="L667" i="31"/>
  <c r="M667" i="31" s="1"/>
  <c r="L668" i="31"/>
  <c r="M668" i="31" s="1"/>
  <c r="L669" i="31"/>
  <c r="M669" i="31" s="1"/>
  <c r="L670" i="31"/>
  <c r="M670" i="31" s="1"/>
  <c r="L671" i="31"/>
  <c r="M671" i="31" s="1"/>
  <c r="L672" i="31"/>
  <c r="M672" i="31" s="1"/>
  <c r="L673" i="31"/>
  <c r="M673" i="31" s="1"/>
  <c r="L674" i="31"/>
  <c r="M674" i="31" s="1"/>
  <c r="L675" i="31"/>
  <c r="M675" i="31" s="1"/>
  <c r="L676" i="31"/>
  <c r="M676" i="31" s="1"/>
  <c r="L677" i="31"/>
  <c r="M677" i="31" s="1"/>
  <c r="L678" i="31"/>
  <c r="M678" i="31" s="1"/>
  <c r="L679" i="31"/>
  <c r="M679" i="31" s="1"/>
  <c r="L680" i="31"/>
  <c r="M680" i="31" s="1"/>
  <c r="L681" i="31"/>
  <c r="M681" i="31" s="1"/>
  <c r="L682" i="31"/>
  <c r="M682" i="31" s="1"/>
  <c r="L683" i="31"/>
  <c r="M683" i="31" s="1"/>
  <c r="L684" i="31"/>
  <c r="M684" i="31" s="1"/>
  <c r="L685" i="31"/>
  <c r="M685" i="31" s="1"/>
  <c r="L686" i="31"/>
  <c r="M686" i="31" s="1"/>
  <c r="L687" i="31"/>
  <c r="M687" i="31" s="1"/>
  <c r="L688" i="31"/>
  <c r="M688" i="31" s="1"/>
  <c r="L689" i="31"/>
  <c r="M689" i="31" s="1"/>
  <c r="L690" i="31"/>
  <c r="M690" i="31" s="1"/>
  <c r="L691" i="31"/>
  <c r="M691" i="31" s="1"/>
  <c r="L692" i="31"/>
  <c r="M692" i="31" s="1"/>
  <c r="L693" i="31"/>
  <c r="M693" i="31" s="1"/>
  <c r="L694" i="31"/>
  <c r="M694" i="31" s="1"/>
  <c r="L695" i="31"/>
  <c r="M695" i="31" s="1"/>
  <c r="L696" i="31"/>
  <c r="M696" i="31" s="1"/>
  <c r="L697" i="31"/>
  <c r="M697" i="31" s="1"/>
  <c r="L698" i="31"/>
  <c r="M698" i="31" s="1"/>
  <c r="L699" i="31"/>
  <c r="M699" i="31" s="1"/>
  <c r="L700" i="31"/>
  <c r="M700" i="31" s="1"/>
  <c r="L701" i="31"/>
  <c r="M701" i="31" s="1"/>
  <c r="L702" i="31"/>
  <c r="M702" i="31" s="1"/>
  <c r="L703" i="31"/>
  <c r="M703" i="31" s="1"/>
  <c r="L704" i="31"/>
  <c r="M704" i="31" s="1"/>
  <c r="L705" i="31"/>
  <c r="M705" i="31" s="1"/>
  <c r="L706" i="31"/>
  <c r="M706" i="31" s="1"/>
  <c r="L707" i="31"/>
  <c r="M707" i="31" s="1"/>
  <c r="L708" i="31"/>
  <c r="M708" i="31" s="1"/>
  <c r="L709" i="31"/>
  <c r="M709" i="31" s="1"/>
  <c r="L710" i="31"/>
  <c r="M710" i="31" s="1"/>
  <c r="L711" i="31"/>
  <c r="M711" i="31" s="1"/>
  <c r="L712" i="31"/>
  <c r="M712" i="31" s="1"/>
  <c r="L713" i="31"/>
  <c r="M713" i="31" s="1"/>
  <c r="L714" i="31"/>
  <c r="M714" i="31" s="1"/>
  <c r="L715" i="31"/>
  <c r="M715" i="31" s="1"/>
  <c r="L716" i="31"/>
  <c r="M716" i="31" s="1"/>
  <c r="L717" i="31"/>
  <c r="M717" i="31" s="1"/>
  <c r="L718" i="31"/>
  <c r="M718" i="31" s="1"/>
  <c r="L719" i="31"/>
  <c r="M719" i="31" s="1"/>
  <c r="L720" i="31"/>
  <c r="M720" i="31" s="1"/>
  <c r="L721" i="31"/>
  <c r="M721" i="31" s="1"/>
  <c r="L722" i="31"/>
  <c r="M722" i="31" s="1"/>
  <c r="L723" i="31"/>
  <c r="M723" i="31" s="1"/>
  <c r="L724" i="31"/>
  <c r="M724" i="31" s="1"/>
  <c r="L725" i="31"/>
  <c r="M725" i="31" s="1"/>
  <c r="L726" i="31"/>
  <c r="M726" i="31" s="1"/>
  <c r="L727" i="31"/>
  <c r="M727" i="31" s="1"/>
  <c r="L728" i="31"/>
  <c r="M728" i="31" s="1"/>
  <c r="L729" i="31"/>
  <c r="M729" i="31" s="1"/>
  <c r="L730" i="31"/>
  <c r="M730" i="31" s="1"/>
  <c r="L731" i="31"/>
  <c r="M731" i="31" s="1"/>
  <c r="L732" i="31"/>
  <c r="M732" i="31" s="1"/>
  <c r="L733" i="31"/>
  <c r="M733" i="31" s="1"/>
  <c r="L734" i="31"/>
  <c r="M734" i="31" s="1"/>
  <c r="L735" i="31"/>
  <c r="M735" i="31" s="1"/>
  <c r="L736" i="31"/>
  <c r="M736" i="31" s="1"/>
  <c r="L737" i="31"/>
  <c r="M737" i="31" s="1"/>
  <c r="L738" i="31"/>
  <c r="M738" i="31" s="1"/>
  <c r="L739" i="31"/>
  <c r="M739" i="31" s="1"/>
  <c r="L740" i="31"/>
  <c r="M740" i="31" s="1"/>
  <c r="L741" i="31"/>
  <c r="M741" i="31" s="1"/>
  <c r="L742" i="31"/>
  <c r="M742" i="31" s="1"/>
  <c r="L743" i="31"/>
  <c r="M743" i="31" s="1"/>
  <c r="L744" i="31"/>
  <c r="M744" i="31" s="1"/>
  <c r="L745" i="31"/>
  <c r="M745" i="31" s="1"/>
  <c r="L746" i="31"/>
  <c r="M746" i="31" s="1"/>
  <c r="L747" i="31"/>
  <c r="M747" i="31" s="1"/>
  <c r="L748" i="31"/>
  <c r="M748" i="31" s="1"/>
  <c r="L749" i="31"/>
  <c r="M749" i="31" s="1"/>
  <c r="L750" i="31"/>
  <c r="M750" i="31" s="1"/>
  <c r="L751" i="31"/>
  <c r="M751" i="31" s="1"/>
  <c r="L752" i="31"/>
  <c r="M752" i="31" s="1"/>
  <c r="L753" i="31"/>
  <c r="M753" i="31" s="1"/>
  <c r="L754" i="31"/>
  <c r="M754" i="31" s="1"/>
  <c r="L755" i="31"/>
  <c r="M755" i="31" s="1"/>
  <c r="L756" i="31"/>
  <c r="M756" i="31" s="1"/>
  <c r="L757" i="31"/>
  <c r="M757" i="31" s="1"/>
  <c r="L758" i="31"/>
  <c r="M758" i="31" s="1"/>
  <c r="L759" i="31"/>
  <c r="M759" i="31" s="1"/>
  <c r="L760" i="31"/>
  <c r="M760" i="31" s="1"/>
  <c r="L761" i="31"/>
  <c r="M761" i="31" s="1"/>
  <c r="L762" i="31"/>
  <c r="M762" i="31" s="1"/>
  <c r="L763" i="31"/>
  <c r="M763" i="31" s="1"/>
  <c r="L764" i="31"/>
  <c r="M764" i="31" s="1"/>
  <c r="L765" i="31"/>
  <c r="M765" i="31" s="1"/>
  <c r="L766" i="31"/>
  <c r="M766" i="31" s="1"/>
  <c r="L767" i="31"/>
  <c r="M767" i="31" s="1"/>
  <c r="L768" i="31"/>
  <c r="M768" i="31" s="1"/>
  <c r="L769" i="31"/>
  <c r="M769" i="31" s="1"/>
  <c r="L770" i="31"/>
  <c r="M770" i="31" s="1"/>
  <c r="L771" i="31"/>
  <c r="M771" i="31" s="1"/>
  <c r="L772" i="31"/>
  <c r="M772" i="31" s="1"/>
  <c r="L773" i="31"/>
  <c r="M773" i="31" s="1"/>
  <c r="L774" i="31"/>
  <c r="M774" i="31" s="1"/>
  <c r="L775" i="31"/>
  <c r="M775" i="31" s="1"/>
  <c r="L776" i="31"/>
  <c r="M776" i="31" s="1"/>
  <c r="L777" i="31"/>
  <c r="M777" i="31" s="1"/>
  <c r="L778" i="31"/>
  <c r="M778" i="31" s="1"/>
  <c r="L779" i="31"/>
  <c r="M779" i="31" s="1"/>
  <c r="L780" i="31"/>
  <c r="M780" i="31" s="1"/>
  <c r="L781" i="31"/>
  <c r="M781" i="31" s="1"/>
  <c r="L782" i="31"/>
  <c r="M782" i="31" s="1"/>
  <c r="L783" i="31"/>
  <c r="M783" i="31" s="1"/>
  <c r="L784" i="31"/>
  <c r="M784" i="31" s="1"/>
  <c r="L785" i="31"/>
  <c r="M785" i="31" s="1"/>
  <c r="L786" i="31"/>
  <c r="M786" i="31" s="1"/>
  <c r="L787" i="31"/>
  <c r="M787" i="31" s="1"/>
  <c r="L788" i="31"/>
  <c r="M788" i="31" s="1"/>
  <c r="L789" i="31"/>
  <c r="M789" i="31" s="1"/>
  <c r="L790" i="31"/>
  <c r="M790" i="31" s="1"/>
  <c r="L791" i="31"/>
  <c r="M791" i="31" s="1"/>
  <c r="L792" i="31"/>
  <c r="M792" i="31" s="1"/>
  <c r="L793" i="31"/>
  <c r="M793" i="31" s="1"/>
  <c r="L794" i="31"/>
  <c r="M794" i="31" s="1"/>
  <c r="L795" i="31"/>
  <c r="M795" i="31" s="1"/>
  <c r="L796" i="31"/>
  <c r="M796" i="31" s="1"/>
  <c r="L797" i="31"/>
  <c r="M797" i="31" s="1"/>
  <c r="L798" i="31"/>
  <c r="M798" i="31" s="1"/>
  <c r="L799" i="31"/>
  <c r="M799" i="31" s="1"/>
  <c r="L800" i="31"/>
  <c r="M800" i="31" s="1"/>
  <c r="L801" i="31"/>
  <c r="M801" i="31" s="1"/>
  <c r="L802" i="31"/>
  <c r="M802" i="31" s="1"/>
  <c r="L803" i="31"/>
  <c r="M803" i="31" s="1"/>
  <c r="L804" i="31"/>
  <c r="M804" i="31" s="1"/>
  <c r="L805" i="31"/>
  <c r="M805" i="31" s="1"/>
  <c r="L806" i="31"/>
  <c r="M806" i="31" s="1"/>
  <c r="L807" i="31"/>
  <c r="M807" i="31" s="1"/>
  <c r="L808" i="31"/>
  <c r="M808" i="31" s="1"/>
  <c r="L809" i="31"/>
  <c r="M809" i="31" s="1"/>
  <c r="L810" i="31"/>
  <c r="M810" i="31" s="1"/>
  <c r="L811" i="31"/>
  <c r="M811" i="31" s="1"/>
  <c r="L812" i="31"/>
  <c r="M812" i="31" s="1"/>
  <c r="L813" i="31"/>
  <c r="M813" i="31" s="1"/>
  <c r="L814" i="31"/>
  <c r="M814" i="31" s="1"/>
  <c r="L815" i="31"/>
  <c r="M815" i="31" s="1"/>
  <c r="L816" i="31"/>
  <c r="M816" i="31" s="1"/>
  <c r="L817" i="31"/>
  <c r="M817" i="31" s="1"/>
  <c r="L818" i="31"/>
  <c r="M818" i="31" s="1"/>
  <c r="L819" i="31"/>
  <c r="M819" i="31" s="1"/>
  <c r="L820" i="31"/>
  <c r="M820" i="31" s="1"/>
  <c r="L821" i="31"/>
  <c r="M821" i="31" s="1"/>
  <c r="L822" i="31"/>
  <c r="M822" i="31" s="1"/>
  <c r="L823" i="31"/>
  <c r="M823" i="31" s="1"/>
  <c r="L824" i="31"/>
  <c r="M824" i="31" s="1"/>
  <c r="L825" i="31"/>
  <c r="M825" i="31" s="1"/>
  <c r="L826" i="31"/>
  <c r="M826" i="31" s="1"/>
  <c r="L827" i="31"/>
  <c r="M827" i="31" s="1"/>
  <c r="L828" i="31"/>
  <c r="M828" i="31" s="1"/>
  <c r="L829" i="31"/>
  <c r="M829" i="31" s="1"/>
  <c r="L830" i="31"/>
  <c r="M830" i="31" s="1"/>
  <c r="L831" i="31"/>
  <c r="M831" i="31" s="1"/>
  <c r="L832" i="31"/>
  <c r="M832" i="31" s="1"/>
  <c r="L833" i="31"/>
  <c r="M833" i="31" s="1"/>
  <c r="L834" i="31"/>
  <c r="M834" i="31" s="1"/>
  <c r="L835" i="31"/>
  <c r="M835" i="31" s="1"/>
  <c r="L836" i="31"/>
  <c r="M836" i="31" s="1"/>
  <c r="L837" i="31"/>
  <c r="M837" i="31" s="1"/>
  <c r="L838" i="31"/>
  <c r="M838" i="31" s="1"/>
  <c r="L839" i="31"/>
  <c r="M839" i="31" s="1"/>
  <c r="L840" i="31"/>
  <c r="M840" i="31" s="1"/>
  <c r="L841" i="31"/>
  <c r="M841" i="31" s="1"/>
  <c r="L842" i="31"/>
  <c r="M842" i="31" s="1"/>
  <c r="L843" i="31"/>
  <c r="M843" i="31" s="1"/>
  <c r="L844" i="31"/>
  <c r="M844" i="31" s="1"/>
  <c r="L845" i="31"/>
  <c r="M845" i="31" s="1"/>
  <c r="L846" i="31"/>
  <c r="M846" i="31" s="1"/>
  <c r="L847" i="31"/>
  <c r="M847" i="31" s="1"/>
  <c r="L848" i="31"/>
  <c r="M848" i="31" s="1"/>
  <c r="L849" i="31"/>
  <c r="M849" i="31" s="1"/>
  <c r="L850" i="31"/>
  <c r="M850" i="31" s="1"/>
  <c r="L851" i="31"/>
  <c r="M851" i="31" s="1"/>
  <c r="L852" i="31"/>
  <c r="M852" i="31" s="1"/>
  <c r="L853" i="31"/>
  <c r="M853" i="31" s="1"/>
  <c r="L854" i="31"/>
  <c r="M854" i="31" s="1"/>
  <c r="L855" i="31"/>
  <c r="M855" i="31" s="1"/>
  <c r="L856" i="31"/>
  <c r="M856" i="31" s="1"/>
  <c r="L857" i="31"/>
  <c r="M857" i="31" s="1"/>
  <c r="L858" i="31"/>
  <c r="M858" i="31" s="1"/>
  <c r="L859" i="31"/>
  <c r="M859" i="31" s="1"/>
  <c r="L860" i="31"/>
  <c r="M860" i="31" s="1"/>
  <c r="L861" i="31"/>
  <c r="M861" i="31" s="1"/>
  <c r="L862" i="31"/>
  <c r="M862" i="31" s="1"/>
  <c r="L863" i="31"/>
  <c r="M863" i="31" s="1"/>
  <c r="L864" i="31"/>
  <c r="M864" i="31" s="1"/>
  <c r="L865" i="31"/>
  <c r="M865" i="31" s="1"/>
  <c r="L866" i="31"/>
  <c r="M866" i="31" s="1"/>
  <c r="L867" i="31"/>
  <c r="M867" i="31" s="1"/>
  <c r="L868" i="31"/>
  <c r="M868" i="31" s="1"/>
  <c r="L869" i="31"/>
  <c r="M869" i="31" s="1"/>
  <c r="L870" i="31"/>
  <c r="M870" i="31" s="1"/>
  <c r="L871" i="31"/>
  <c r="M871" i="31" s="1"/>
  <c r="L872" i="31"/>
  <c r="M872" i="31" s="1"/>
  <c r="L873" i="31"/>
  <c r="M873" i="31" s="1"/>
  <c r="L874" i="31"/>
  <c r="M874" i="31" s="1"/>
  <c r="L875" i="31"/>
  <c r="M875" i="31" s="1"/>
  <c r="L876" i="31"/>
  <c r="M876" i="31" s="1"/>
  <c r="L877" i="31"/>
  <c r="M877" i="31" s="1"/>
  <c r="L878" i="31"/>
  <c r="M878" i="31" s="1"/>
  <c r="L879" i="31"/>
  <c r="M879" i="31" s="1"/>
  <c r="L880" i="31"/>
  <c r="M880" i="31" s="1"/>
  <c r="L881" i="31"/>
  <c r="M881" i="31" s="1"/>
  <c r="L882" i="31"/>
  <c r="M882" i="31" s="1"/>
  <c r="L883" i="31"/>
  <c r="M883" i="31" s="1"/>
  <c r="L884" i="31"/>
  <c r="M884" i="31" s="1"/>
  <c r="L885" i="31"/>
  <c r="M885" i="31" s="1"/>
  <c r="L886" i="31"/>
  <c r="M886" i="31" s="1"/>
  <c r="L887" i="31"/>
  <c r="M887" i="31" s="1"/>
  <c r="L888" i="31"/>
  <c r="M888" i="31" s="1"/>
  <c r="L889" i="31"/>
  <c r="M889" i="31" s="1"/>
  <c r="L890" i="31"/>
  <c r="M890" i="31" s="1"/>
  <c r="L891" i="31"/>
  <c r="M891" i="31" s="1"/>
  <c r="L892" i="31"/>
  <c r="M892" i="31" s="1"/>
  <c r="L893" i="31"/>
  <c r="M893" i="31" s="1"/>
  <c r="L894" i="31"/>
  <c r="M894" i="31" s="1"/>
  <c r="L895" i="31"/>
  <c r="M895" i="31" s="1"/>
  <c r="L896" i="31"/>
  <c r="M896" i="31" s="1"/>
  <c r="L897" i="31"/>
  <c r="M897" i="31" s="1"/>
  <c r="L898" i="31"/>
  <c r="M898" i="31" s="1"/>
  <c r="L899" i="31"/>
  <c r="M899" i="31" s="1"/>
  <c r="L900" i="31"/>
  <c r="M900" i="31" s="1"/>
  <c r="L901" i="31"/>
  <c r="M901" i="31" s="1"/>
  <c r="L902" i="31"/>
  <c r="M902" i="31" s="1"/>
  <c r="L903" i="31"/>
  <c r="M903" i="31" s="1"/>
  <c r="L904" i="31"/>
  <c r="M904" i="31" s="1"/>
  <c r="L905" i="31"/>
  <c r="M905" i="31" s="1"/>
  <c r="L906" i="31"/>
  <c r="M906" i="31" s="1"/>
  <c r="L907" i="31"/>
  <c r="M907" i="31" s="1"/>
  <c r="L908" i="31"/>
  <c r="M908" i="31" s="1"/>
  <c r="L909" i="31"/>
  <c r="M909" i="31" s="1"/>
  <c r="L910" i="31"/>
  <c r="M910" i="31" s="1"/>
  <c r="L911" i="31"/>
  <c r="M911" i="31" s="1"/>
  <c r="L912" i="31"/>
  <c r="M912" i="31" s="1"/>
  <c r="L913" i="31"/>
  <c r="M913" i="31" s="1"/>
  <c r="L914" i="31"/>
  <c r="M914" i="31" s="1"/>
  <c r="L915" i="31"/>
  <c r="M915" i="31" s="1"/>
  <c r="L916" i="31"/>
  <c r="M916" i="31" s="1"/>
  <c r="L917" i="31"/>
  <c r="M917" i="31" s="1"/>
  <c r="L918" i="31"/>
  <c r="M918" i="31" s="1"/>
  <c r="L919" i="31"/>
  <c r="M919" i="31" s="1"/>
  <c r="L920" i="31"/>
  <c r="M920" i="31" s="1"/>
  <c r="L921" i="31"/>
  <c r="M921" i="31" s="1"/>
  <c r="L922" i="31"/>
  <c r="M922" i="31" s="1"/>
  <c r="L2" i="31"/>
  <c r="M2" i="31" s="1"/>
  <c r="V136" i="38" l="1"/>
  <c r="AT93" i="37"/>
  <c r="Y104" i="37"/>
  <c r="AT136" i="38"/>
  <c r="Y147" i="38"/>
  <c r="AB124" i="15"/>
  <c r="AB136" i="38"/>
  <c r="AB93" i="37"/>
  <c r="AT135" i="15"/>
  <c r="AT147" i="38"/>
  <c r="AT104" i="37"/>
  <c r="AQ124" i="15"/>
  <c r="AQ136" i="38"/>
  <c r="AQ93" i="37"/>
  <c r="AD135" i="15"/>
  <c r="AD147" i="38"/>
  <c r="AD104" i="37"/>
  <c r="AA124" i="15"/>
  <c r="AA136" i="38"/>
  <c r="AA93" i="37"/>
  <c r="H135" i="15"/>
  <c r="H147" i="38"/>
  <c r="H104" i="37"/>
  <c r="M135" i="15"/>
  <c r="M147" i="38"/>
  <c r="M104" i="37"/>
  <c r="F124" i="15"/>
  <c r="F136" i="38"/>
  <c r="F93" i="37"/>
  <c r="R124" i="15"/>
  <c r="R136" i="38"/>
  <c r="R93" i="37"/>
  <c r="J124" i="15"/>
  <c r="J136" i="38"/>
  <c r="J93" i="37"/>
  <c r="AR135" i="15"/>
  <c r="AR147" i="38"/>
  <c r="AR104" i="37"/>
  <c r="AJ135" i="15"/>
  <c r="AJ147" i="38"/>
  <c r="AJ104" i="37"/>
  <c r="AG124" i="15"/>
  <c r="AG136" i="38"/>
  <c r="AG93" i="37"/>
  <c r="T135" i="15"/>
  <c r="T147" i="38"/>
  <c r="T104" i="37"/>
  <c r="Q124" i="15"/>
  <c r="Q136" i="38"/>
  <c r="Q93" i="37"/>
  <c r="I124" i="15"/>
  <c r="I136" i="38"/>
  <c r="I93" i="37"/>
  <c r="AW82" i="37"/>
  <c r="BE82" i="37" s="1"/>
  <c r="AF124" i="15"/>
  <c r="AF136" i="38"/>
  <c r="AF93" i="37"/>
  <c r="AP135" i="15"/>
  <c r="AP147" i="38"/>
  <c r="AP104" i="37"/>
  <c r="AM124" i="15"/>
  <c r="AM136" i="38"/>
  <c r="AM93" i="37"/>
  <c r="Z135" i="15"/>
  <c r="Z147" i="38"/>
  <c r="Z104" i="37"/>
  <c r="W124" i="15"/>
  <c r="W136" i="38"/>
  <c r="W93" i="37"/>
  <c r="G124" i="15"/>
  <c r="G136" i="38"/>
  <c r="G93" i="37"/>
  <c r="Q135" i="15"/>
  <c r="Q147" i="38"/>
  <c r="Q104" i="37"/>
  <c r="F135" i="15"/>
  <c r="F147" i="38"/>
  <c r="F104" i="37"/>
  <c r="AO135" i="15"/>
  <c r="AO147" i="38"/>
  <c r="AO104" i="37"/>
  <c r="AF135" i="15"/>
  <c r="AF147" i="38"/>
  <c r="AF104" i="37"/>
  <c r="AC124" i="15"/>
  <c r="AC136" i="38"/>
  <c r="AC93" i="37"/>
  <c r="P135" i="15"/>
  <c r="P147" i="38"/>
  <c r="P104" i="37"/>
  <c r="M124" i="15"/>
  <c r="M136" i="38"/>
  <c r="M93" i="37"/>
  <c r="E135" i="15"/>
  <c r="E147" i="38"/>
  <c r="E104" i="37"/>
  <c r="AW125" i="38"/>
  <c r="AU135" i="15"/>
  <c r="AU147" i="38"/>
  <c r="AU104" i="37"/>
  <c r="AR124" i="15"/>
  <c r="AR136" i="38"/>
  <c r="AR93" i="37"/>
  <c r="AJ124" i="15"/>
  <c r="AJ136" i="38"/>
  <c r="AJ93" i="37"/>
  <c r="T124" i="15"/>
  <c r="T136" i="38"/>
  <c r="T93" i="37"/>
  <c r="AL135" i="15"/>
  <c r="AL147" i="38"/>
  <c r="AL104" i="37"/>
  <c r="AI124" i="15"/>
  <c r="AI136" i="38"/>
  <c r="AI93" i="37"/>
  <c r="V135" i="15"/>
  <c r="V147" i="38"/>
  <c r="V104" i="37"/>
  <c r="S124" i="15"/>
  <c r="S136" i="38"/>
  <c r="S93" i="37"/>
  <c r="K124" i="15"/>
  <c r="K136" i="38"/>
  <c r="K93" i="37"/>
  <c r="N135" i="15"/>
  <c r="N147" i="38"/>
  <c r="N104" i="37"/>
  <c r="AO124" i="15"/>
  <c r="AO136" i="38"/>
  <c r="AO93" i="37"/>
  <c r="AB135" i="15"/>
  <c r="AB147" i="38"/>
  <c r="AB104" i="37"/>
  <c r="Y124" i="15"/>
  <c r="Y136" i="38"/>
  <c r="Y93" i="37"/>
  <c r="L135" i="15"/>
  <c r="L147" i="38"/>
  <c r="L104" i="37"/>
  <c r="E124" i="15"/>
  <c r="E136" i="38"/>
  <c r="E93" i="37"/>
  <c r="AQ135" i="15"/>
  <c r="AQ147" i="38"/>
  <c r="AQ104" i="37"/>
  <c r="AN124" i="15"/>
  <c r="AN136" i="38"/>
  <c r="AN93" i="37"/>
  <c r="X124" i="15"/>
  <c r="X136" i="38"/>
  <c r="X93" i="37"/>
  <c r="AV135" i="15"/>
  <c r="AV147" i="38"/>
  <c r="AV104" i="37"/>
  <c r="AU124" i="15"/>
  <c r="AU136" i="38"/>
  <c r="AU93" i="37"/>
  <c r="AH135" i="15"/>
  <c r="AH147" i="38"/>
  <c r="AH104" i="37"/>
  <c r="AE124" i="15"/>
  <c r="AE136" i="38"/>
  <c r="AE93" i="37"/>
  <c r="R135" i="15"/>
  <c r="R147" i="38"/>
  <c r="R104" i="37"/>
  <c r="O124" i="15"/>
  <c r="O136" i="38"/>
  <c r="O93" i="37"/>
  <c r="J135" i="15"/>
  <c r="J147" i="38"/>
  <c r="J104" i="37"/>
  <c r="G135" i="15"/>
  <c r="G147" i="38"/>
  <c r="G104" i="37"/>
  <c r="N124" i="15"/>
  <c r="N136" i="38"/>
  <c r="N93" i="37"/>
  <c r="AS124" i="15"/>
  <c r="AS136" i="38"/>
  <c r="AS93" i="37"/>
  <c r="AN135" i="15"/>
  <c r="AN147" i="38"/>
  <c r="AN104" i="37"/>
  <c r="AK124" i="15"/>
  <c r="AK136" i="38"/>
  <c r="AK93" i="37"/>
  <c r="X135" i="15"/>
  <c r="X147" i="38"/>
  <c r="X104" i="37"/>
  <c r="U124" i="15"/>
  <c r="U136" i="38"/>
  <c r="U93" i="37"/>
  <c r="I135" i="15"/>
  <c r="I147" i="38"/>
  <c r="I104" i="37"/>
  <c r="AW113" i="15"/>
  <c r="O628" i="31"/>
  <c r="AW104" i="37" l="1"/>
  <c r="BE104" i="37" s="1"/>
  <c r="AW124" i="15"/>
  <c r="AW93" i="37"/>
  <c r="BE93" i="37" s="1"/>
  <c r="AW135" i="15"/>
  <c r="AW136" i="38"/>
  <c r="BB136" i="38" s="1"/>
  <c r="AW147" i="38"/>
  <c r="BD147" i="38" s="1"/>
  <c r="BB125" i="38"/>
  <c r="G14" i="11" s="1"/>
  <c r="BD125" i="38"/>
  <c r="AZ125" i="38"/>
  <c r="K3" i="31"/>
  <c r="K4" i="31"/>
  <c r="K5" i="31"/>
  <c r="K6" i="31"/>
  <c r="K7" i="31"/>
  <c r="K8" i="31"/>
  <c r="K9" i="31"/>
  <c r="K10" i="31"/>
  <c r="K11" i="31"/>
  <c r="K12" i="31"/>
  <c r="K13" i="31"/>
  <c r="K14" i="31"/>
  <c r="K15" i="31"/>
  <c r="K16" i="31"/>
  <c r="K17" i="31"/>
  <c r="K18" i="31"/>
  <c r="K19" i="31"/>
  <c r="K20" i="31"/>
  <c r="K21" i="31"/>
  <c r="K22" i="31"/>
  <c r="K23" i="31"/>
  <c r="K24" i="31"/>
  <c r="K25" i="31"/>
  <c r="K26" i="31"/>
  <c r="K27" i="31"/>
  <c r="K28" i="31"/>
  <c r="K29" i="31"/>
  <c r="K30" i="31"/>
  <c r="K31" i="31"/>
  <c r="K32" i="31"/>
  <c r="K33" i="31"/>
  <c r="K34" i="31"/>
  <c r="K35" i="31"/>
  <c r="K36" i="31"/>
  <c r="K37" i="31"/>
  <c r="K38" i="31"/>
  <c r="K39" i="31"/>
  <c r="K40" i="31"/>
  <c r="K41" i="31"/>
  <c r="K42" i="31"/>
  <c r="K43" i="31"/>
  <c r="K44" i="31"/>
  <c r="K45" i="31"/>
  <c r="K46" i="31"/>
  <c r="K47" i="31"/>
  <c r="K48" i="31"/>
  <c r="K49" i="31"/>
  <c r="K50" i="31"/>
  <c r="K51" i="31"/>
  <c r="K52" i="31"/>
  <c r="K53" i="31"/>
  <c r="K54" i="31"/>
  <c r="K55" i="31"/>
  <c r="K56" i="31"/>
  <c r="K57" i="31"/>
  <c r="K58" i="31"/>
  <c r="K59" i="31"/>
  <c r="K60" i="31"/>
  <c r="K61" i="31"/>
  <c r="K62" i="31"/>
  <c r="K63" i="31"/>
  <c r="K64" i="31"/>
  <c r="K65" i="31"/>
  <c r="K66" i="31"/>
  <c r="K67" i="31"/>
  <c r="K68" i="31"/>
  <c r="K69" i="31"/>
  <c r="K70" i="31"/>
  <c r="K71" i="31"/>
  <c r="K72" i="31"/>
  <c r="K73" i="31"/>
  <c r="K74" i="31"/>
  <c r="K75" i="31"/>
  <c r="K76" i="31"/>
  <c r="K77" i="31"/>
  <c r="K78" i="31"/>
  <c r="K79" i="31"/>
  <c r="K80" i="31"/>
  <c r="K81" i="31"/>
  <c r="K82" i="31"/>
  <c r="K83" i="31"/>
  <c r="K84" i="31"/>
  <c r="K85" i="31"/>
  <c r="K86" i="31"/>
  <c r="K87" i="31"/>
  <c r="K88" i="31"/>
  <c r="K89" i="31"/>
  <c r="K90" i="31"/>
  <c r="K91" i="31"/>
  <c r="K92" i="31"/>
  <c r="K93" i="31"/>
  <c r="K94" i="31"/>
  <c r="K95" i="31"/>
  <c r="K96" i="31"/>
  <c r="K97" i="31"/>
  <c r="K98" i="31"/>
  <c r="K99" i="31"/>
  <c r="K100" i="31"/>
  <c r="K101" i="31"/>
  <c r="K102" i="31"/>
  <c r="K103" i="31"/>
  <c r="K104" i="31"/>
  <c r="K105" i="31"/>
  <c r="K106" i="31"/>
  <c r="K107" i="31"/>
  <c r="K108" i="31"/>
  <c r="K109" i="31"/>
  <c r="K110" i="31"/>
  <c r="K111" i="31"/>
  <c r="K112" i="31"/>
  <c r="K113" i="31"/>
  <c r="K114" i="31"/>
  <c r="K115" i="31"/>
  <c r="K116" i="31"/>
  <c r="K117" i="31"/>
  <c r="K118" i="31"/>
  <c r="K119" i="31"/>
  <c r="K120" i="31"/>
  <c r="K121" i="31"/>
  <c r="K122" i="31"/>
  <c r="K123" i="31"/>
  <c r="K124" i="31"/>
  <c r="K125" i="31"/>
  <c r="K126" i="31"/>
  <c r="K127" i="31"/>
  <c r="K128" i="31"/>
  <c r="K129" i="31"/>
  <c r="K130" i="31"/>
  <c r="K131" i="31"/>
  <c r="K132" i="31"/>
  <c r="K133" i="31"/>
  <c r="K134" i="31"/>
  <c r="K135" i="31"/>
  <c r="K136" i="31"/>
  <c r="K137" i="31"/>
  <c r="K138" i="31"/>
  <c r="K139" i="31"/>
  <c r="K140" i="31"/>
  <c r="K141" i="31"/>
  <c r="K142" i="31"/>
  <c r="K143" i="31"/>
  <c r="K144" i="31"/>
  <c r="K145" i="31"/>
  <c r="K146" i="31"/>
  <c r="K147" i="31"/>
  <c r="K148" i="31"/>
  <c r="K149" i="31"/>
  <c r="K150" i="31"/>
  <c r="K151" i="31"/>
  <c r="K152" i="31"/>
  <c r="K153" i="31"/>
  <c r="K154" i="31"/>
  <c r="K155" i="31"/>
  <c r="K156" i="31"/>
  <c r="K157" i="31"/>
  <c r="K158" i="31"/>
  <c r="K159" i="31"/>
  <c r="K160" i="31"/>
  <c r="K161" i="31"/>
  <c r="K162" i="31"/>
  <c r="K163" i="31"/>
  <c r="K164" i="31"/>
  <c r="K165" i="31"/>
  <c r="K166" i="31"/>
  <c r="K167" i="31"/>
  <c r="K168" i="31"/>
  <c r="K169" i="31"/>
  <c r="K170" i="31"/>
  <c r="K171" i="31"/>
  <c r="K172" i="31"/>
  <c r="K173" i="31"/>
  <c r="K174" i="31"/>
  <c r="K175" i="31"/>
  <c r="K176" i="31"/>
  <c r="K177" i="31"/>
  <c r="K178" i="31"/>
  <c r="K179" i="31"/>
  <c r="K180" i="31"/>
  <c r="K181" i="31"/>
  <c r="K182" i="31"/>
  <c r="K183" i="31"/>
  <c r="K184" i="31"/>
  <c r="K185" i="31"/>
  <c r="K186" i="31"/>
  <c r="K187" i="31"/>
  <c r="K188" i="31"/>
  <c r="K189" i="31"/>
  <c r="K190" i="31"/>
  <c r="K191" i="31"/>
  <c r="K192" i="31"/>
  <c r="K193" i="31"/>
  <c r="K194" i="31"/>
  <c r="K195" i="31"/>
  <c r="K196" i="31"/>
  <c r="K197" i="31"/>
  <c r="K198" i="31"/>
  <c r="K199" i="31"/>
  <c r="K200" i="31"/>
  <c r="K201" i="31"/>
  <c r="K202" i="31"/>
  <c r="K203" i="31"/>
  <c r="K204" i="31"/>
  <c r="K205" i="31"/>
  <c r="K206" i="31"/>
  <c r="K207" i="31"/>
  <c r="K208" i="31"/>
  <c r="K209" i="31"/>
  <c r="K210" i="31"/>
  <c r="K211" i="31"/>
  <c r="K212" i="31"/>
  <c r="K213" i="31"/>
  <c r="K214" i="31"/>
  <c r="K215" i="31"/>
  <c r="K216" i="31"/>
  <c r="K217" i="31"/>
  <c r="K218" i="31"/>
  <c r="K219" i="31"/>
  <c r="K220" i="31"/>
  <c r="K221" i="31"/>
  <c r="K222" i="31"/>
  <c r="K223" i="31"/>
  <c r="K224" i="31"/>
  <c r="K225" i="31"/>
  <c r="K226" i="31"/>
  <c r="K227" i="31"/>
  <c r="K228" i="31"/>
  <c r="K229" i="31"/>
  <c r="K230" i="31"/>
  <c r="K231" i="31"/>
  <c r="K232" i="31"/>
  <c r="K233" i="31"/>
  <c r="K234" i="31"/>
  <c r="K235" i="31"/>
  <c r="K236" i="31"/>
  <c r="K237" i="31"/>
  <c r="K238" i="31"/>
  <c r="K239" i="31"/>
  <c r="K240" i="31"/>
  <c r="K241" i="31"/>
  <c r="K242" i="31"/>
  <c r="K243" i="31"/>
  <c r="K244" i="31"/>
  <c r="K245" i="31"/>
  <c r="K246" i="31"/>
  <c r="K247" i="31"/>
  <c r="K248" i="31"/>
  <c r="K249" i="31"/>
  <c r="K250" i="31"/>
  <c r="K251" i="31"/>
  <c r="K252" i="31"/>
  <c r="K253" i="31"/>
  <c r="K254" i="31"/>
  <c r="K255" i="31"/>
  <c r="K256" i="31"/>
  <c r="K257" i="31"/>
  <c r="K258" i="31"/>
  <c r="K259" i="31"/>
  <c r="K260" i="31"/>
  <c r="K261" i="31"/>
  <c r="K262" i="31"/>
  <c r="K263" i="31"/>
  <c r="K264" i="31"/>
  <c r="K265" i="31"/>
  <c r="K266" i="31"/>
  <c r="K267" i="31"/>
  <c r="K268" i="31"/>
  <c r="K269" i="31"/>
  <c r="K270" i="31"/>
  <c r="K271" i="31"/>
  <c r="K272" i="31"/>
  <c r="K273" i="31"/>
  <c r="K274" i="31"/>
  <c r="K275" i="31"/>
  <c r="K276" i="31"/>
  <c r="K277" i="31"/>
  <c r="K278" i="31"/>
  <c r="K279" i="31"/>
  <c r="K280" i="31"/>
  <c r="K281" i="31"/>
  <c r="K282" i="31"/>
  <c r="K283" i="31"/>
  <c r="K284" i="31"/>
  <c r="K285" i="31"/>
  <c r="K286" i="31"/>
  <c r="K287" i="31"/>
  <c r="K288" i="31"/>
  <c r="K289" i="31"/>
  <c r="K290" i="31"/>
  <c r="K291" i="31"/>
  <c r="K292" i="31"/>
  <c r="K293" i="31"/>
  <c r="K294" i="31"/>
  <c r="K295" i="31"/>
  <c r="K296" i="31"/>
  <c r="K297" i="31"/>
  <c r="K298" i="31"/>
  <c r="K299" i="31"/>
  <c r="K300" i="31"/>
  <c r="K301" i="31"/>
  <c r="K302" i="31"/>
  <c r="K303" i="31"/>
  <c r="K304" i="31"/>
  <c r="K305" i="31"/>
  <c r="K306" i="31"/>
  <c r="K307" i="31"/>
  <c r="K308" i="31"/>
  <c r="K309" i="31"/>
  <c r="K310" i="31"/>
  <c r="K311" i="31"/>
  <c r="K312" i="31"/>
  <c r="K313" i="31"/>
  <c r="K314" i="31"/>
  <c r="K315" i="31"/>
  <c r="K316" i="31"/>
  <c r="K317" i="31"/>
  <c r="K318" i="31"/>
  <c r="K319" i="31"/>
  <c r="K320" i="31"/>
  <c r="K321" i="31"/>
  <c r="K322" i="31"/>
  <c r="K323" i="31"/>
  <c r="K324" i="31"/>
  <c r="K325" i="31"/>
  <c r="K326" i="31"/>
  <c r="K327" i="31"/>
  <c r="K328" i="31"/>
  <c r="K329" i="31"/>
  <c r="K330" i="31"/>
  <c r="K331" i="31"/>
  <c r="K332" i="31"/>
  <c r="K333" i="31"/>
  <c r="K334" i="31"/>
  <c r="K335" i="31"/>
  <c r="K336" i="31"/>
  <c r="K337" i="31"/>
  <c r="K338" i="31"/>
  <c r="K339" i="31"/>
  <c r="K340" i="31"/>
  <c r="K341" i="31"/>
  <c r="K342" i="31"/>
  <c r="K343" i="31"/>
  <c r="K344" i="31"/>
  <c r="K345" i="31"/>
  <c r="K346" i="31"/>
  <c r="K347" i="31"/>
  <c r="K348" i="31"/>
  <c r="K349" i="31"/>
  <c r="K350" i="31"/>
  <c r="K351" i="31"/>
  <c r="K352" i="31"/>
  <c r="K353" i="31"/>
  <c r="K354" i="31"/>
  <c r="K355" i="31"/>
  <c r="K356" i="31"/>
  <c r="K357" i="31"/>
  <c r="K358" i="31"/>
  <c r="K359" i="31"/>
  <c r="K360" i="31"/>
  <c r="K361" i="31"/>
  <c r="K362" i="31"/>
  <c r="K363" i="31"/>
  <c r="K364" i="31"/>
  <c r="K365" i="31"/>
  <c r="K366" i="31"/>
  <c r="K367" i="31"/>
  <c r="K368" i="31"/>
  <c r="K369" i="31"/>
  <c r="K370" i="31"/>
  <c r="K371" i="31"/>
  <c r="K372" i="31"/>
  <c r="K373" i="31"/>
  <c r="K374" i="31"/>
  <c r="K375" i="31"/>
  <c r="K376" i="31"/>
  <c r="K377" i="31"/>
  <c r="K378" i="31"/>
  <c r="K379" i="31"/>
  <c r="K380" i="31"/>
  <c r="K381" i="31"/>
  <c r="K382" i="31"/>
  <c r="K383" i="31"/>
  <c r="K384" i="31"/>
  <c r="K385" i="31"/>
  <c r="K386" i="31"/>
  <c r="K387" i="31"/>
  <c r="K388" i="31"/>
  <c r="K389" i="31"/>
  <c r="K390" i="31"/>
  <c r="K391" i="31"/>
  <c r="K392" i="31"/>
  <c r="K393" i="31"/>
  <c r="K394" i="31"/>
  <c r="K395" i="31"/>
  <c r="K396" i="31"/>
  <c r="K397" i="31"/>
  <c r="K398" i="31"/>
  <c r="K399" i="31"/>
  <c r="K400" i="31"/>
  <c r="K401" i="31"/>
  <c r="K402" i="31"/>
  <c r="K403" i="31"/>
  <c r="K404" i="31"/>
  <c r="K405" i="31"/>
  <c r="K406" i="31"/>
  <c r="K407" i="31"/>
  <c r="K408" i="31"/>
  <c r="K409" i="31"/>
  <c r="K410" i="31"/>
  <c r="K411" i="31"/>
  <c r="K412" i="31"/>
  <c r="K413" i="31"/>
  <c r="K414" i="31"/>
  <c r="K415" i="31"/>
  <c r="K416" i="31"/>
  <c r="K417" i="31"/>
  <c r="K418" i="31"/>
  <c r="K419" i="31"/>
  <c r="K420" i="31"/>
  <c r="K421" i="31"/>
  <c r="K422" i="31"/>
  <c r="K423" i="31"/>
  <c r="K424" i="31"/>
  <c r="K425" i="31"/>
  <c r="K426" i="31"/>
  <c r="K427" i="31"/>
  <c r="K428" i="31"/>
  <c r="K429" i="31"/>
  <c r="K430" i="31"/>
  <c r="K431" i="31"/>
  <c r="K432" i="31"/>
  <c r="K433" i="31"/>
  <c r="K434" i="31"/>
  <c r="K435" i="31"/>
  <c r="K436" i="31"/>
  <c r="K437" i="31"/>
  <c r="K438" i="31"/>
  <c r="K439" i="31"/>
  <c r="K440" i="31"/>
  <c r="K441" i="31"/>
  <c r="K442" i="31"/>
  <c r="K443" i="31"/>
  <c r="K444" i="31"/>
  <c r="K445" i="31"/>
  <c r="K446" i="31"/>
  <c r="K447" i="31"/>
  <c r="K448" i="31"/>
  <c r="K449" i="31"/>
  <c r="K450" i="31"/>
  <c r="K451" i="31"/>
  <c r="K452" i="31"/>
  <c r="K453" i="31"/>
  <c r="K454" i="31"/>
  <c r="K455" i="31"/>
  <c r="K456" i="31"/>
  <c r="K457" i="31"/>
  <c r="K458" i="31"/>
  <c r="K459" i="31"/>
  <c r="K460" i="31"/>
  <c r="K461" i="31"/>
  <c r="K462" i="31"/>
  <c r="K463" i="31"/>
  <c r="K464" i="31"/>
  <c r="K465" i="31"/>
  <c r="K466" i="31"/>
  <c r="K467" i="31"/>
  <c r="K468" i="31"/>
  <c r="K469" i="31"/>
  <c r="K470" i="31"/>
  <c r="K471" i="31"/>
  <c r="K472" i="31"/>
  <c r="K473" i="31"/>
  <c r="K474" i="31"/>
  <c r="K475" i="31"/>
  <c r="K476" i="31"/>
  <c r="K477" i="31"/>
  <c r="K478" i="31"/>
  <c r="K479" i="31"/>
  <c r="K480" i="31"/>
  <c r="K481" i="31"/>
  <c r="K482" i="31"/>
  <c r="K483" i="31"/>
  <c r="K484" i="31"/>
  <c r="K485" i="31"/>
  <c r="K486" i="31"/>
  <c r="K487" i="31"/>
  <c r="K488" i="31"/>
  <c r="K489" i="31"/>
  <c r="K490" i="31"/>
  <c r="K491" i="31"/>
  <c r="K492" i="31"/>
  <c r="K493" i="31"/>
  <c r="K494" i="31"/>
  <c r="K495" i="31"/>
  <c r="K496" i="31"/>
  <c r="K497" i="31"/>
  <c r="K498" i="31"/>
  <c r="K499" i="31"/>
  <c r="K500" i="31"/>
  <c r="K501" i="31"/>
  <c r="K502" i="31"/>
  <c r="K503" i="31"/>
  <c r="K504" i="31"/>
  <c r="K505" i="31"/>
  <c r="K506" i="31"/>
  <c r="K507" i="31"/>
  <c r="K508" i="31"/>
  <c r="K509" i="31"/>
  <c r="K510" i="31"/>
  <c r="K511" i="31"/>
  <c r="K512" i="31"/>
  <c r="K513" i="31"/>
  <c r="K514" i="31"/>
  <c r="K515" i="31"/>
  <c r="K516" i="31"/>
  <c r="K517" i="31"/>
  <c r="K518" i="31"/>
  <c r="K519" i="31"/>
  <c r="K520" i="31"/>
  <c r="K521" i="31"/>
  <c r="K522" i="31"/>
  <c r="K523" i="31"/>
  <c r="K524" i="31"/>
  <c r="K525" i="31"/>
  <c r="K526" i="31"/>
  <c r="K527" i="31"/>
  <c r="K528" i="31"/>
  <c r="K529" i="31"/>
  <c r="K530" i="31"/>
  <c r="K531" i="31"/>
  <c r="K532" i="31"/>
  <c r="K533" i="31"/>
  <c r="K534" i="31"/>
  <c r="K535" i="31"/>
  <c r="K536" i="31"/>
  <c r="K537" i="31"/>
  <c r="K538" i="31"/>
  <c r="K539" i="31"/>
  <c r="K540" i="31"/>
  <c r="K541" i="31"/>
  <c r="K542" i="31"/>
  <c r="K543" i="31"/>
  <c r="K544" i="31"/>
  <c r="K545" i="31"/>
  <c r="K546" i="31"/>
  <c r="K547" i="31"/>
  <c r="K548" i="31"/>
  <c r="K549" i="31"/>
  <c r="K550" i="31"/>
  <c r="K551" i="31"/>
  <c r="K552" i="31"/>
  <c r="K553" i="31"/>
  <c r="K554" i="31"/>
  <c r="K555" i="31"/>
  <c r="K556" i="31"/>
  <c r="K557" i="31"/>
  <c r="K558" i="31"/>
  <c r="K559" i="31"/>
  <c r="K560" i="31"/>
  <c r="K561" i="31"/>
  <c r="K562" i="31"/>
  <c r="K563" i="31"/>
  <c r="K564" i="31"/>
  <c r="K565" i="31"/>
  <c r="K566" i="31"/>
  <c r="K567" i="31"/>
  <c r="K568" i="31"/>
  <c r="K569" i="31"/>
  <c r="K570" i="31"/>
  <c r="K571" i="31"/>
  <c r="K572" i="31"/>
  <c r="K573" i="31"/>
  <c r="K574" i="31"/>
  <c r="K575" i="31"/>
  <c r="K576" i="31"/>
  <c r="K577" i="31"/>
  <c r="K578" i="31"/>
  <c r="K579" i="31"/>
  <c r="K580" i="31"/>
  <c r="K581" i="31"/>
  <c r="K582" i="31"/>
  <c r="K583" i="31"/>
  <c r="K584" i="31"/>
  <c r="K585" i="31"/>
  <c r="K586" i="31"/>
  <c r="K587" i="31"/>
  <c r="K588" i="31"/>
  <c r="K589" i="31"/>
  <c r="K590" i="31"/>
  <c r="K591" i="31"/>
  <c r="K592" i="31"/>
  <c r="K593" i="31"/>
  <c r="K594" i="31"/>
  <c r="K595" i="31"/>
  <c r="K596" i="31"/>
  <c r="K597" i="31"/>
  <c r="K598" i="31"/>
  <c r="K599" i="31"/>
  <c r="K600" i="31"/>
  <c r="K601" i="31"/>
  <c r="K602" i="31"/>
  <c r="K603" i="31"/>
  <c r="K604" i="31"/>
  <c r="K605" i="31"/>
  <c r="K606" i="31"/>
  <c r="K607" i="31"/>
  <c r="K608" i="31"/>
  <c r="K609" i="31"/>
  <c r="K610" i="31"/>
  <c r="K611" i="31"/>
  <c r="K612" i="31"/>
  <c r="K613" i="31"/>
  <c r="K614" i="31"/>
  <c r="K615" i="31"/>
  <c r="K616" i="31"/>
  <c r="K617" i="31"/>
  <c r="K618" i="31"/>
  <c r="K619" i="31"/>
  <c r="K620" i="31"/>
  <c r="K621" i="31"/>
  <c r="K622" i="31"/>
  <c r="K623" i="31"/>
  <c r="K624" i="31"/>
  <c r="K625" i="31"/>
  <c r="K626" i="31"/>
  <c r="K627" i="31"/>
  <c r="K628" i="31"/>
  <c r="K629" i="31"/>
  <c r="K630" i="31"/>
  <c r="K631" i="31"/>
  <c r="K632" i="31"/>
  <c r="K633" i="31"/>
  <c r="K634" i="31"/>
  <c r="K635" i="31"/>
  <c r="K636" i="31"/>
  <c r="K637" i="31"/>
  <c r="K638" i="31"/>
  <c r="K639" i="31"/>
  <c r="K640" i="31"/>
  <c r="K641" i="31"/>
  <c r="K642" i="31"/>
  <c r="K643" i="31"/>
  <c r="K644" i="31"/>
  <c r="K645" i="31"/>
  <c r="K646" i="31"/>
  <c r="K647" i="31"/>
  <c r="K648" i="31"/>
  <c r="K649" i="31"/>
  <c r="K650" i="31"/>
  <c r="K651" i="31"/>
  <c r="K652" i="31"/>
  <c r="K653" i="31"/>
  <c r="K654" i="31"/>
  <c r="K655" i="31"/>
  <c r="K656" i="31"/>
  <c r="K657" i="31"/>
  <c r="K658" i="31"/>
  <c r="K659" i="31"/>
  <c r="K660" i="31"/>
  <c r="K661" i="31"/>
  <c r="K662" i="31"/>
  <c r="K663" i="31"/>
  <c r="K664" i="31"/>
  <c r="K665" i="31"/>
  <c r="K666" i="31"/>
  <c r="K667" i="31"/>
  <c r="K668" i="31"/>
  <c r="K669" i="31"/>
  <c r="K670" i="31"/>
  <c r="K671" i="31"/>
  <c r="K672" i="31"/>
  <c r="K673" i="31"/>
  <c r="K674" i="31"/>
  <c r="K675" i="31"/>
  <c r="K676" i="31"/>
  <c r="K677" i="31"/>
  <c r="K678" i="31"/>
  <c r="K679" i="31"/>
  <c r="K680" i="31"/>
  <c r="K681" i="31"/>
  <c r="K682" i="31"/>
  <c r="K683" i="31"/>
  <c r="K684" i="31"/>
  <c r="K685" i="31"/>
  <c r="K686" i="31"/>
  <c r="K687" i="31"/>
  <c r="K688" i="31"/>
  <c r="K689" i="31"/>
  <c r="K690" i="31"/>
  <c r="K691" i="31"/>
  <c r="K692" i="31"/>
  <c r="K693" i="31"/>
  <c r="K694" i="31"/>
  <c r="K695" i="31"/>
  <c r="K696" i="31"/>
  <c r="K697" i="31"/>
  <c r="K698" i="31"/>
  <c r="K699" i="31"/>
  <c r="K700" i="31"/>
  <c r="K701" i="31"/>
  <c r="K702" i="31"/>
  <c r="K703" i="31"/>
  <c r="K704" i="31"/>
  <c r="K705" i="31"/>
  <c r="K706" i="31"/>
  <c r="K707" i="31"/>
  <c r="K708" i="31"/>
  <c r="K709" i="31"/>
  <c r="K710" i="31"/>
  <c r="K711" i="31"/>
  <c r="K712" i="31"/>
  <c r="K713" i="31"/>
  <c r="K714" i="31"/>
  <c r="K715" i="31"/>
  <c r="K716" i="31"/>
  <c r="K717" i="31"/>
  <c r="K718" i="31"/>
  <c r="K719" i="31"/>
  <c r="K720" i="31"/>
  <c r="K721" i="31"/>
  <c r="K722" i="31"/>
  <c r="K723" i="31"/>
  <c r="K724" i="31"/>
  <c r="K725" i="31"/>
  <c r="K726" i="31"/>
  <c r="K727" i="31"/>
  <c r="K728" i="31"/>
  <c r="K729" i="31"/>
  <c r="K730" i="31"/>
  <c r="K731" i="31"/>
  <c r="K732" i="31"/>
  <c r="K733" i="31"/>
  <c r="K734" i="31"/>
  <c r="K735" i="31"/>
  <c r="K736" i="31"/>
  <c r="K737" i="31"/>
  <c r="K738" i="31"/>
  <c r="K739" i="31"/>
  <c r="K740" i="31"/>
  <c r="K741" i="31"/>
  <c r="K742" i="31"/>
  <c r="K743" i="31"/>
  <c r="K744" i="31"/>
  <c r="K745" i="31"/>
  <c r="K746" i="31"/>
  <c r="K747" i="31"/>
  <c r="K748" i="31"/>
  <c r="K749" i="31"/>
  <c r="K750" i="31"/>
  <c r="K751" i="31"/>
  <c r="K752" i="31"/>
  <c r="K753" i="31"/>
  <c r="K754" i="31"/>
  <c r="K755" i="31"/>
  <c r="K756" i="31"/>
  <c r="K757" i="31"/>
  <c r="K758" i="31"/>
  <c r="K759" i="31"/>
  <c r="K760" i="31"/>
  <c r="K761" i="31"/>
  <c r="K762" i="31"/>
  <c r="K763" i="31"/>
  <c r="K764" i="31"/>
  <c r="K765" i="31"/>
  <c r="K766" i="31"/>
  <c r="K767" i="31"/>
  <c r="K768" i="31"/>
  <c r="K769" i="31"/>
  <c r="K770" i="31"/>
  <c r="K771" i="31"/>
  <c r="K772" i="31"/>
  <c r="K773" i="31"/>
  <c r="K774" i="31"/>
  <c r="K775" i="31"/>
  <c r="K776" i="31"/>
  <c r="K777" i="31"/>
  <c r="K778" i="31"/>
  <c r="K779" i="31"/>
  <c r="K780" i="31"/>
  <c r="K781" i="31"/>
  <c r="K782" i="31"/>
  <c r="K783" i="31"/>
  <c r="K784" i="31"/>
  <c r="K785" i="31"/>
  <c r="K786" i="31"/>
  <c r="K787" i="31"/>
  <c r="K788" i="31"/>
  <c r="K789" i="31"/>
  <c r="K790" i="31"/>
  <c r="K791" i="31"/>
  <c r="K792" i="31"/>
  <c r="K793" i="31"/>
  <c r="K794" i="31"/>
  <c r="K795" i="31"/>
  <c r="K796" i="31"/>
  <c r="K797" i="31"/>
  <c r="K798" i="31"/>
  <c r="K799" i="31"/>
  <c r="K800" i="31"/>
  <c r="K801" i="31"/>
  <c r="K802" i="31"/>
  <c r="K803" i="31"/>
  <c r="K804" i="31"/>
  <c r="K805" i="31"/>
  <c r="K806" i="31"/>
  <c r="K807" i="31"/>
  <c r="K808" i="31"/>
  <c r="K809" i="31"/>
  <c r="K810" i="31"/>
  <c r="K811" i="31"/>
  <c r="K812" i="31"/>
  <c r="K813" i="31"/>
  <c r="K814" i="31"/>
  <c r="K815" i="31"/>
  <c r="K816" i="31"/>
  <c r="K817" i="31"/>
  <c r="K818" i="31"/>
  <c r="K819" i="31"/>
  <c r="K820" i="31"/>
  <c r="K821" i="31"/>
  <c r="K822" i="31"/>
  <c r="K823" i="31"/>
  <c r="K824" i="31"/>
  <c r="K825" i="31"/>
  <c r="K826" i="31"/>
  <c r="K827" i="31"/>
  <c r="K828" i="31"/>
  <c r="K829" i="31"/>
  <c r="K830" i="31"/>
  <c r="K831" i="31"/>
  <c r="K832" i="31"/>
  <c r="K833" i="31"/>
  <c r="K834" i="31"/>
  <c r="K835" i="31"/>
  <c r="K836" i="31"/>
  <c r="K837" i="31"/>
  <c r="K838" i="31"/>
  <c r="K839" i="31"/>
  <c r="K840" i="31"/>
  <c r="K841" i="31"/>
  <c r="K842" i="31"/>
  <c r="K843" i="31"/>
  <c r="K844" i="31"/>
  <c r="K845" i="31"/>
  <c r="K846" i="31"/>
  <c r="K847" i="31"/>
  <c r="K848" i="31"/>
  <c r="K849" i="31"/>
  <c r="K850" i="31"/>
  <c r="K851" i="31"/>
  <c r="K852" i="31"/>
  <c r="K853" i="31"/>
  <c r="K854" i="31"/>
  <c r="K855" i="31"/>
  <c r="K856" i="31"/>
  <c r="K857" i="31"/>
  <c r="K858" i="31"/>
  <c r="K859" i="31"/>
  <c r="K860" i="31"/>
  <c r="K861" i="31"/>
  <c r="K862" i="31"/>
  <c r="K863" i="31"/>
  <c r="K864" i="31"/>
  <c r="K865" i="31"/>
  <c r="K866" i="31"/>
  <c r="K867" i="31"/>
  <c r="K868" i="31"/>
  <c r="K869" i="31"/>
  <c r="K870" i="31"/>
  <c r="K871" i="31"/>
  <c r="K872" i="31"/>
  <c r="K873" i="31"/>
  <c r="K874" i="31"/>
  <c r="K875" i="31"/>
  <c r="K876" i="31"/>
  <c r="K877" i="31"/>
  <c r="K878" i="31"/>
  <c r="K879" i="31"/>
  <c r="K880" i="31"/>
  <c r="K881" i="31"/>
  <c r="K882" i="31"/>
  <c r="K883" i="31"/>
  <c r="K884" i="31"/>
  <c r="K885" i="31"/>
  <c r="K886" i="31"/>
  <c r="K887" i="31"/>
  <c r="K888" i="31"/>
  <c r="K889" i="31"/>
  <c r="K890" i="31"/>
  <c r="K891" i="31"/>
  <c r="K892" i="31"/>
  <c r="K893" i="31"/>
  <c r="K894" i="31"/>
  <c r="K895" i="31"/>
  <c r="K896" i="31"/>
  <c r="K897" i="31"/>
  <c r="K898" i="31"/>
  <c r="K899" i="31"/>
  <c r="K900" i="31"/>
  <c r="K901" i="31"/>
  <c r="K902" i="31"/>
  <c r="K903" i="31"/>
  <c r="K904" i="31"/>
  <c r="K905" i="31"/>
  <c r="K906" i="31"/>
  <c r="K907" i="31"/>
  <c r="K908" i="31"/>
  <c r="K909" i="31"/>
  <c r="K910" i="31"/>
  <c r="K911" i="31"/>
  <c r="K912" i="31"/>
  <c r="K913" i="31"/>
  <c r="K914" i="31"/>
  <c r="K915" i="31"/>
  <c r="K916" i="31"/>
  <c r="K917" i="31"/>
  <c r="K918" i="31"/>
  <c r="K919" i="31"/>
  <c r="K920" i="31"/>
  <c r="K921" i="31"/>
  <c r="K922" i="31"/>
  <c r="K2" i="31"/>
  <c r="AZ136" i="38" l="1"/>
  <c r="BD136" i="38"/>
  <c r="AZ147" i="38"/>
  <c r="BB147" i="38"/>
  <c r="G15" i="11" s="1"/>
  <c r="I15" i="11" s="1"/>
  <c r="J29" i="29"/>
  <c r="J30" i="29"/>
  <c r="J31" i="29"/>
  <c r="J32" i="29"/>
  <c r="J33" i="29"/>
  <c r="J28" i="29"/>
  <c r="Q6" i="30"/>
  <c r="O46" i="29" s="1"/>
  <c r="Q7" i="30"/>
  <c r="O48" i="29" s="1"/>
  <c r="P48" i="29" s="1"/>
  <c r="Q8" i="30"/>
  <c r="Q9" i="30"/>
  <c r="Q10" i="30"/>
  <c r="O47" i="29" s="1"/>
  <c r="P47" i="29" s="1"/>
  <c r="Q11" i="30"/>
  <c r="O50" i="29" s="1"/>
  <c r="P50" i="29" s="1"/>
  <c r="Q12" i="30"/>
  <c r="O52" i="29" s="1"/>
  <c r="P52" i="29" s="1"/>
  <c r="Q13" i="30"/>
  <c r="O51" i="29" s="1"/>
  <c r="P51" i="29" s="1"/>
  <c r="Q14" i="30"/>
  <c r="Q15" i="30"/>
  <c r="Q5" i="30"/>
  <c r="O49" i="29" s="1"/>
  <c r="P49" i="29" s="1"/>
  <c r="H6" i="30"/>
  <c r="O41" i="29" s="1"/>
  <c r="H7" i="30"/>
  <c r="O40" i="29" s="1"/>
  <c r="H8" i="30"/>
  <c r="O39" i="29" s="1"/>
  <c r="H9" i="30"/>
  <c r="H10" i="30"/>
  <c r="H11" i="30"/>
  <c r="H12" i="30"/>
  <c r="O45" i="29" s="1"/>
  <c r="H13" i="30"/>
  <c r="O44" i="29" s="1"/>
  <c r="H14" i="30"/>
  <c r="H15" i="30"/>
  <c r="H16" i="30"/>
  <c r="H17" i="30"/>
  <c r="H18" i="30"/>
  <c r="H19" i="30"/>
  <c r="O42" i="29" s="1"/>
  <c r="H20" i="30"/>
  <c r="H21" i="30"/>
  <c r="H5" i="30"/>
  <c r="K55" i="29" l="1"/>
  <c r="N39" i="29" s="1"/>
  <c r="L63" i="29"/>
  <c r="N46" i="29" s="1"/>
  <c r="K52" i="29"/>
  <c r="N44" i="29" s="1"/>
  <c r="K49" i="29"/>
  <c r="N42" i="29" s="1"/>
  <c r="K53" i="29"/>
  <c r="N45" i="29" s="1"/>
  <c r="K54" i="29"/>
  <c r="N41" i="29" s="1"/>
  <c r="K42" i="29"/>
  <c r="N40" i="29" s="1"/>
  <c r="N43" i="29" l="1"/>
  <c r="P40" i="29"/>
  <c r="P44" i="29"/>
  <c r="P41" i="29"/>
  <c r="P46" i="29"/>
  <c r="P45" i="29"/>
  <c r="P39" i="29"/>
  <c r="P42" i="29"/>
  <c r="N53" i="29"/>
  <c r="R48" i="29" s="1"/>
  <c r="M8" i="30"/>
  <c r="I85" i="29"/>
  <c r="I86" i="29" s="1"/>
  <c r="H85" i="29"/>
  <c r="H86" i="29" s="1"/>
  <c r="G85" i="29"/>
  <c r="G86" i="29" s="1"/>
  <c r="F85" i="29"/>
  <c r="F86" i="29" s="1"/>
  <c r="E85" i="29"/>
  <c r="E86" i="29" s="1"/>
  <c r="G75" i="29"/>
  <c r="G76" i="29" s="1"/>
  <c r="C75" i="29"/>
  <c r="E70" i="29"/>
  <c r="K69" i="29"/>
  <c r="I69" i="29"/>
  <c r="H69" i="29"/>
  <c r="F69" i="29"/>
  <c r="G69" i="29" s="1"/>
  <c r="K68" i="29"/>
  <c r="I68" i="29"/>
  <c r="H68" i="29"/>
  <c r="F68" i="29"/>
  <c r="G68" i="29" s="1"/>
  <c r="K67" i="29"/>
  <c r="I67" i="29"/>
  <c r="H67" i="29"/>
  <c r="F67" i="29"/>
  <c r="G67" i="29" s="1"/>
  <c r="K66" i="29"/>
  <c r="I66" i="29"/>
  <c r="H66" i="29"/>
  <c r="F66" i="29"/>
  <c r="G66" i="29" s="1"/>
  <c r="K65" i="29"/>
  <c r="I65" i="29"/>
  <c r="H65" i="29"/>
  <c r="F65" i="29"/>
  <c r="G65" i="29" s="1"/>
  <c r="K64" i="29"/>
  <c r="I64" i="29"/>
  <c r="H64" i="29"/>
  <c r="F64" i="29"/>
  <c r="G64" i="29" s="1"/>
  <c r="K63" i="29"/>
  <c r="I63" i="29"/>
  <c r="H63" i="29"/>
  <c r="F63" i="29"/>
  <c r="G63" i="29" s="1"/>
  <c r="K62" i="29"/>
  <c r="I62" i="29"/>
  <c r="H62" i="29"/>
  <c r="G62" i="29"/>
  <c r="F62" i="29"/>
  <c r="K61" i="29"/>
  <c r="I61" i="29"/>
  <c r="H61" i="29"/>
  <c r="F61" i="29"/>
  <c r="G61" i="29" s="1"/>
  <c r="E56" i="29"/>
  <c r="J55" i="29"/>
  <c r="I55" i="29"/>
  <c r="H55" i="29"/>
  <c r="F55" i="29"/>
  <c r="G55" i="29" s="1"/>
  <c r="B55" i="29"/>
  <c r="J54" i="29"/>
  <c r="I54" i="29"/>
  <c r="H54" i="29"/>
  <c r="F54" i="29"/>
  <c r="G54" i="29" s="1"/>
  <c r="B54" i="29"/>
  <c r="J53" i="29"/>
  <c r="I53" i="29"/>
  <c r="H53" i="29"/>
  <c r="F53" i="29"/>
  <c r="G53" i="29" s="1"/>
  <c r="B53" i="29"/>
  <c r="J52" i="29"/>
  <c r="I52" i="29"/>
  <c r="H52" i="29"/>
  <c r="F52" i="29"/>
  <c r="G52" i="29" s="1"/>
  <c r="B52" i="29"/>
  <c r="J51" i="29"/>
  <c r="I51" i="29"/>
  <c r="H51" i="29"/>
  <c r="F51" i="29"/>
  <c r="G51" i="29" s="1"/>
  <c r="B51" i="29"/>
  <c r="J50" i="29"/>
  <c r="I50" i="29"/>
  <c r="H50" i="29"/>
  <c r="F50" i="29"/>
  <c r="G50" i="29" s="1"/>
  <c r="B50" i="29"/>
  <c r="J49" i="29"/>
  <c r="I49" i="29"/>
  <c r="H49" i="29"/>
  <c r="F49" i="29"/>
  <c r="G49" i="29" s="1"/>
  <c r="E44" i="29"/>
  <c r="J43" i="29"/>
  <c r="I43" i="29"/>
  <c r="H43" i="29"/>
  <c r="F43" i="29"/>
  <c r="G43" i="29" s="1"/>
  <c r="B43" i="29"/>
  <c r="J42" i="29"/>
  <c r="I42" i="29"/>
  <c r="H42" i="29"/>
  <c r="F42" i="29"/>
  <c r="G42" i="29" s="1"/>
  <c r="B42" i="29"/>
  <c r="J41" i="29"/>
  <c r="I41" i="29"/>
  <c r="H41" i="29"/>
  <c r="F41" i="29"/>
  <c r="G41" i="29" s="1"/>
  <c r="B41" i="29"/>
  <c r="J40" i="29"/>
  <c r="I40" i="29"/>
  <c r="H40" i="29"/>
  <c r="F40" i="29"/>
  <c r="G40" i="29" s="1"/>
  <c r="B40" i="29"/>
  <c r="J39" i="29"/>
  <c r="I39" i="29"/>
  <c r="H39" i="29"/>
  <c r="F39" i="29"/>
  <c r="G39" i="29" s="1"/>
  <c r="E34" i="29"/>
  <c r="I33" i="29"/>
  <c r="H33" i="29"/>
  <c r="F33" i="29"/>
  <c r="G33" i="29" s="1"/>
  <c r="I32" i="29"/>
  <c r="H32" i="29"/>
  <c r="F32" i="29"/>
  <c r="G32" i="29" s="1"/>
  <c r="I31" i="29"/>
  <c r="H31" i="29"/>
  <c r="F31" i="29"/>
  <c r="G31" i="29" s="1"/>
  <c r="I30" i="29"/>
  <c r="H30" i="29"/>
  <c r="F30" i="29"/>
  <c r="G30" i="29" s="1"/>
  <c r="I29" i="29"/>
  <c r="H29" i="29"/>
  <c r="F29" i="29"/>
  <c r="G29" i="29" s="1"/>
  <c r="I28" i="29"/>
  <c r="H28" i="29"/>
  <c r="F28" i="29"/>
  <c r="G28" i="29" s="1"/>
  <c r="G24" i="29"/>
  <c r="G23" i="29"/>
  <c r="G21" i="29"/>
  <c r="G20" i="29"/>
  <c r="H17" i="29"/>
  <c r="I17" i="29" s="1"/>
  <c r="G17" i="29"/>
  <c r="G16" i="29"/>
  <c r="H16" i="29" s="1"/>
  <c r="I16" i="29" s="1"/>
  <c r="F15" i="29"/>
  <c r="G15" i="29" s="1"/>
  <c r="H15" i="29" s="1"/>
  <c r="I15" i="29" s="1"/>
  <c r="G14" i="29"/>
  <c r="H14" i="29" s="1"/>
  <c r="I14" i="29" s="1"/>
  <c r="G13" i="29"/>
  <c r="H13" i="29" s="1"/>
  <c r="G8" i="29"/>
  <c r="E8" i="29"/>
  <c r="F7" i="29"/>
  <c r="H7" i="29" s="1"/>
  <c r="F6" i="29"/>
  <c r="F4" i="29"/>
  <c r="J56" i="29" l="1"/>
  <c r="P43" i="29"/>
  <c r="Q43" i="29" s="1"/>
  <c r="I70" i="29"/>
  <c r="R47" i="29"/>
  <c r="W40" i="29" s="1"/>
  <c r="R42" i="29"/>
  <c r="R45" i="29"/>
  <c r="R41" i="29"/>
  <c r="R40" i="29"/>
  <c r="R49" i="29"/>
  <c r="N62" i="29"/>
  <c r="N66" i="29"/>
  <c r="N61" i="29"/>
  <c r="Q61" i="29" s="1"/>
  <c r="R61" i="29" s="1"/>
  <c r="N63" i="29"/>
  <c r="P63" i="29" s="1"/>
  <c r="N67" i="29"/>
  <c r="N64" i="29"/>
  <c r="N68" i="29"/>
  <c r="N65" i="29"/>
  <c r="N69" i="29"/>
  <c r="P53" i="29"/>
  <c r="Q53" i="29" s="1"/>
  <c r="R51" i="29"/>
  <c r="R52" i="29"/>
  <c r="R39" i="29"/>
  <c r="R46" i="29"/>
  <c r="R44" i="29"/>
  <c r="R50" i="29"/>
  <c r="H70" i="29"/>
  <c r="I44" i="29"/>
  <c r="H56" i="29"/>
  <c r="H34" i="29"/>
  <c r="G34" i="29"/>
  <c r="G35" i="29" s="1"/>
  <c r="I34" i="29"/>
  <c r="H21" i="29" s="1"/>
  <c r="J44" i="29"/>
  <c r="J57" i="29" s="1"/>
  <c r="H24" i="29" s="1"/>
  <c r="I24" i="29" s="1"/>
  <c r="I56" i="29"/>
  <c r="K70" i="29"/>
  <c r="H23" i="29" s="1"/>
  <c r="I23" i="29" s="1"/>
  <c r="F5" i="29"/>
  <c r="F8" i="29" s="1"/>
  <c r="H8" i="29" s="1"/>
  <c r="H44" i="29"/>
  <c r="I21" i="29"/>
  <c r="J21" i="29" s="1"/>
  <c r="G44" i="29"/>
  <c r="G45" i="29" s="1"/>
  <c r="J6" i="29"/>
  <c r="G56" i="29"/>
  <c r="G57" i="29" s="1"/>
  <c r="G70" i="29"/>
  <c r="G71" i="29" s="1"/>
  <c r="H4" i="29"/>
  <c r="H75" i="29"/>
  <c r="H6" i="29"/>
  <c r="W39" i="29" l="1"/>
  <c r="J5" i="29"/>
  <c r="Q67" i="29"/>
  <c r="R67" i="29" s="1"/>
  <c r="W41" i="29"/>
  <c r="H5" i="29"/>
  <c r="H22" i="29"/>
  <c r="Q65" i="29"/>
  <c r="R65" i="29" s="1"/>
  <c r="S39" i="29"/>
  <c r="W43" i="29" s="1"/>
  <c r="E75" i="29"/>
  <c r="H76" i="29"/>
  <c r="W42" i="29" l="1"/>
  <c r="E76" i="29"/>
  <c r="G22" i="29" s="1"/>
  <c r="I22" i="29" s="1"/>
  <c r="J22" i="29" s="1"/>
  <c r="I75" i="29"/>
  <c r="I76" i="29" s="1"/>
  <c r="H20" i="29" s="1"/>
  <c r="I20" i="29" s="1"/>
  <c r="J20" i="29" s="1"/>
  <c r="E32" i="28" l="1"/>
  <c r="D32" i="28"/>
  <c r="B16" i="28"/>
  <c r="B15" i="28"/>
  <c r="B14" i="28"/>
  <c r="B13" i="28"/>
  <c r="B12" i="28"/>
  <c r="B11" i="28"/>
  <c r="B10" i="28"/>
  <c r="B9" i="28"/>
  <c r="B8" i="28"/>
  <c r="B7" i="28"/>
  <c r="B6" i="28"/>
  <c r="B5" i="28"/>
  <c r="B4" i="28"/>
  <c r="G3" i="28"/>
  <c r="B3" i="28"/>
  <c r="F2" i="28"/>
  <c r="E33" i="28" l="1"/>
  <c r="G2" i="38"/>
  <c r="G2" i="37"/>
  <c r="D33" i="28"/>
  <c r="F2" i="38"/>
  <c r="F2" i="37"/>
  <c r="B32" i="28"/>
  <c r="F2" i="15"/>
  <c r="C32" i="28"/>
  <c r="C2" i="28"/>
  <c r="B2" i="28" s="1"/>
  <c r="G2" i="15"/>
  <c r="E2" i="38" l="1"/>
  <c r="E2" i="37"/>
  <c r="G3" i="15"/>
  <c r="G3" i="38"/>
  <c r="G3" i="37"/>
  <c r="F3" i="15"/>
  <c r="F3" i="38"/>
  <c r="F3" i="37"/>
  <c r="D2" i="38"/>
  <c r="D2" i="37"/>
  <c r="C33" i="28"/>
  <c r="E2" i="15"/>
  <c r="B33" i="28"/>
  <c r="D2" i="15"/>
  <c r="AN30" i="28"/>
  <c r="AZ81" i="38" l="1"/>
  <c r="AZ83" i="38" s="1"/>
  <c r="G81" i="38"/>
  <c r="G83" i="38" s="1"/>
  <c r="K81" i="38"/>
  <c r="K83" i="38" s="1"/>
  <c r="O81" i="38"/>
  <c r="O83" i="38" s="1"/>
  <c r="S81" i="38"/>
  <c r="S83" i="38" s="1"/>
  <c r="W81" i="38"/>
  <c r="W83" i="38" s="1"/>
  <c r="AA81" i="38"/>
  <c r="AA83" i="38" s="1"/>
  <c r="AE81" i="38"/>
  <c r="AE83" i="38" s="1"/>
  <c r="AI81" i="38"/>
  <c r="AI83" i="38" s="1"/>
  <c r="AM81" i="38"/>
  <c r="AM83" i="38" s="1"/>
  <c r="AQ81" i="38"/>
  <c r="AQ83" i="38" s="1"/>
  <c r="AU81" i="38"/>
  <c r="AU83" i="38" s="1"/>
  <c r="I81" i="38"/>
  <c r="I83" i="38" s="1"/>
  <c r="T81" i="38"/>
  <c r="T83" i="38" s="1"/>
  <c r="Y81" i="38"/>
  <c r="Y83" i="38" s="1"/>
  <c r="AJ81" i="38"/>
  <c r="AJ83" i="38" s="1"/>
  <c r="AO81" i="38"/>
  <c r="AO83" i="38" s="1"/>
  <c r="E81" i="38"/>
  <c r="E83" i="38" s="1"/>
  <c r="P81" i="38"/>
  <c r="P83" i="38" s="1"/>
  <c r="U81" i="38"/>
  <c r="U83" i="38" s="1"/>
  <c r="AF81" i="38"/>
  <c r="AF83" i="38" s="1"/>
  <c r="AK81" i="38"/>
  <c r="AK83" i="38" s="1"/>
  <c r="AV81" i="38"/>
  <c r="AV83" i="38" s="1"/>
  <c r="Q81" i="38"/>
  <c r="Q83" i="38" s="1"/>
  <c r="AB81" i="38"/>
  <c r="AB83" i="38" s="1"/>
  <c r="H81" i="38"/>
  <c r="H83" i="38" s="1"/>
  <c r="R81" i="38"/>
  <c r="R83" i="38" s="1"/>
  <c r="AC81" i="38"/>
  <c r="AC83" i="38" s="1"/>
  <c r="AN81" i="38"/>
  <c r="AN83" i="38" s="1"/>
  <c r="L81" i="38"/>
  <c r="L83" i="38" s="1"/>
  <c r="AG81" i="38"/>
  <c r="AG83" i="38" s="1"/>
  <c r="AR81" i="38"/>
  <c r="AR83" i="38" s="1"/>
  <c r="M81" i="38"/>
  <c r="M83" i="38" s="1"/>
  <c r="X81" i="38"/>
  <c r="X83" i="38" s="1"/>
  <c r="AH81" i="38"/>
  <c r="AH83" i="38" s="1"/>
  <c r="AS81" i="38"/>
  <c r="AS83" i="38" s="1"/>
  <c r="Z81" i="38"/>
  <c r="Z83" i="38" s="1"/>
  <c r="D81" i="38"/>
  <c r="D83" i="38" s="1"/>
  <c r="AL81" i="38"/>
  <c r="AL83" i="38" s="1"/>
  <c r="AT81" i="38"/>
  <c r="AT83" i="38" s="1"/>
  <c r="N81" i="38"/>
  <c r="N83" i="38" s="1"/>
  <c r="AD81" i="38"/>
  <c r="AD83" i="38" s="1"/>
  <c r="V81" i="38"/>
  <c r="V83" i="38" s="1"/>
  <c r="AP81" i="38"/>
  <c r="AP83" i="38" s="1"/>
  <c r="J81" i="38"/>
  <c r="J83" i="38" s="1"/>
  <c r="F81" i="38"/>
  <c r="F83" i="38" s="1"/>
  <c r="E3" i="15"/>
  <c r="E3" i="38"/>
  <c r="E3" i="37"/>
  <c r="AI44" i="37"/>
  <c r="AI46" i="37" s="1"/>
  <c r="AI49" i="37" s="1"/>
  <c r="Q44" i="37"/>
  <c r="Q46" i="37" s="1"/>
  <c r="Q49" i="37" s="1"/>
  <c r="AO44" i="37"/>
  <c r="AO46" i="37" s="1"/>
  <c r="AO49" i="37" s="1"/>
  <c r="K44" i="37"/>
  <c r="K46" i="37" s="1"/>
  <c r="K49" i="37" s="1"/>
  <c r="AV44" i="37"/>
  <c r="AV46" i="37" s="1"/>
  <c r="AV49" i="37" s="1"/>
  <c r="E44" i="37"/>
  <c r="E46" i="37" s="1"/>
  <c r="E49" i="37" s="1"/>
  <c r="H44" i="37"/>
  <c r="H46" i="37" s="1"/>
  <c r="H49" i="37" s="1"/>
  <c r="X44" i="37"/>
  <c r="X46" i="37" s="1"/>
  <c r="X49" i="37" s="1"/>
  <c r="R44" i="37"/>
  <c r="R46" i="37" s="1"/>
  <c r="R49" i="37" s="1"/>
  <c r="AH44" i="37"/>
  <c r="AH46" i="37" s="1"/>
  <c r="AH49" i="37" s="1"/>
  <c r="AQ44" i="37"/>
  <c r="AQ46" i="37" s="1"/>
  <c r="AQ49" i="37" s="1"/>
  <c r="AJ44" i="37"/>
  <c r="AJ46" i="37" s="1"/>
  <c r="AJ49" i="37" s="1"/>
  <c r="N44" i="37"/>
  <c r="N46" i="37" s="1"/>
  <c r="N49" i="37" s="1"/>
  <c r="AT44" i="37"/>
  <c r="AT46" i="37" s="1"/>
  <c r="AT49" i="37" s="1"/>
  <c r="AN44" i="37"/>
  <c r="AN46" i="37" s="1"/>
  <c r="AN49" i="37" s="1"/>
  <c r="G44" i="37"/>
  <c r="G46" i="37" s="1"/>
  <c r="G49" i="37" s="1"/>
  <c r="Y44" i="37"/>
  <c r="Y46" i="37" s="1"/>
  <c r="Y49" i="37" s="1"/>
  <c r="AS44" i="37"/>
  <c r="AS46" i="37" s="1"/>
  <c r="AS49" i="37" s="1"/>
  <c r="AA44" i="37"/>
  <c r="AA46" i="37" s="1"/>
  <c r="AA49" i="37" s="1"/>
  <c r="P44" i="37"/>
  <c r="P46" i="37" s="1"/>
  <c r="P49" i="37" s="1"/>
  <c r="U44" i="37"/>
  <c r="U46" i="37" s="1"/>
  <c r="U49" i="37" s="1"/>
  <c r="AU44" i="37"/>
  <c r="AU46" i="37" s="1"/>
  <c r="AU49" i="37" s="1"/>
  <c r="O44" i="37"/>
  <c r="O46" i="37" s="1"/>
  <c r="O49" i="37" s="1"/>
  <c r="F44" i="37"/>
  <c r="F46" i="37" s="1"/>
  <c r="F49" i="37" s="1"/>
  <c r="V44" i="37"/>
  <c r="V46" i="37" s="1"/>
  <c r="V49" i="37" s="1"/>
  <c r="AL44" i="37"/>
  <c r="AL46" i="37" s="1"/>
  <c r="AL49" i="37" s="1"/>
  <c r="AE44" i="37"/>
  <c r="AE46" i="37" s="1"/>
  <c r="AE49" i="37" s="1"/>
  <c r="S44" i="37"/>
  <c r="S46" i="37" s="1"/>
  <c r="S49" i="37" s="1"/>
  <c r="T44" i="37"/>
  <c r="T46" i="37" s="1"/>
  <c r="T49" i="37" s="1"/>
  <c r="I44" i="37"/>
  <c r="I46" i="37" s="1"/>
  <c r="I49" i="37" s="1"/>
  <c r="AC44" i="37"/>
  <c r="AC46" i="37" s="1"/>
  <c r="AC49" i="37" s="1"/>
  <c r="AM44" i="37"/>
  <c r="AM46" i="37" s="1"/>
  <c r="AM49" i="37" s="1"/>
  <c r="D44" i="37"/>
  <c r="AF44" i="37"/>
  <c r="AF46" i="37" s="1"/>
  <c r="AF49" i="37" s="1"/>
  <c r="AK44" i="37"/>
  <c r="AK46" i="37" s="1"/>
  <c r="AK49" i="37" s="1"/>
  <c r="W44" i="37"/>
  <c r="W46" i="37" s="1"/>
  <c r="W49" i="37" s="1"/>
  <c r="J44" i="37"/>
  <c r="J46" i="37" s="1"/>
  <c r="J49" i="37" s="1"/>
  <c r="Z44" i="37"/>
  <c r="Z46" i="37" s="1"/>
  <c r="Z49" i="37" s="1"/>
  <c r="AP44" i="37"/>
  <c r="AP46" i="37" s="1"/>
  <c r="AP49" i="37" s="1"/>
  <c r="AB44" i="37"/>
  <c r="AB46" i="37" s="1"/>
  <c r="AB49" i="37" s="1"/>
  <c r="M44" i="37"/>
  <c r="M46" i="37" s="1"/>
  <c r="M49" i="37" s="1"/>
  <c r="AG44" i="37"/>
  <c r="AG46" i="37" s="1"/>
  <c r="AG49" i="37" s="1"/>
  <c r="L44" i="37"/>
  <c r="L46" i="37" s="1"/>
  <c r="L49" i="37" s="1"/>
  <c r="AR44" i="37"/>
  <c r="AR46" i="37" s="1"/>
  <c r="AR49" i="37" s="1"/>
  <c r="AD44" i="37"/>
  <c r="AD46" i="37" s="1"/>
  <c r="AD49" i="37" s="1"/>
  <c r="BE44" i="37"/>
  <c r="BE46" i="37" s="1"/>
  <c r="BE49" i="37" s="1"/>
  <c r="D3" i="15"/>
  <c r="D3" i="38"/>
  <c r="D3" i="37"/>
  <c r="BB81" i="38"/>
  <c r="BB83" i="38" s="1"/>
  <c r="BD81" i="38"/>
  <c r="BD83" i="38" s="1"/>
  <c r="AK30" i="28"/>
  <c r="V86" i="38" l="1"/>
  <c r="V88" i="38" s="1"/>
  <c r="V113" i="38"/>
  <c r="R86" i="38"/>
  <c r="R88" i="38" s="1"/>
  <c r="R113" i="38"/>
  <c r="AQ86" i="38"/>
  <c r="AQ88" i="38" s="1"/>
  <c r="AQ113" i="38"/>
  <c r="AP86" i="38"/>
  <c r="AP88" i="38" s="1"/>
  <c r="AP113" i="38"/>
  <c r="AT86" i="38"/>
  <c r="AT88" i="38" s="1"/>
  <c r="AT113" i="38"/>
  <c r="AS86" i="38"/>
  <c r="AS88" i="38" s="1"/>
  <c r="AS113" i="38"/>
  <c r="AR86" i="38"/>
  <c r="AR88" i="38" s="1"/>
  <c r="AR113" i="38"/>
  <c r="AC86" i="38"/>
  <c r="AC88" i="38" s="1"/>
  <c r="AC113" i="38"/>
  <c r="Q86" i="38"/>
  <c r="Q88" i="38" s="1"/>
  <c r="Q113" i="38"/>
  <c r="U86" i="38"/>
  <c r="U88" i="38" s="1"/>
  <c r="U113" i="38"/>
  <c r="AJ86" i="38"/>
  <c r="AJ88" i="38" s="1"/>
  <c r="AJ113" i="38"/>
  <c r="AU86" i="38"/>
  <c r="AU88" i="38" s="1"/>
  <c r="AU113" i="38"/>
  <c r="AE86" i="38"/>
  <c r="AE88" i="38" s="1"/>
  <c r="AE113" i="38"/>
  <c r="O86" i="38"/>
  <c r="O88" i="38" s="1"/>
  <c r="O113" i="38"/>
  <c r="AH86" i="38"/>
  <c r="AH88" i="38" s="1"/>
  <c r="AH113" i="38"/>
  <c r="AV86" i="38"/>
  <c r="AV88" i="38" s="1"/>
  <c r="AV113" i="38"/>
  <c r="Y86" i="38"/>
  <c r="Y88" i="38" s="1"/>
  <c r="Y113" i="38"/>
  <c r="K86" i="38"/>
  <c r="K88" i="38" s="1"/>
  <c r="K113" i="38"/>
  <c r="F86" i="38"/>
  <c r="F88" i="38" s="1"/>
  <c r="F113" i="38"/>
  <c r="AD86" i="38"/>
  <c r="AD88" i="38" s="1"/>
  <c r="AD113" i="38"/>
  <c r="D86" i="38"/>
  <c r="D88" i="38" s="1"/>
  <c r="D113" i="38"/>
  <c r="X86" i="38"/>
  <c r="X88" i="38" s="1"/>
  <c r="X113" i="38"/>
  <c r="L86" i="38"/>
  <c r="L88" i="38" s="1"/>
  <c r="L113" i="38"/>
  <c r="H86" i="38"/>
  <c r="H88" i="38" s="1"/>
  <c r="H113" i="38"/>
  <c r="AK86" i="38"/>
  <c r="AK88" i="38" s="1"/>
  <c r="AK113" i="38"/>
  <c r="E86" i="38"/>
  <c r="E88" i="38" s="1"/>
  <c r="E113" i="38"/>
  <c r="T86" i="38"/>
  <c r="T88" i="38" s="1"/>
  <c r="T113" i="38"/>
  <c r="AM86" i="38"/>
  <c r="AM88" i="38" s="1"/>
  <c r="AM113" i="38"/>
  <c r="W86" i="38"/>
  <c r="W88" i="38" s="1"/>
  <c r="W113" i="38"/>
  <c r="G86" i="38"/>
  <c r="G88" i="38" s="1"/>
  <c r="G113" i="38"/>
  <c r="AL86" i="38"/>
  <c r="AL88" i="38" s="1"/>
  <c r="AL113" i="38"/>
  <c r="AG86" i="38"/>
  <c r="AG88" i="38" s="1"/>
  <c r="AG113" i="38"/>
  <c r="P86" i="38"/>
  <c r="P88" i="38" s="1"/>
  <c r="P113" i="38"/>
  <c r="AA86" i="38"/>
  <c r="AA88" i="38" s="1"/>
  <c r="AA113" i="38"/>
  <c r="G82" i="38"/>
  <c r="G84" i="38" s="1"/>
  <c r="K82" i="38"/>
  <c r="K84" i="38" s="1"/>
  <c r="O82" i="38"/>
  <c r="O84" i="38" s="1"/>
  <c r="S82" i="38"/>
  <c r="S84" i="38" s="1"/>
  <c r="W82" i="38"/>
  <c r="W84" i="38" s="1"/>
  <c r="AA82" i="38"/>
  <c r="AA84" i="38" s="1"/>
  <c r="AE82" i="38"/>
  <c r="AE84" i="38" s="1"/>
  <c r="AI82" i="38"/>
  <c r="AI84" i="38" s="1"/>
  <c r="AM82" i="38"/>
  <c r="AM84" i="38" s="1"/>
  <c r="AQ82" i="38"/>
  <c r="AQ84" i="38" s="1"/>
  <c r="AU82" i="38"/>
  <c r="AU84" i="38" s="1"/>
  <c r="H82" i="38"/>
  <c r="H84" i="38" s="1"/>
  <c r="M82" i="38"/>
  <c r="M84" i="38" s="1"/>
  <c r="R82" i="38"/>
  <c r="R84" i="38" s="1"/>
  <c r="X82" i="38"/>
  <c r="X84" i="38" s="1"/>
  <c r="AC82" i="38"/>
  <c r="AC84" i="38" s="1"/>
  <c r="AH82" i="38"/>
  <c r="AH84" i="38" s="1"/>
  <c r="AN82" i="38"/>
  <c r="AN84" i="38" s="1"/>
  <c r="AS82" i="38"/>
  <c r="AS84" i="38" s="1"/>
  <c r="I82" i="38"/>
  <c r="I84" i="38" s="1"/>
  <c r="N82" i="38"/>
  <c r="N84" i="38" s="1"/>
  <c r="T82" i="38"/>
  <c r="T84" i="38" s="1"/>
  <c r="Y82" i="38"/>
  <c r="Y84" i="38" s="1"/>
  <c r="AD82" i="38"/>
  <c r="AD84" i="38" s="1"/>
  <c r="AJ82" i="38"/>
  <c r="AJ84" i="38" s="1"/>
  <c r="AO82" i="38"/>
  <c r="AO84" i="38" s="1"/>
  <c r="AT82" i="38"/>
  <c r="AT84" i="38" s="1"/>
  <c r="E82" i="38"/>
  <c r="E84" i="38" s="1"/>
  <c r="P82" i="38"/>
  <c r="P84" i="38" s="1"/>
  <c r="Z82" i="38"/>
  <c r="Z84" i="38" s="1"/>
  <c r="AK82" i="38"/>
  <c r="AK84" i="38" s="1"/>
  <c r="AV82" i="38"/>
  <c r="AV84" i="38" s="1"/>
  <c r="F82" i="38"/>
  <c r="F84" i="38" s="1"/>
  <c r="J82" i="38"/>
  <c r="J84" i="38" s="1"/>
  <c r="U82" i="38"/>
  <c r="U84" i="38" s="1"/>
  <c r="AF82" i="38"/>
  <c r="AF84" i="38" s="1"/>
  <c r="AP82" i="38"/>
  <c r="AP84" i="38" s="1"/>
  <c r="L82" i="38"/>
  <c r="L84" i="38" s="1"/>
  <c r="AG82" i="38"/>
  <c r="AG84" i="38" s="1"/>
  <c r="Q82" i="38"/>
  <c r="Q84" i="38" s="1"/>
  <c r="AL82" i="38"/>
  <c r="AL84" i="38" s="1"/>
  <c r="V82" i="38"/>
  <c r="V84" i="38" s="1"/>
  <c r="AR82" i="38"/>
  <c r="AR84" i="38" s="1"/>
  <c r="AB82" i="38"/>
  <c r="AB84" i="38" s="1"/>
  <c r="D82" i="38"/>
  <c r="D84" i="38" s="1"/>
  <c r="J86" i="38"/>
  <c r="J88" i="38" s="1"/>
  <c r="J113" i="38"/>
  <c r="N86" i="38"/>
  <c r="N88" i="38" s="1"/>
  <c r="N113" i="38"/>
  <c r="Z86" i="38"/>
  <c r="Z88" i="38" s="1"/>
  <c r="Z113" i="38"/>
  <c r="M86" i="38"/>
  <c r="M88" i="38" s="1"/>
  <c r="M113" i="38"/>
  <c r="AN86" i="38"/>
  <c r="AN88" i="38" s="1"/>
  <c r="AN113" i="38"/>
  <c r="AB86" i="38"/>
  <c r="AB88" i="38" s="1"/>
  <c r="AB113" i="38"/>
  <c r="AF86" i="38"/>
  <c r="AF88" i="38" s="1"/>
  <c r="AF113" i="38"/>
  <c r="AO86" i="38"/>
  <c r="AO88" i="38" s="1"/>
  <c r="AO113" i="38"/>
  <c r="I86" i="38"/>
  <c r="I88" i="38" s="1"/>
  <c r="I113" i="38"/>
  <c r="AI86" i="38"/>
  <c r="AI88" i="38" s="1"/>
  <c r="AI113" i="38"/>
  <c r="S86" i="38"/>
  <c r="S88" i="38" s="1"/>
  <c r="S113" i="38"/>
  <c r="AZ82" i="38"/>
  <c r="AZ84" i="38" s="1"/>
  <c r="BD113" i="38"/>
  <c r="BD86" i="38"/>
  <c r="BD88" i="38" s="1"/>
  <c r="AS45" i="37"/>
  <c r="AS47" i="37" s="1"/>
  <c r="AS50" i="37" s="1"/>
  <c r="AC45" i="37"/>
  <c r="AC47" i="37" s="1"/>
  <c r="AC50" i="37" s="1"/>
  <c r="M45" i="37"/>
  <c r="M47" i="37" s="1"/>
  <c r="M50" i="37" s="1"/>
  <c r="AP45" i="37"/>
  <c r="AP47" i="37" s="1"/>
  <c r="AP50" i="37" s="1"/>
  <c r="T45" i="37"/>
  <c r="T47" i="37" s="1"/>
  <c r="T50" i="37" s="1"/>
  <c r="AT45" i="37"/>
  <c r="AT47" i="37" s="1"/>
  <c r="AT50" i="37" s="1"/>
  <c r="X45" i="37"/>
  <c r="X47" i="37" s="1"/>
  <c r="X50" i="37" s="1"/>
  <c r="L45" i="37"/>
  <c r="L47" i="37" s="1"/>
  <c r="L50" i="37" s="1"/>
  <c r="AA45" i="37"/>
  <c r="AA47" i="37" s="1"/>
  <c r="AA50" i="37" s="1"/>
  <c r="AM45" i="37"/>
  <c r="AM47" i="37" s="1"/>
  <c r="AM50" i="37" s="1"/>
  <c r="G45" i="37"/>
  <c r="G47" i="37" s="1"/>
  <c r="G50" i="37" s="1"/>
  <c r="AQ45" i="37"/>
  <c r="AQ47" i="37" s="1"/>
  <c r="AQ50" i="37" s="1"/>
  <c r="Q45" i="37"/>
  <c r="Q47" i="37" s="1"/>
  <c r="Q50" i="37" s="1"/>
  <c r="D45" i="37"/>
  <c r="AR45" i="37"/>
  <c r="AR47" i="37" s="1"/>
  <c r="AR50" i="37" s="1"/>
  <c r="P45" i="37"/>
  <c r="P47" i="37" s="1"/>
  <c r="P50" i="37" s="1"/>
  <c r="AB45" i="37"/>
  <c r="AB47" i="37" s="1"/>
  <c r="AB50" i="37" s="1"/>
  <c r="AF45" i="37"/>
  <c r="AF47" i="37" s="1"/>
  <c r="AF50" i="37" s="1"/>
  <c r="AO45" i="37"/>
  <c r="AO47" i="37" s="1"/>
  <c r="AO50" i="37" s="1"/>
  <c r="Y45" i="37"/>
  <c r="Y47" i="37" s="1"/>
  <c r="Y50" i="37" s="1"/>
  <c r="I45" i="37"/>
  <c r="I47" i="37" s="1"/>
  <c r="I50" i="37" s="1"/>
  <c r="AJ45" i="37"/>
  <c r="AJ47" i="37" s="1"/>
  <c r="AJ50" i="37" s="1"/>
  <c r="O45" i="37"/>
  <c r="O47" i="37" s="1"/>
  <c r="O50" i="37" s="1"/>
  <c r="AN45" i="37"/>
  <c r="AN47" i="37" s="1"/>
  <c r="AN50" i="37" s="1"/>
  <c r="S45" i="37"/>
  <c r="S47" i="37" s="1"/>
  <c r="S50" i="37" s="1"/>
  <c r="W45" i="37"/>
  <c r="W47" i="37" s="1"/>
  <c r="W50" i="37" s="1"/>
  <c r="AL45" i="37"/>
  <c r="AL47" i="37" s="1"/>
  <c r="AL50" i="37" s="1"/>
  <c r="K45" i="37"/>
  <c r="K47" i="37" s="1"/>
  <c r="K50" i="37" s="1"/>
  <c r="AU45" i="37"/>
  <c r="AU47" i="37" s="1"/>
  <c r="AU50" i="37" s="1"/>
  <c r="AK45" i="37"/>
  <c r="AK47" i="37" s="1"/>
  <c r="AK50" i="37" s="1"/>
  <c r="U45" i="37"/>
  <c r="U47" i="37" s="1"/>
  <c r="U50" i="37" s="1"/>
  <c r="E45" i="37"/>
  <c r="E47" i="37" s="1"/>
  <c r="E50" i="37" s="1"/>
  <c r="AE45" i="37"/>
  <c r="AE47" i="37" s="1"/>
  <c r="AE50" i="37" s="1"/>
  <c r="J45" i="37"/>
  <c r="J47" i="37" s="1"/>
  <c r="J50" i="37" s="1"/>
  <c r="AI45" i="37"/>
  <c r="AI47" i="37" s="1"/>
  <c r="AI50" i="37" s="1"/>
  <c r="N45" i="37"/>
  <c r="N47" i="37" s="1"/>
  <c r="N50" i="37" s="1"/>
  <c r="AH45" i="37"/>
  <c r="AH47" i="37" s="1"/>
  <c r="AH50" i="37" s="1"/>
  <c r="F45" i="37"/>
  <c r="F47" i="37" s="1"/>
  <c r="F50" i="37" s="1"/>
  <c r="AV45" i="37"/>
  <c r="AV47" i="37" s="1"/>
  <c r="AV50" i="37" s="1"/>
  <c r="R45" i="37"/>
  <c r="R47" i="37" s="1"/>
  <c r="R50" i="37" s="1"/>
  <c r="V45" i="37"/>
  <c r="V47" i="37" s="1"/>
  <c r="V50" i="37" s="1"/>
  <c r="AG45" i="37"/>
  <c r="AG47" i="37" s="1"/>
  <c r="AG50" i="37" s="1"/>
  <c r="Z45" i="37"/>
  <c r="Z47" i="37" s="1"/>
  <c r="Z50" i="37" s="1"/>
  <c r="AD45" i="37"/>
  <c r="AD47" i="37" s="1"/>
  <c r="AD50" i="37" s="1"/>
  <c r="H45" i="37"/>
  <c r="H47" i="37" s="1"/>
  <c r="H50" i="37" s="1"/>
  <c r="BE45" i="37"/>
  <c r="BE47" i="37" s="1"/>
  <c r="BE50" i="37" s="1"/>
  <c r="BE98" i="37" s="1"/>
  <c r="BE97" i="37" s="1"/>
  <c r="BE105" i="37" s="1"/>
  <c r="BE106" i="37" s="1"/>
  <c r="M87" i="37"/>
  <c r="M86" i="37" s="1"/>
  <c r="M94" i="37" s="1"/>
  <c r="M95" i="37" s="1"/>
  <c r="M76" i="37"/>
  <c r="M75" i="37" s="1"/>
  <c r="M83" i="37" s="1"/>
  <c r="M84" i="37" s="1"/>
  <c r="M51" i="37"/>
  <c r="D46" i="37"/>
  <c r="AW44" i="37"/>
  <c r="U76" i="37"/>
  <c r="U75" i="37" s="1"/>
  <c r="U83" i="37" s="1"/>
  <c r="U84" i="37" s="1"/>
  <c r="U87" i="37"/>
  <c r="U86" i="37" s="1"/>
  <c r="U94" i="37" s="1"/>
  <c r="U95" i="37" s="1"/>
  <c r="U51" i="37"/>
  <c r="N76" i="37"/>
  <c r="N75" i="37" s="1"/>
  <c r="N83" i="37" s="1"/>
  <c r="N84" i="37" s="1"/>
  <c r="N51" i="37"/>
  <c r="N87" i="37"/>
  <c r="N86" i="37" s="1"/>
  <c r="N94" i="37" s="1"/>
  <c r="N95" i="37" s="1"/>
  <c r="R87" i="37"/>
  <c r="R86" i="37" s="1"/>
  <c r="R94" i="37" s="1"/>
  <c r="R95" i="37" s="1"/>
  <c r="R51" i="37"/>
  <c r="R76" i="37"/>
  <c r="R75" i="37" s="1"/>
  <c r="R83" i="37" s="1"/>
  <c r="R84" i="37" s="1"/>
  <c r="AV51" i="37"/>
  <c r="AV87" i="37"/>
  <c r="AV86" i="37" s="1"/>
  <c r="AV94" i="37" s="1"/>
  <c r="AV95" i="37" s="1"/>
  <c r="AV76" i="37"/>
  <c r="AV75" i="37" s="1"/>
  <c r="AV83" i="37" s="1"/>
  <c r="AV84" i="37" s="1"/>
  <c r="AI76" i="37"/>
  <c r="AI75" i="37" s="1"/>
  <c r="AI83" i="37" s="1"/>
  <c r="AI84" i="37" s="1"/>
  <c r="AI87" i="37"/>
  <c r="AI86" i="37" s="1"/>
  <c r="AI94" i="37" s="1"/>
  <c r="AI95" i="37" s="1"/>
  <c r="AI51" i="37"/>
  <c r="BB86" i="38"/>
  <c r="BB88" i="38" s="1"/>
  <c r="BB113" i="38"/>
  <c r="AW81" i="38"/>
  <c r="BD82" i="38"/>
  <c r="BD84" i="38" s="1"/>
  <c r="BB82" i="38"/>
  <c r="BB84" i="38" s="1"/>
  <c r="AR51" i="37"/>
  <c r="AR87" i="37"/>
  <c r="AR86" i="37" s="1"/>
  <c r="AR94" i="37" s="1"/>
  <c r="AR95" i="37" s="1"/>
  <c r="AR76" i="37"/>
  <c r="AR75" i="37" s="1"/>
  <c r="AR83" i="37" s="1"/>
  <c r="AR84" i="37" s="1"/>
  <c r="AB51" i="37"/>
  <c r="AB76" i="37"/>
  <c r="AB75" i="37" s="1"/>
  <c r="AB83" i="37" s="1"/>
  <c r="AB84" i="37" s="1"/>
  <c r="AB87" i="37"/>
  <c r="AB86" i="37" s="1"/>
  <c r="AB94" i="37" s="1"/>
  <c r="AB95" i="37" s="1"/>
  <c r="W51" i="37"/>
  <c r="W76" i="37"/>
  <c r="W75" i="37" s="1"/>
  <c r="W83" i="37" s="1"/>
  <c r="W84" i="37" s="1"/>
  <c r="W87" i="37"/>
  <c r="W86" i="37" s="1"/>
  <c r="W94" i="37" s="1"/>
  <c r="W95" i="37" s="1"/>
  <c r="AM76" i="37"/>
  <c r="AM75" i="37" s="1"/>
  <c r="AM83" i="37" s="1"/>
  <c r="AM84" i="37" s="1"/>
  <c r="AM51" i="37"/>
  <c r="AM87" i="37"/>
  <c r="AM86" i="37" s="1"/>
  <c r="AM94" i="37" s="1"/>
  <c r="AM95" i="37" s="1"/>
  <c r="S87" i="37"/>
  <c r="S86" i="37" s="1"/>
  <c r="S94" i="37" s="1"/>
  <c r="S95" i="37" s="1"/>
  <c r="S51" i="37"/>
  <c r="S76" i="37"/>
  <c r="S75" i="37" s="1"/>
  <c r="S83" i="37" s="1"/>
  <c r="S84" i="37" s="1"/>
  <c r="F76" i="37"/>
  <c r="F75" i="37" s="1"/>
  <c r="F83" i="37" s="1"/>
  <c r="F84" i="37" s="1"/>
  <c r="F51" i="37"/>
  <c r="F87" i="37"/>
  <c r="F86" i="37" s="1"/>
  <c r="F94" i="37" s="1"/>
  <c r="F95" i="37" s="1"/>
  <c r="P87" i="37"/>
  <c r="P86" i="37" s="1"/>
  <c r="P94" i="37" s="1"/>
  <c r="P95" i="37" s="1"/>
  <c r="P51" i="37"/>
  <c r="P76" i="37"/>
  <c r="P75" i="37" s="1"/>
  <c r="P83" i="37" s="1"/>
  <c r="P84" i="37" s="1"/>
  <c r="G51" i="37"/>
  <c r="G76" i="37"/>
  <c r="G75" i="37" s="1"/>
  <c r="G83" i="37" s="1"/>
  <c r="G84" i="37" s="1"/>
  <c r="G87" i="37"/>
  <c r="G86" i="37" s="1"/>
  <c r="G94" i="37" s="1"/>
  <c r="G95" i="37" s="1"/>
  <c r="AJ87" i="37"/>
  <c r="AJ86" i="37" s="1"/>
  <c r="AJ94" i="37" s="1"/>
  <c r="AJ95" i="37" s="1"/>
  <c r="AJ51" i="37"/>
  <c r="AJ76" i="37"/>
  <c r="AJ75" i="37" s="1"/>
  <c r="AJ83" i="37" s="1"/>
  <c r="AJ84" i="37" s="1"/>
  <c r="X51" i="37"/>
  <c r="X76" i="37"/>
  <c r="X75" i="37" s="1"/>
  <c r="X83" i="37" s="1"/>
  <c r="X84" i="37" s="1"/>
  <c r="X87" i="37"/>
  <c r="X86" i="37" s="1"/>
  <c r="X94" i="37" s="1"/>
  <c r="X95" i="37" s="1"/>
  <c r="K76" i="37"/>
  <c r="K75" i="37" s="1"/>
  <c r="K83" i="37" s="1"/>
  <c r="K84" i="37" s="1"/>
  <c r="K87" i="37"/>
  <c r="K86" i="37" s="1"/>
  <c r="K94" i="37" s="1"/>
  <c r="K95" i="37" s="1"/>
  <c r="K51" i="37"/>
  <c r="V87" i="37"/>
  <c r="V86" i="37" s="1"/>
  <c r="V94" i="37" s="1"/>
  <c r="V95" i="37" s="1"/>
  <c r="V76" i="37"/>
  <c r="V75" i="37" s="1"/>
  <c r="V83" i="37" s="1"/>
  <c r="V84" i="37" s="1"/>
  <c r="V51" i="37"/>
  <c r="L87" i="37"/>
  <c r="L86" i="37" s="1"/>
  <c r="L94" i="37" s="1"/>
  <c r="L95" i="37" s="1"/>
  <c r="L51" i="37"/>
  <c r="L76" i="37"/>
  <c r="L75" i="37" s="1"/>
  <c r="L83" i="37" s="1"/>
  <c r="L84" i="37" s="1"/>
  <c r="AP76" i="37"/>
  <c r="AP75" i="37" s="1"/>
  <c r="AP83" i="37" s="1"/>
  <c r="AP84" i="37" s="1"/>
  <c r="AP51" i="37"/>
  <c r="AP87" i="37"/>
  <c r="AP86" i="37" s="1"/>
  <c r="AP94" i="37" s="1"/>
  <c r="AP95" i="37" s="1"/>
  <c r="AK87" i="37"/>
  <c r="AK86" i="37" s="1"/>
  <c r="AK94" i="37" s="1"/>
  <c r="AK95" i="37" s="1"/>
  <c r="AK76" i="37"/>
  <c r="AK75" i="37" s="1"/>
  <c r="AK83" i="37" s="1"/>
  <c r="AK84" i="37" s="1"/>
  <c r="AK51" i="37"/>
  <c r="AC87" i="37"/>
  <c r="AC86" i="37" s="1"/>
  <c r="AC94" i="37" s="1"/>
  <c r="AC95" i="37" s="1"/>
  <c r="AC51" i="37"/>
  <c r="AC76" i="37"/>
  <c r="AC75" i="37" s="1"/>
  <c r="AC83" i="37" s="1"/>
  <c r="AC84" i="37" s="1"/>
  <c r="AE51" i="37"/>
  <c r="AE76" i="37"/>
  <c r="AE75" i="37" s="1"/>
  <c r="AE83" i="37" s="1"/>
  <c r="AE84" i="37" s="1"/>
  <c r="AE87" i="37"/>
  <c r="AE86" i="37" s="1"/>
  <c r="AE94" i="37" s="1"/>
  <c r="AE95" i="37" s="1"/>
  <c r="O87" i="37"/>
  <c r="O86" i="37" s="1"/>
  <c r="O94" i="37" s="1"/>
  <c r="O95" i="37" s="1"/>
  <c r="O76" i="37"/>
  <c r="O75" i="37" s="1"/>
  <c r="O83" i="37" s="1"/>
  <c r="O84" i="37" s="1"/>
  <c r="O51" i="37"/>
  <c r="AA87" i="37"/>
  <c r="AA86" i="37" s="1"/>
  <c r="AA94" i="37" s="1"/>
  <c r="AA95" i="37" s="1"/>
  <c r="AA76" i="37"/>
  <c r="AA75" i="37" s="1"/>
  <c r="AA83" i="37" s="1"/>
  <c r="AA84" i="37" s="1"/>
  <c r="AA51" i="37"/>
  <c r="AN51" i="37"/>
  <c r="AN87" i="37"/>
  <c r="AN86" i="37" s="1"/>
  <c r="AN94" i="37" s="1"/>
  <c r="AN95" i="37" s="1"/>
  <c r="AN76" i="37"/>
  <c r="AN75" i="37" s="1"/>
  <c r="AN83" i="37" s="1"/>
  <c r="AN84" i="37" s="1"/>
  <c r="AQ87" i="37"/>
  <c r="AQ86" i="37" s="1"/>
  <c r="AQ94" i="37" s="1"/>
  <c r="AQ95" i="37" s="1"/>
  <c r="AQ51" i="37"/>
  <c r="AQ76" i="37"/>
  <c r="AQ75" i="37" s="1"/>
  <c r="AQ83" i="37" s="1"/>
  <c r="AQ84" i="37" s="1"/>
  <c r="H87" i="37"/>
  <c r="H86" i="37" s="1"/>
  <c r="H94" i="37" s="1"/>
  <c r="H95" i="37" s="1"/>
  <c r="H51" i="37"/>
  <c r="H76" i="37"/>
  <c r="H75" i="37" s="1"/>
  <c r="H83" i="37" s="1"/>
  <c r="H84" i="37" s="1"/>
  <c r="AO76" i="37"/>
  <c r="AO75" i="37" s="1"/>
  <c r="AO83" i="37" s="1"/>
  <c r="AO84" i="37" s="1"/>
  <c r="AO87" i="37"/>
  <c r="AO86" i="37" s="1"/>
  <c r="AO94" i="37" s="1"/>
  <c r="AO95" i="37" s="1"/>
  <c r="AO51" i="37"/>
  <c r="AD87" i="37"/>
  <c r="AD86" i="37" s="1"/>
  <c r="AD94" i="37" s="1"/>
  <c r="AD95" i="37" s="1"/>
  <c r="AD51" i="37"/>
  <c r="AD76" i="37"/>
  <c r="AD75" i="37" s="1"/>
  <c r="AD83" i="37" s="1"/>
  <c r="AD84" i="37" s="1"/>
  <c r="J87" i="37"/>
  <c r="J86" i="37" s="1"/>
  <c r="J94" i="37" s="1"/>
  <c r="J95" i="37" s="1"/>
  <c r="J76" i="37"/>
  <c r="J75" i="37" s="1"/>
  <c r="J83" i="37" s="1"/>
  <c r="J84" i="37" s="1"/>
  <c r="J51" i="37"/>
  <c r="T76" i="37"/>
  <c r="T75" i="37" s="1"/>
  <c r="T83" i="37" s="1"/>
  <c r="T84" i="37" s="1"/>
  <c r="T87" i="37"/>
  <c r="T86" i="37" s="1"/>
  <c r="T94" i="37" s="1"/>
  <c r="T95" i="37" s="1"/>
  <c r="T51" i="37"/>
  <c r="Y51" i="37"/>
  <c r="Y87" i="37"/>
  <c r="Y86" i="37" s="1"/>
  <c r="Y94" i="37" s="1"/>
  <c r="Y95" i="37" s="1"/>
  <c r="Y76" i="37"/>
  <c r="Y75" i="37" s="1"/>
  <c r="Y83" i="37" s="1"/>
  <c r="Y84" i="37" s="1"/>
  <c r="AZ86" i="38"/>
  <c r="AZ88" i="38" s="1"/>
  <c r="AZ113" i="38"/>
  <c r="BE76" i="37"/>
  <c r="BE75" i="37" s="1"/>
  <c r="BE83" i="37" s="1"/>
  <c r="BE84" i="37" s="1"/>
  <c r="BE87" i="37"/>
  <c r="BE86" i="37" s="1"/>
  <c r="BE94" i="37" s="1"/>
  <c r="BE95" i="37" s="1"/>
  <c r="AG87" i="37"/>
  <c r="AG86" i="37" s="1"/>
  <c r="AG94" i="37" s="1"/>
  <c r="AG95" i="37" s="1"/>
  <c r="AG51" i="37"/>
  <c r="AG76" i="37"/>
  <c r="AG75" i="37" s="1"/>
  <c r="AG83" i="37" s="1"/>
  <c r="AG84" i="37" s="1"/>
  <c r="Z76" i="37"/>
  <c r="Z75" i="37" s="1"/>
  <c r="Z83" i="37" s="1"/>
  <c r="Z84" i="37" s="1"/>
  <c r="Z51" i="37"/>
  <c r="Z87" i="37"/>
  <c r="Z86" i="37" s="1"/>
  <c r="Z94" i="37" s="1"/>
  <c r="Z95" i="37" s="1"/>
  <c r="AF51" i="37"/>
  <c r="AF87" i="37"/>
  <c r="AF86" i="37" s="1"/>
  <c r="AF94" i="37" s="1"/>
  <c r="AF95" i="37" s="1"/>
  <c r="AF76" i="37"/>
  <c r="AF75" i="37" s="1"/>
  <c r="AF83" i="37" s="1"/>
  <c r="AF84" i="37" s="1"/>
  <c r="I87" i="37"/>
  <c r="I86" i="37" s="1"/>
  <c r="I94" i="37" s="1"/>
  <c r="I95" i="37" s="1"/>
  <c r="I76" i="37"/>
  <c r="I75" i="37" s="1"/>
  <c r="I83" i="37" s="1"/>
  <c r="I84" i="37" s="1"/>
  <c r="I51" i="37"/>
  <c r="AL51" i="37"/>
  <c r="AL87" i="37"/>
  <c r="AL86" i="37" s="1"/>
  <c r="AL94" i="37" s="1"/>
  <c r="AL95" i="37" s="1"/>
  <c r="AL76" i="37"/>
  <c r="AL75" i="37" s="1"/>
  <c r="AL83" i="37" s="1"/>
  <c r="AL84" i="37" s="1"/>
  <c r="AU87" i="37"/>
  <c r="AU86" i="37" s="1"/>
  <c r="AU94" i="37" s="1"/>
  <c r="AU95" i="37" s="1"/>
  <c r="AU51" i="37"/>
  <c r="AU76" i="37"/>
  <c r="AU75" i="37" s="1"/>
  <c r="AU83" i="37" s="1"/>
  <c r="AU84" i="37" s="1"/>
  <c r="AS76" i="37"/>
  <c r="AS75" i="37" s="1"/>
  <c r="AS83" i="37" s="1"/>
  <c r="AS84" i="37" s="1"/>
  <c r="AS87" i="37"/>
  <c r="AS86" i="37" s="1"/>
  <c r="AS94" i="37" s="1"/>
  <c r="AS95" i="37" s="1"/>
  <c r="AS51" i="37"/>
  <c r="AT51" i="37"/>
  <c r="AT87" i="37"/>
  <c r="AT86" i="37" s="1"/>
  <c r="AT94" i="37" s="1"/>
  <c r="AT95" i="37" s="1"/>
  <c r="AT76" i="37"/>
  <c r="AT75" i="37" s="1"/>
  <c r="AT83" i="37" s="1"/>
  <c r="AT84" i="37" s="1"/>
  <c r="AH51" i="37"/>
  <c r="AH76" i="37"/>
  <c r="AH75" i="37" s="1"/>
  <c r="AH83" i="37" s="1"/>
  <c r="AH84" i="37" s="1"/>
  <c r="AH87" i="37"/>
  <c r="AH86" i="37" s="1"/>
  <c r="AH94" i="37" s="1"/>
  <c r="AH95" i="37" s="1"/>
  <c r="E76" i="37"/>
  <c r="E75" i="37" s="1"/>
  <c r="E83" i="37" s="1"/>
  <c r="E84" i="37" s="1"/>
  <c r="E87" i="37"/>
  <c r="E86" i="37" s="1"/>
  <c r="E94" i="37" s="1"/>
  <c r="E95" i="37" s="1"/>
  <c r="E51" i="37"/>
  <c r="Q51" i="37"/>
  <c r="Q87" i="37"/>
  <c r="Q86" i="37" s="1"/>
  <c r="Q94" i="37" s="1"/>
  <c r="Q95" i="37" s="1"/>
  <c r="Q76" i="37"/>
  <c r="Q75" i="37" s="1"/>
  <c r="Q83" i="37" s="1"/>
  <c r="Q84" i="37" s="1"/>
  <c r="AH30" i="28"/>
  <c r="AB87" i="38" l="1"/>
  <c r="AB89" i="38" s="1"/>
  <c r="AB114" i="38"/>
  <c r="AF87" i="38"/>
  <c r="AF89" i="38" s="1"/>
  <c r="AF114" i="38"/>
  <c r="AF141" i="38" s="1"/>
  <c r="AF140" i="38" s="1"/>
  <c r="AF148" i="38" s="1"/>
  <c r="AF149" i="38" s="1"/>
  <c r="AF155" i="38" s="1"/>
  <c r="AD87" i="38"/>
  <c r="AD89" i="38" s="1"/>
  <c r="AD114" i="38"/>
  <c r="AI87" i="38"/>
  <c r="AI89" i="38" s="1"/>
  <c r="AI114" i="38"/>
  <c r="AI141" i="38" s="1"/>
  <c r="AI140" i="38" s="1"/>
  <c r="AI148" i="38" s="1"/>
  <c r="AI149" i="38" s="1"/>
  <c r="AI155" i="38" s="1"/>
  <c r="AR87" i="38"/>
  <c r="AR89" i="38" s="1"/>
  <c r="AR114" i="38"/>
  <c r="AG87" i="38"/>
  <c r="AG89" i="38" s="1"/>
  <c r="AG114" i="38"/>
  <c r="AG141" i="38" s="1"/>
  <c r="AG140" i="38" s="1"/>
  <c r="AG148" i="38" s="1"/>
  <c r="AG149" i="38" s="1"/>
  <c r="AG155" i="38" s="1"/>
  <c r="U87" i="38"/>
  <c r="U89" i="38" s="1"/>
  <c r="U114" i="38"/>
  <c r="AK87" i="38"/>
  <c r="AK89" i="38" s="1"/>
  <c r="AK114" i="38"/>
  <c r="AK141" i="38" s="1"/>
  <c r="AK140" i="38" s="1"/>
  <c r="AK148" i="38" s="1"/>
  <c r="AK149" i="38" s="1"/>
  <c r="AK155" i="38" s="1"/>
  <c r="AT87" i="38"/>
  <c r="AT89" i="38" s="1"/>
  <c r="AT114" i="38"/>
  <c r="Y87" i="38"/>
  <c r="Y89" i="38" s="1"/>
  <c r="Y114" i="38"/>
  <c r="Y141" i="38" s="1"/>
  <c r="Y140" i="38" s="1"/>
  <c r="Y148" i="38" s="1"/>
  <c r="Y149" i="38" s="1"/>
  <c r="Y155" i="38" s="1"/>
  <c r="AS87" i="38"/>
  <c r="AS89" i="38" s="1"/>
  <c r="AS114" i="38"/>
  <c r="X87" i="38"/>
  <c r="X89" i="38" s="1"/>
  <c r="X114" i="38"/>
  <c r="X141" i="38" s="1"/>
  <c r="X140" i="38" s="1"/>
  <c r="X148" i="38" s="1"/>
  <c r="X149" i="38" s="1"/>
  <c r="X155" i="38" s="1"/>
  <c r="AU87" i="38"/>
  <c r="AU89" i="38" s="1"/>
  <c r="AU114" i="38"/>
  <c r="AE87" i="38"/>
  <c r="AE89" i="38" s="1"/>
  <c r="AE114" i="38"/>
  <c r="AE141" i="38" s="1"/>
  <c r="AE140" i="38" s="1"/>
  <c r="AE148" i="38" s="1"/>
  <c r="AE149" i="38" s="1"/>
  <c r="AE155" i="38" s="1"/>
  <c r="O87" i="38"/>
  <c r="O89" i="38" s="1"/>
  <c r="O114" i="38"/>
  <c r="Q87" i="38"/>
  <c r="Q89" i="38" s="1"/>
  <c r="Q114" i="38"/>
  <c r="Q141" i="38" s="1"/>
  <c r="Q140" i="38" s="1"/>
  <c r="Q148" i="38" s="1"/>
  <c r="Q149" i="38" s="1"/>
  <c r="Q155" i="38" s="1"/>
  <c r="E87" i="38"/>
  <c r="E89" i="38" s="1"/>
  <c r="E114" i="38"/>
  <c r="AC87" i="38"/>
  <c r="AC89" i="38" s="1"/>
  <c r="AC114" i="38"/>
  <c r="AC141" i="38" s="1"/>
  <c r="AC140" i="38" s="1"/>
  <c r="AC148" i="38" s="1"/>
  <c r="AC149" i="38" s="1"/>
  <c r="AC155" i="38" s="1"/>
  <c r="S87" i="38"/>
  <c r="S89" i="38" s="1"/>
  <c r="S114" i="38"/>
  <c r="V87" i="38"/>
  <c r="V89" i="38" s="1"/>
  <c r="V114" i="38"/>
  <c r="V141" i="38" s="1"/>
  <c r="V140" i="38" s="1"/>
  <c r="V148" i="38" s="1"/>
  <c r="V149" i="38" s="1"/>
  <c r="V155" i="38" s="1"/>
  <c r="L87" i="38"/>
  <c r="L89" i="38" s="1"/>
  <c r="L114" i="38"/>
  <c r="J87" i="38"/>
  <c r="J89" i="38" s="1"/>
  <c r="J114" i="38"/>
  <c r="J141" i="38" s="1"/>
  <c r="J140" i="38" s="1"/>
  <c r="J148" i="38" s="1"/>
  <c r="J149" i="38" s="1"/>
  <c r="J155" i="38" s="1"/>
  <c r="Z87" i="38"/>
  <c r="Z89" i="38" s="1"/>
  <c r="Z114" i="38"/>
  <c r="AO87" i="38"/>
  <c r="AO89" i="38" s="1"/>
  <c r="AO114" i="38"/>
  <c r="AO141" i="38" s="1"/>
  <c r="AO140" i="38" s="1"/>
  <c r="AO148" i="38" s="1"/>
  <c r="AO149" i="38" s="1"/>
  <c r="AO155" i="38" s="1"/>
  <c r="T87" i="38"/>
  <c r="T89" i="38" s="1"/>
  <c r="T114" i="38"/>
  <c r="AN87" i="38"/>
  <c r="AN89" i="38" s="1"/>
  <c r="AN114" i="38"/>
  <c r="AN141" i="38" s="1"/>
  <c r="AN140" i="38" s="1"/>
  <c r="AN148" i="38" s="1"/>
  <c r="AN149" i="38" s="1"/>
  <c r="AN155" i="38" s="1"/>
  <c r="R87" i="38"/>
  <c r="R89" i="38" s="1"/>
  <c r="R114" i="38"/>
  <c r="AQ87" i="38"/>
  <c r="AQ89" i="38" s="1"/>
  <c r="AQ114" i="38"/>
  <c r="AQ141" i="38" s="1"/>
  <c r="AQ140" i="38" s="1"/>
  <c r="AQ148" i="38" s="1"/>
  <c r="AQ149" i="38" s="1"/>
  <c r="AQ155" i="38" s="1"/>
  <c r="AA87" i="38"/>
  <c r="AA89" i="38" s="1"/>
  <c r="AA114" i="38"/>
  <c r="AA141" i="38" s="1"/>
  <c r="AA140" i="38" s="1"/>
  <c r="AA148" i="38" s="1"/>
  <c r="AA149" i="38" s="1"/>
  <c r="AA155" i="38" s="1"/>
  <c r="K87" i="38"/>
  <c r="K89" i="38" s="1"/>
  <c r="K114" i="38"/>
  <c r="K141" i="38" s="1"/>
  <c r="K140" i="38" s="1"/>
  <c r="K148" i="38" s="1"/>
  <c r="K149" i="38" s="1"/>
  <c r="K155" i="38" s="1"/>
  <c r="AV87" i="38"/>
  <c r="AV89" i="38" s="1"/>
  <c r="AV114" i="38"/>
  <c r="I87" i="38"/>
  <c r="I89" i="38" s="1"/>
  <c r="I114" i="38"/>
  <c r="I141" i="38" s="1"/>
  <c r="I140" i="38" s="1"/>
  <c r="I148" i="38" s="1"/>
  <c r="I149" i="38" s="1"/>
  <c r="I155" i="38" s="1"/>
  <c r="H87" i="38"/>
  <c r="H89" i="38" s="1"/>
  <c r="H114" i="38"/>
  <c r="D87" i="38"/>
  <c r="D89" i="38" s="1"/>
  <c r="D114" i="38"/>
  <c r="AL87" i="38"/>
  <c r="AL89" i="38" s="1"/>
  <c r="AL114" i="38"/>
  <c r="AP87" i="38"/>
  <c r="AP89" i="38" s="1"/>
  <c r="AP114" i="38"/>
  <c r="AP141" i="38" s="1"/>
  <c r="AP140" i="38" s="1"/>
  <c r="AP148" i="38" s="1"/>
  <c r="AP149" i="38" s="1"/>
  <c r="AP155" i="38" s="1"/>
  <c r="F87" i="38"/>
  <c r="F89" i="38" s="1"/>
  <c r="F114" i="38"/>
  <c r="P87" i="38"/>
  <c r="P89" i="38" s="1"/>
  <c r="P114" i="38"/>
  <c r="P141" i="38" s="1"/>
  <c r="P140" i="38" s="1"/>
  <c r="P148" i="38" s="1"/>
  <c r="P149" i="38" s="1"/>
  <c r="P155" i="38" s="1"/>
  <c r="AJ87" i="38"/>
  <c r="AJ89" i="38" s="1"/>
  <c r="AJ114" i="38"/>
  <c r="N87" i="38"/>
  <c r="N89" i="38" s="1"/>
  <c r="N114" i="38"/>
  <c r="N141" i="38" s="1"/>
  <c r="N140" i="38" s="1"/>
  <c r="N148" i="38" s="1"/>
  <c r="N149" i="38" s="1"/>
  <c r="N155" i="38" s="1"/>
  <c r="AH87" i="38"/>
  <c r="AH89" i="38" s="1"/>
  <c r="AH114" i="38"/>
  <c r="M87" i="38"/>
  <c r="M89" i="38" s="1"/>
  <c r="M114" i="38"/>
  <c r="M141" i="38" s="1"/>
  <c r="M140" i="38" s="1"/>
  <c r="M148" i="38" s="1"/>
  <c r="M149" i="38" s="1"/>
  <c r="M155" i="38" s="1"/>
  <c r="AM87" i="38"/>
  <c r="AM89" i="38" s="1"/>
  <c r="AM114" i="38"/>
  <c r="W87" i="38"/>
  <c r="W89" i="38" s="1"/>
  <c r="W114" i="38"/>
  <c r="W141" i="38" s="1"/>
  <c r="W140" i="38" s="1"/>
  <c r="W148" i="38" s="1"/>
  <c r="W149" i="38" s="1"/>
  <c r="W155" i="38" s="1"/>
  <c r="G87" i="38"/>
  <c r="G89" i="38" s="1"/>
  <c r="G114" i="38"/>
  <c r="AV130" i="38"/>
  <c r="AV129" i="38" s="1"/>
  <c r="AV137" i="38" s="1"/>
  <c r="AV138" i="38" s="1"/>
  <c r="AV154" i="38" s="1"/>
  <c r="AV119" i="38"/>
  <c r="AV118" i="38" s="1"/>
  <c r="AV126" i="38" s="1"/>
  <c r="AV127" i="38" s="1"/>
  <c r="AV153" i="38" s="1"/>
  <c r="AE119" i="38"/>
  <c r="AE118" i="38" s="1"/>
  <c r="AE126" i="38" s="1"/>
  <c r="AE127" i="38" s="1"/>
  <c r="AE153" i="38" s="1"/>
  <c r="AE130" i="38"/>
  <c r="AE129" i="38" s="1"/>
  <c r="AE137" i="38" s="1"/>
  <c r="AE138" i="38" s="1"/>
  <c r="AE154" i="38" s="1"/>
  <c r="F119" i="38"/>
  <c r="F118" i="38" s="1"/>
  <c r="F126" i="38" s="1"/>
  <c r="F127" i="38" s="1"/>
  <c r="F153" i="38" s="1"/>
  <c r="F130" i="38"/>
  <c r="F129" i="38" s="1"/>
  <c r="F137" i="38" s="1"/>
  <c r="F138" i="38" s="1"/>
  <c r="F154" i="38" s="1"/>
  <c r="AT130" i="38"/>
  <c r="AT129" i="38" s="1"/>
  <c r="AT137" i="38" s="1"/>
  <c r="AT138" i="38" s="1"/>
  <c r="AT154" i="38" s="1"/>
  <c r="AT119" i="38"/>
  <c r="AT118" i="38" s="1"/>
  <c r="AT126" i="38" s="1"/>
  <c r="AT127" i="38" s="1"/>
  <c r="AT153" i="38" s="1"/>
  <c r="L141" i="38"/>
  <c r="L140" i="38" s="1"/>
  <c r="L148" i="38" s="1"/>
  <c r="L149" i="38" s="1"/>
  <c r="L155" i="38" s="1"/>
  <c r="AS141" i="38"/>
  <c r="AS140" i="38" s="1"/>
  <c r="AS148" i="38" s="1"/>
  <c r="AS149" i="38" s="1"/>
  <c r="AS155" i="38" s="1"/>
  <c r="AW82" i="38"/>
  <c r="U141" i="38"/>
  <c r="U140" i="38" s="1"/>
  <c r="U148" i="38" s="1"/>
  <c r="U149" i="38" s="1"/>
  <c r="U155" i="38" s="1"/>
  <c r="H141" i="38"/>
  <c r="H140" i="38" s="1"/>
  <c r="H148" i="38" s="1"/>
  <c r="H149" i="38" s="1"/>
  <c r="H155" i="38" s="1"/>
  <c r="AT141" i="38"/>
  <c r="AT140" i="38" s="1"/>
  <c r="AT148" i="38" s="1"/>
  <c r="AT149" i="38" s="1"/>
  <c r="AT155" i="38" s="1"/>
  <c r="R130" i="38"/>
  <c r="R129" i="38" s="1"/>
  <c r="R137" i="38" s="1"/>
  <c r="R138" i="38" s="1"/>
  <c r="R154" i="38" s="1"/>
  <c r="R119" i="38"/>
  <c r="R118" i="38" s="1"/>
  <c r="R126" i="38" s="1"/>
  <c r="R127" i="38" s="1"/>
  <c r="R153" i="38" s="1"/>
  <c r="M130" i="38"/>
  <c r="M129" i="38" s="1"/>
  <c r="M137" i="38" s="1"/>
  <c r="M138" i="38" s="1"/>
  <c r="M154" i="38" s="1"/>
  <c r="M119" i="38"/>
  <c r="M118" i="38" s="1"/>
  <c r="M126" i="38" s="1"/>
  <c r="M127" i="38" s="1"/>
  <c r="M153" i="38" s="1"/>
  <c r="AW83" i="38"/>
  <c r="G130" i="38"/>
  <c r="G129" i="38" s="1"/>
  <c r="G137" i="38" s="1"/>
  <c r="G138" i="38" s="1"/>
  <c r="G154" i="38" s="1"/>
  <c r="G119" i="38"/>
  <c r="G118" i="38" s="1"/>
  <c r="G126" i="38" s="1"/>
  <c r="G127" i="38" s="1"/>
  <c r="G153" i="38" s="1"/>
  <c r="AB119" i="38"/>
  <c r="AB118" i="38" s="1"/>
  <c r="AB126" i="38" s="1"/>
  <c r="AB127" i="38" s="1"/>
  <c r="AB153" i="38" s="1"/>
  <c r="AB130" i="38"/>
  <c r="AB129" i="38" s="1"/>
  <c r="AB137" i="38" s="1"/>
  <c r="AB138" i="38" s="1"/>
  <c r="AB154" i="38" s="1"/>
  <c r="E8" i="10"/>
  <c r="BB130" i="38"/>
  <c r="BB129" i="38" s="1"/>
  <c r="BB137" i="38" s="1"/>
  <c r="BB138" i="38" s="1"/>
  <c r="BB119" i="38"/>
  <c r="BB118" i="38" s="1"/>
  <c r="BB126" i="38" s="1"/>
  <c r="AD98" i="37"/>
  <c r="AD97" i="37" s="1"/>
  <c r="AD105" i="37" s="1"/>
  <c r="AD106" i="37" s="1"/>
  <c r="AD52" i="37"/>
  <c r="R52" i="37"/>
  <c r="R98" i="37"/>
  <c r="R97" i="37" s="1"/>
  <c r="R105" i="37" s="1"/>
  <c r="R106" i="37" s="1"/>
  <c r="N98" i="37"/>
  <c r="N97" i="37" s="1"/>
  <c r="N105" i="37" s="1"/>
  <c r="N106" i="37" s="1"/>
  <c r="N52" i="37"/>
  <c r="E98" i="37"/>
  <c r="E97" i="37" s="1"/>
  <c r="E105" i="37" s="1"/>
  <c r="E106" i="37" s="1"/>
  <c r="E52" i="37"/>
  <c r="K52" i="37"/>
  <c r="K98" i="37"/>
  <c r="K97" i="37" s="1"/>
  <c r="K105" i="37" s="1"/>
  <c r="K106" i="37" s="1"/>
  <c r="AN98" i="37"/>
  <c r="AN97" i="37" s="1"/>
  <c r="AN105" i="37" s="1"/>
  <c r="AN106" i="37" s="1"/>
  <c r="AN52" i="37"/>
  <c r="Y98" i="37"/>
  <c r="Y97" i="37" s="1"/>
  <c r="Y105" i="37" s="1"/>
  <c r="Y106" i="37" s="1"/>
  <c r="Y52" i="37"/>
  <c r="P52" i="37"/>
  <c r="P98" i="37"/>
  <c r="P97" i="37" s="1"/>
  <c r="P105" i="37" s="1"/>
  <c r="P106" i="37" s="1"/>
  <c r="AQ98" i="37"/>
  <c r="AQ97" i="37" s="1"/>
  <c r="AQ105" i="37" s="1"/>
  <c r="AQ106" i="37" s="1"/>
  <c r="AQ52" i="37"/>
  <c r="L52" i="37"/>
  <c r="L98" i="37"/>
  <c r="L97" i="37" s="1"/>
  <c r="L105" i="37" s="1"/>
  <c r="L106" i="37" s="1"/>
  <c r="AP52" i="37"/>
  <c r="AP98" i="37"/>
  <c r="AP97" i="37" s="1"/>
  <c r="AP105" i="37" s="1"/>
  <c r="AP106" i="37" s="1"/>
  <c r="Y130" i="38"/>
  <c r="Y129" i="38" s="1"/>
  <c r="Y137" i="38" s="1"/>
  <c r="Y138" i="38" s="1"/>
  <c r="Y154" i="38" s="1"/>
  <c r="Y119" i="38"/>
  <c r="Y118" i="38" s="1"/>
  <c r="Y126" i="38" s="1"/>
  <c r="Y127" i="38" s="1"/>
  <c r="Y153" i="38" s="1"/>
  <c r="AL130" i="38"/>
  <c r="AL129" i="38" s="1"/>
  <c r="AL137" i="38" s="1"/>
  <c r="AL138" i="38" s="1"/>
  <c r="AL154" i="38" s="1"/>
  <c r="AL119" i="38"/>
  <c r="AL118" i="38" s="1"/>
  <c r="AL126" i="38" s="1"/>
  <c r="AL127" i="38" s="1"/>
  <c r="AL153" i="38" s="1"/>
  <c r="N130" i="38"/>
  <c r="N129" i="38" s="1"/>
  <c r="N137" i="38" s="1"/>
  <c r="N138" i="38" s="1"/>
  <c r="N154" i="38" s="1"/>
  <c r="N119" i="38"/>
  <c r="N118" i="38" s="1"/>
  <c r="N126" i="38" s="1"/>
  <c r="N127" i="38" s="1"/>
  <c r="N153" i="38" s="1"/>
  <c r="O130" i="38"/>
  <c r="O129" i="38" s="1"/>
  <c r="O137" i="38" s="1"/>
  <c r="O138" i="38" s="1"/>
  <c r="O154" i="38" s="1"/>
  <c r="O119" i="38"/>
  <c r="O118" i="38" s="1"/>
  <c r="O126" i="38" s="1"/>
  <c r="O127" i="38" s="1"/>
  <c r="O153" i="38" s="1"/>
  <c r="AF130" i="38"/>
  <c r="AF129" i="38" s="1"/>
  <c r="AF137" i="38" s="1"/>
  <c r="AF138" i="38" s="1"/>
  <c r="AF154" i="38" s="1"/>
  <c r="AF119" i="38"/>
  <c r="AF118" i="38" s="1"/>
  <c r="AF126" i="38" s="1"/>
  <c r="AF127" i="38" s="1"/>
  <c r="AF153" i="38" s="1"/>
  <c r="AD130" i="38"/>
  <c r="AD129" i="38" s="1"/>
  <c r="AD137" i="38" s="1"/>
  <c r="AD138" i="38" s="1"/>
  <c r="AD154" i="38" s="1"/>
  <c r="AD119" i="38"/>
  <c r="AD118" i="38" s="1"/>
  <c r="AD126" i="38" s="1"/>
  <c r="AD127" i="38" s="1"/>
  <c r="AD153" i="38" s="1"/>
  <c r="T119" i="38"/>
  <c r="T118" i="38" s="1"/>
  <c r="T126" i="38" s="1"/>
  <c r="T127" i="38" s="1"/>
  <c r="T153" i="38" s="1"/>
  <c r="T130" i="38"/>
  <c r="T129" i="38" s="1"/>
  <c r="T137" i="38" s="1"/>
  <c r="T138" i="38" s="1"/>
  <c r="T154" i="38" s="1"/>
  <c r="H130" i="38"/>
  <c r="H129" i="38" s="1"/>
  <c r="H137" i="38" s="1"/>
  <c r="H138" i="38" s="1"/>
  <c r="H154" i="38" s="1"/>
  <c r="H119" i="38"/>
  <c r="H118" i="38" s="1"/>
  <c r="H126" i="38" s="1"/>
  <c r="H127" i="38" s="1"/>
  <c r="H153" i="38" s="1"/>
  <c r="E130" i="38"/>
  <c r="E129" i="38" s="1"/>
  <c r="E137" i="38" s="1"/>
  <c r="E138" i="38" s="1"/>
  <c r="E154" i="38" s="1"/>
  <c r="E119" i="38"/>
  <c r="E118" i="38" s="1"/>
  <c r="E126" i="38" s="1"/>
  <c r="E127" i="38" s="1"/>
  <c r="E153" i="38" s="1"/>
  <c r="AN119" i="38"/>
  <c r="AN118" i="38" s="1"/>
  <c r="AN126" i="38" s="1"/>
  <c r="AN127" i="38" s="1"/>
  <c r="AN153" i="38" s="1"/>
  <c r="AN130" i="38"/>
  <c r="AN129" i="38" s="1"/>
  <c r="AN137" i="38" s="1"/>
  <c r="AN138" i="38" s="1"/>
  <c r="AN154" i="38" s="1"/>
  <c r="AR141" i="38"/>
  <c r="AR140" i="38" s="1"/>
  <c r="AR148" i="38" s="1"/>
  <c r="AR149" i="38" s="1"/>
  <c r="AR155" i="38" s="1"/>
  <c r="R141" i="38"/>
  <c r="R140" i="38" s="1"/>
  <c r="R148" i="38" s="1"/>
  <c r="R149" i="38" s="1"/>
  <c r="R155" i="38" s="1"/>
  <c r="AM141" i="38"/>
  <c r="AM140" i="38" s="1"/>
  <c r="AM148" i="38" s="1"/>
  <c r="AM149" i="38" s="1"/>
  <c r="AM155" i="38" s="1"/>
  <c r="F141" i="38"/>
  <c r="F140" i="38" s="1"/>
  <c r="F148" i="38" s="1"/>
  <c r="F149" i="38" s="1"/>
  <c r="F155" i="38" s="1"/>
  <c r="T141" i="38"/>
  <c r="T140" i="38" s="1"/>
  <c r="T148" i="38" s="1"/>
  <c r="T149" i="38" s="1"/>
  <c r="T155" i="38" s="1"/>
  <c r="Z98" i="37"/>
  <c r="Z97" i="37" s="1"/>
  <c r="Z105" i="37" s="1"/>
  <c r="Z106" i="37" s="1"/>
  <c r="Z52" i="37"/>
  <c r="AV98" i="37"/>
  <c r="AV97" i="37" s="1"/>
  <c r="AV105" i="37" s="1"/>
  <c r="AV106" i="37" s="1"/>
  <c r="AV52" i="37"/>
  <c r="AI98" i="37"/>
  <c r="AI97" i="37" s="1"/>
  <c r="AI105" i="37" s="1"/>
  <c r="AI106" i="37" s="1"/>
  <c r="AI52" i="37"/>
  <c r="U98" i="37"/>
  <c r="U97" i="37" s="1"/>
  <c r="U105" i="37" s="1"/>
  <c r="U106" i="37" s="1"/>
  <c r="U52" i="37"/>
  <c r="AL98" i="37"/>
  <c r="AL97" i="37" s="1"/>
  <c r="AL105" i="37" s="1"/>
  <c r="AL106" i="37" s="1"/>
  <c r="AL52" i="37"/>
  <c r="O98" i="37"/>
  <c r="O97" i="37" s="1"/>
  <c r="O105" i="37" s="1"/>
  <c r="O106" i="37" s="1"/>
  <c r="O52" i="37"/>
  <c r="AO52" i="37"/>
  <c r="AO98" i="37"/>
  <c r="AO97" i="37" s="1"/>
  <c r="AO105" i="37" s="1"/>
  <c r="AO106" i="37" s="1"/>
  <c r="AR52" i="37"/>
  <c r="AR98" i="37"/>
  <c r="AR97" i="37" s="1"/>
  <c r="AR105" i="37" s="1"/>
  <c r="AR106" i="37" s="1"/>
  <c r="G98" i="37"/>
  <c r="G97" i="37" s="1"/>
  <c r="G105" i="37" s="1"/>
  <c r="G106" i="37" s="1"/>
  <c r="G52" i="37"/>
  <c r="X98" i="37"/>
  <c r="X97" i="37" s="1"/>
  <c r="X105" i="37" s="1"/>
  <c r="X106" i="37" s="1"/>
  <c r="X52" i="37"/>
  <c r="M52" i="37"/>
  <c r="M98" i="37"/>
  <c r="M97" i="37" s="1"/>
  <c r="M105" i="37" s="1"/>
  <c r="M106" i="37" s="1"/>
  <c r="P130" i="38"/>
  <c r="P129" i="38" s="1"/>
  <c r="P137" i="38" s="1"/>
  <c r="P138" i="38" s="1"/>
  <c r="P154" i="38" s="1"/>
  <c r="P119" i="38"/>
  <c r="P118" i="38" s="1"/>
  <c r="P126" i="38" s="1"/>
  <c r="P127" i="38" s="1"/>
  <c r="P153" i="38" s="1"/>
  <c r="AS130" i="38"/>
  <c r="AS129" i="38" s="1"/>
  <c r="AS137" i="38" s="1"/>
  <c r="AS138" i="38" s="1"/>
  <c r="AS154" i="38" s="1"/>
  <c r="AS119" i="38"/>
  <c r="AS118" i="38" s="1"/>
  <c r="AS126" i="38" s="1"/>
  <c r="AS127" i="38" s="1"/>
  <c r="AS153" i="38" s="1"/>
  <c r="AM130" i="38"/>
  <c r="AM129" i="38" s="1"/>
  <c r="AM137" i="38" s="1"/>
  <c r="AM138" i="38" s="1"/>
  <c r="AM154" i="38" s="1"/>
  <c r="AM119" i="38"/>
  <c r="AM118" i="38" s="1"/>
  <c r="AM126" i="38" s="1"/>
  <c r="AM127" i="38" s="1"/>
  <c r="AM153" i="38" s="1"/>
  <c r="AI130" i="38"/>
  <c r="AI129" i="38" s="1"/>
  <c r="AI137" i="38" s="1"/>
  <c r="AI138" i="38" s="1"/>
  <c r="AI154" i="38" s="1"/>
  <c r="AI119" i="38"/>
  <c r="AI118" i="38" s="1"/>
  <c r="AI126" i="38" s="1"/>
  <c r="AI127" i="38" s="1"/>
  <c r="AI153" i="38" s="1"/>
  <c r="AZ119" i="38"/>
  <c r="AZ118" i="38" s="1"/>
  <c r="AZ126" i="38" s="1"/>
  <c r="AZ127" i="38" s="1"/>
  <c r="AZ130" i="38"/>
  <c r="AZ129" i="38" s="1"/>
  <c r="AZ137" i="38" s="1"/>
  <c r="AZ138" i="38" s="1"/>
  <c r="AR130" i="38"/>
  <c r="AR129" i="38" s="1"/>
  <c r="AR137" i="38" s="1"/>
  <c r="AR138" i="38" s="1"/>
  <c r="AR154" i="38" s="1"/>
  <c r="AR119" i="38"/>
  <c r="AR118" i="38" s="1"/>
  <c r="AR126" i="38" s="1"/>
  <c r="AR127" i="38" s="1"/>
  <c r="AR153" i="38" s="1"/>
  <c r="X130" i="38"/>
  <c r="X129" i="38" s="1"/>
  <c r="X137" i="38" s="1"/>
  <c r="X138" i="38" s="1"/>
  <c r="X154" i="38" s="1"/>
  <c r="X119" i="38"/>
  <c r="X118" i="38" s="1"/>
  <c r="X126" i="38" s="1"/>
  <c r="X127" i="38" s="1"/>
  <c r="X153" i="38" s="1"/>
  <c r="AP130" i="38"/>
  <c r="AP129" i="38" s="1"/>
  <c r="AP137" i="38" s="1"/>
  <c r="AP138" i="38" s="1"/>
  <c r="AP154" i="38" s="1"/>
  <c r="AP119" i="38"/>
  <c r="AP118" i="38" s="1"/>
  <c r="AP126" i="38" s="1"/>
  <c r="AP127" i="38" s="1"/>
  <c r="AP153" i="38" s="1"/>
  <c r="BB87" i="38"/>
  <c r="BB89" i="38" s="1"/>
  <c r="BB114" i="38"/>
  <c r="AH141" i="38"/>
  <c r="AH140" i="38" s="1"/>
  <c r="AH148" i="38" s="1"/>
  <c r="AH149" i="38" s="1"/>
  <c r="AH155" i="38" s="1"/>
  <c r="BD87" i="38"/>
  <c r="BD89" i="38" s="1"/>
  <c r="BD114" i="38"/>
  <c r="BD141" i="38" s="1"/>
  <c r="BD140" i="38" s="1"/>
  <c r="BD148" i="38" s="1"/>
  <c r="BD149" i="38" s="1"/>
  <c r="AV141" i="38"/>
  <c r="AV140" i="38" s="1"/>
  <c r="AV148" i="38" s="1"/>
  <c r="AV149" i="38" s="1"/>
  <c r="AV155" i="38" s="1"/>
  <c r="AU141" i="38"/>
  <c r="AU140" i="38" s="1"/>
  <c r="AU148" i="38" s="1"/>
  <c r="AU149" i="38" s="1"/>
  <c r="AU155" i="38" s="1"/>
  <c r="AJ141" i="38"/>
  <c r="AJ140" i="38" s="1"/>
  <c r="AJ148" i="38" s="1"/>
  <c r="AJ149" i="38" s="1"/>
  <c r="AJ155" i="38" s="1"/>
  <c r="G141" i="38"/>
  <c r="G140" i="38" s="1"/>
  <c r="G148" i="38" s="1"/>
  <c r="G149" i="38" s="1"/>
  <c r="G155" i="38" s="1"/>
  <c r="I119" i="38"/>
  <c r="I118" i="38" s="1"/>
  <c r="I126" i="38" s="1"/>
  <c r="I127" i="38" s="1"/>
  <c r="I153" i="38" s="1"/>
  <c r="I130" i="38"/>
  <c r="I129" i="38" s="1"/>
  <c r="I137" i="38" s="1"/>
  <c r="I138" i="38" s="1"/>
  <c r="I154" i="38" s="1"/>
  <c r="AU130" i="38"/>
  <c r="AU129" i="38" s="1"/>
  <c r="AU137" i="38" s="1"/>
  <c r="AU138" i="38" s="1"/>
  <c r="AU154" i="38" s="1"/>
  <c r="AU119" i="38"/>
  <c r="AU118" i="38" s="1"/>
  <c r="AU126" i="38" s="1"/>
  <c r="AU127" i="38" s="1"/>
  <c r="AU153" i="38" s="1"/>
  <c r="V130" i="38"/>
  <c r="V129" i="38" s="1"/>
  <c r="V137" i="38" s="1"/>
  <c r="V138" i="38" s="1"/>
  <c r="V154" i="38" s="1"/>
  <c r="V119" i="38"/>
  <c r="V118" i="38" s="1"/>
  <c r="V126" i="38" s="1"/>
  <c r="V127" i="38" s="1"/>
  <c r="V153" i="38" s="1"/>
  <c r="AG119" i="38"/>
  <c r="AG118" i="38" s="1"/>
  <c r="AG126" i="38" s="1"/>
  <c r="AG127" i="38" s="1"/>
  <c r="AG153" i="38" s="1"/>
  <c r="AG130" i="38"/>
  <c r="AG129" i="38" s="1"/>
  <c r="AG137" i="38" s="1"/>
  <c r="AG138" i="38" s="1"/>
  <c r="AG154" i="38" s="1"/>
  <c r="L130" i="38"/>
  <c r="L129" i="38" s="1"/>
  <c r="L137" i="38" s="1"/>
  <c r="L138" i="38" s="1"/>
  <c r="L154" i="38" s="1"/>
  <c r="L119" i="38"/>
  <c r="L118" i="38" s="1"/>
  <c r="L126" i="38" s="1"/>
  <c r="L127" i="38" s="1"/>
  <c r="L153" i="38" s="1"/>
  <c r="K130" i="38"/>
  <c r="K129" i="38" s="1"/>
  <c r="K137" i="38" s="1"/>
  <c r="K138" i="38" s="1"/>
  <c r="K154" i="38" s="1"/>
  <c r="K119" i="38"/>
  <c r="K118" i="38" s="1"/>
  <c r="K126" i="38" s="1"/>
  <c r="K127" i="38" s="1"/>
  <c r="K153" i="38" s="1"/>
  <c r="AW46" i="37"/>
  <c r="D49" i="37"/>
  <c r="AG52" i="37"/>
  <c r="AG98" i="37"/>
  <c r="AG97" i="37" s="1"/>
  <c r="AG105" i="37" s="1"/>
  <c r="AG106" i="37" s="1"/>
  <c r="F52" i="37"/>
  <c r="F98" i="37"/>
  <c r="F97" i="37" s="1"/>
  <c r="F105" i="37" s="1"/>
  <c r="F106" i="37" s="1"/>
  <c r="J98" i="37"/>
  <c r="J97" i="37" s="1"/>
  <c r="J105" i="37" s="1"/>
  <c r="J106" i="37" s="1"/>
  <c r="J52" i="37"/>
  <c r="AK98" i="37"/>
  <c r="AK97" i="37" s="1"/>
  <c r="AK105" i="37" s="1"/>
  <c r="AK106" i="37" s="1"/>
  <c r="AK52" i="37"/>
  <c r="W98" i="37"/>
  <c r="W97" i="37" s="1"/>
  <c r="W105" i="37" s="1"/>
  <c r="W106" i="37" s="1"/>
  <c r="W52" i="37"/>
  <c r="AJ98" i="37"/>
  <c r="AJ97" i="37" s="1"/>
  <c r="AJ105" i="37" s="1"/>
  <c r="AJ106" i="37" s="1"/>
  <c r="AJ52" i="37"/>
  <c r="AF52" i="37"/>
  <c r="AF98" i="37"/>
  <c r="AF97" i="37" s="1"/>
  <c r="AF105" i="37" s="1"/>
  <c r="AF106" i="37" s="1"/>
  <c r="AW45" i="37"/>
  <c r="D47" i="37"/>
  <c r="AM52" i="37"/>
  <c r="AM98" i="37"/>
  <c r="AM97" i="37" s="1"/>
  <c r="AM105" i="37" s="1"/>
  <c r="AM106" i="37" s="1"/>
  <c r="AT98" i="37"/>
  <c r="AT97" i="37" s="1"/>
  <c r="AT105" i="37" s="1"/>
  <c r="AT106" i="37" s="1"/>
  <c r="AT52" i="37"/>
  <c r="AC98" i="37"/>
  <c r="AC97" i="37" s="1"/>
  <c r="AC105" i="37" s="1"/>
  <c r="AC106" i="37" s="1"/>
  <c r="AC52" i="37"/>
  <c r="AC130" i="38"/>
  <c r="AC129" i="38" s="1"/>
  <c r="AC137" i="38" s="1"/>
  <c r="AC138" i="38" s="1"/>
  <c r="AC154" i="38" s="1"/>
  <c r="AC119" i="38"/>
  <c r="AC118" i="38" s="1"/>
  <c r="AC126" i="38" s="1"/>
  <c r="AC127" i="38" s="1"/>
  <c r="AC153" i="38" s="1"/>
  <c r="J130" i="38"/>
  <c r="J129" i="38" s="1"/>
  <c r="J137" i="38" s="1"/>
  <c r="J138" i="38" s="1"/>
  <c r="J154" i="38" s="1"/>
  <c r="J119" i="38"/>
  <c r="J118" i="38" s="1"/>
  <c r="J126" i="38" s="1"/>
  <c r="J127" i="38" s="1"/>
  <c r="J153" i="38" s="1"/>
  <c r="AO119" i="38"/>
  <c r="AO118" i="38" s="1"/>
  <c r="AO126" i="38" s="1"/>
  <c r="AO127" i="38" s="1"/>
  <c r="AO153" i="38" s="1"/>
  <c r="AO130" i="38"/>
  <c r="AO129" i="38" s="1"/>
  <c r="AO137" i="38" s="1"/>
  <c r="AO138" i="38" s="1"/>
  <c r="AO154" i="38" s="1"/>
  <c r="AJ119" i="38"/>
  <c r="AJ118" i="38" s="1"/>
  <c r="AJ126" i="38" s="1"/>
  <c r="AJ127" i="38" s="1"/>
  <c r="AJ153" i="38" s="1"/>
  <c r="AJ130" i="38"/>
  <c r="AJ129" i="38" s="1"/>
  <c r="AJ137" i="38" s="1"/>
  <c r="AJ138" i="38" s="1"/>
  <c r="AJ154" i="38" s="1"/>
  <c r="S130" i="38"/>
  <c r="S129" i="38" s="1"/>
  <c r="S137" i="38" s="1"/>
  <c r="S138" i="38" s="1"/>
  <c r="S154" i="38" s="1"/>
  <c r="S119" i="38"/>
  <c r="S118" i="38" s="1"/>
  <c r="S126" i="38" s="1"/>
  <c r="S127" i="38" s="1"/>
  <c r="S153" i="38" s="1"/>
  <c r="Z130" i="38"/>
  <c r="Z129" i="38" s="1"/>
  <c r="Z137" i="38" s="1"/>
  <c r="Z138" i="38" s="1"/>
  <c r="Z154" i="38" s="1"/>
  <c r="Z119" i="38"/>
  <c r="Z118" i="38" s="1"/>
  <c r="Z126" i="38" s="1"/>
  <c r="Z127" i="38" s="1"/>
  <c r="Z153" i="38" s="1"/>
  <c r="U130" i="38"/>
  <c r="U129" i="38" s="1"/>
  <c r="U137" i="38" s="1"/>
  <c r="U138" i="38" s="1"/>
  <c r="U154" i="38" s="1"/>
  <c r="U119" i="38"/>
  <c r="U118" i="38" s="1"/>
  <c r="U126" i="38" s="1"/>
  <c r="U127" i="38" s="1"/>
  <c r="U153" i="38" s="1"/>
  <c r="AQ130" i="38"/>
  <c r="AQ129" i="38" s="1"/>
  <c r="AQ137" i="38" s="1"/>
  <c r="AQ138" i="38" s="1"/>
  <c r="AQ154" i="38" s="1"/>
  <c r="AQ119" i="38"/>
  <c r="AQ118" i="38" s="1"/>
  <c r="AQ126" i="38" s="1"/>
  <c r="AQ127" i="38" s="1"/>
  <c r="AQ153" i="38" s="1"/>
  <c r="Q130" i="38"/>
  <c r="Q129" i="38" s="1"/>
  <c r="Q137" i="38" s="1"/>
  <c r="Q138" i="38" s="1"/>
  <c r="Q154" i="38" s="1"/>
  <c r="Q119" i="38"/>
  <c r="Q118" i="38" s="1"/>
  <c r="Q126" i="38" s="1"/>
  <c r="Q127" i="38" s="1"/>
  <c r="Q153" i="38" s="1"/>
  <c r="AK119" i="38"/>
  <c r="AK118" i="38" s="1"/>
  <c r="AK126" i="38" s="1"/>
  <c r="AK127" i="38" s="1"/>
  <c r="AK153" i="38" s="1"/>
  <c r="AK130" i="38"/>
  <c r="AK129" i="38" s="1"/>
  <c r="AK137" i="38" s="1"/>
  <c r="AK138" i="38" s="1"/>
  <c r="AK154" i="38" s="1"/>
  <c r="AH119" i="38"/>
  <c r="AH118" i="38" s="1"/>
  <c r="AH126" i="38" s="1"/>
  <c r="AH127" i="38" s="1"/>
  <c r="AH153" i="38" s="1"/>
  <c r="AH130" i="38"/>
  <c r="AH129" i="38" s="1"/>
  <c r="AH137" i="38" s="1"/>
  <c r="AH138" i="38" s="1"/>
  <c r="AH154" i="38" s="1"/>
  <c r="W119" i="38"/>
  <c r="W118" i="38" s="1"/>
  <c r="W126" i="38" s="1"/>
  <c r="W127" i="38" s="1"/>
  <c r="W153" i="38" s="1"/>
  <c r="W130" i="38"/>
  <c r="W129" i="38" s="1"/>
  <c r="W137" i="38" s="1"/>
  <c r="W138" i="38" s="1"/>
  <c r="W154" i="38" s="1"/>
  <c r="AA119" i="38"/>
  <c r="AA118" i="38" s="1"/>
  <c r="AA126" i="38" s="1"/>
  <c r="AA127" i="38" s="1"/>
  <c r="AA153" i="38" s="1"/>
  <c r="AA130" i="38"/>
  <c r="AA129" i="38" s="1"/>
  <c r="AA137" i="38" s="1"/>
  <c r="AA138" i="38" s="1"/>
  <c r="AA154" i="38" s="1"/>
  <c r="AZ87" i="38"/>
  <c r="AZ89" i="38" s="1"/>
  <c r="AZ114" i="38"/>
  <c r="AZ141" i="38" s="1"/>
  <c r="AZ140" i="38" s="1"/>
  <c r="AZ148" i="38" s="1"/>
  <c r="AZ149" i="38" s="1"/>
  <c r="O141" i="38"/>
  <c r="O140" i="38" s="1"/>
  <c r="O148" i="38" s="1"/>
  <c r="O149" i="38" s="1"/>
  <c r="O155" i="38" s="1"/>
  <c r="AL141" i="38"/>
  <c r="AL140" i="38" s="1"/>
  <c r="AL148" i="38" s="1"/>
  <c r="AL149" i="38" s="1"/>
  <c r="AL155" i="38" s="1"/>
  <c r="S141" i="38"/>
  <c r="S140" i="38" s="1"/>
  <c r="S148" i="38" s="1"/>
  <c r="S149" i="38" s="1"/>
  <c r="S155" i="38" s="1"/>
  <c r="E141" i="38"/>
  <c r="E140" i="38" s="1"/>
  <c r="E148" i="38" s="1"/>
  <c r="E149" i="38" s="1"/>
  <c r="E155" i="38" s="1"/>
  <c r="Z141" i="38"/>
  <c r="Z140" i="38" s="1"/>
  <c r="Z148" i="38" s="1"/>
  <c r="Z149" i="38" s="1"/>
  <c r="Z155" i="38" s="1"/>
  <c r="AB141" i="38"/>
  <c r="AB140" i="38" s="1"/>
  <c r="AB148" i="38" s="1"/>
  <c r="AB149" i="38" s="1"/>
  <c r="AB155" i="38" s="1"/>
  <c r="AD141" i="38"/>
  <c r="AD140" i="38" s="1"/>
  <c r="AD148" i="38" s="1"/>
  <c r="AD149" i="38" s="1"/>
  <c r="AD155" i="38" s="1"/>
  <c r="H98" i="37"/>
  <c r="H97" i="37" s="1"/>
  <c r="H105" i="37" s="1"/>
  <c r="H106" i="37" s="1"/>
  <c r="H52" i="37"/>
  <c r="V52" i="37"/>
  <c r="V98" i="37"/>
  <c r="V97" i="37" s="1"/>
  <c r="V105" i="37" s="1"/>
  <c r="V106" i="37" s="1"/>
  <c r="AH52" i="37"/>
  <c r="AH98" i="37"/>
  <c r="AH97" i="37" s="1"/>
  <c r="AH105" i="37" s="1"/>
  <c r="AH106" i="37" s="1"/>
  <c r="AE52" i="37"/>
  <c r="AE98" i="37"/>
  <c r="AE97" i="37" s="1"/>
  <c r="AE105" i="37" s="1"/>
  <c r="AE106" i="37" s="1"/>
  <c r="AU98" i="37"/>
  <c r="AU97" i="37" s="1"/>
  <c r="AU105" i="37" s="1"/>
  <c r="AU106" i="37" s="1"/>
  <c r="AU52" i="37"/>
  <c r="S52" i="37"/>
  <c r="S98" i="37"/>
  <c r="S97" i="37" s="1"/>
  <c r="S105" i="37" s="1"/>
  <c r="S106" i="37" s="1"/>
  <c r="I52" i="37"/>
  <c r="I98" i="37"/>
  <c r="I97" i="37" s="1"/>
  <c r="I105" i="37" s="1"/>
  <c r="I106" i="37" s="1"/>
  <c r="AB52" i="37"/>
  <c r="AB98" i="37"/>
  <c r="AB97" i="37" s="1"/>
  <c r="AB105" i="37" s="1"/>
  <c r="AB106" i="37" s="1"/>
  <c r="Q52" i="37"/>
  <c r="Q98" i="37"/>
  <c r="Q97" i="37" s="1"/>
  <c r="Q105" i="37" s="1"/>
  <c r="Q106" i="37" s="1"/>
  <c r="AA98" i="37"/>
  <c r="AA97" i="37" s="1"/>
  <c r="AA105" i="37" s="1"/>
  <c r="AA106" i="37" s="1"/>
  <c r="AA52" i="37"/>
  <c r="T52" i="37"/>
  <c r="T98" i="37"/>
  <c r="T97" i="37" s="1"/>
  <c r="T105" i="37" s="1"/>
  <c r="T106" i="37" s="1"/>
  <c r="AS98" i="37"/>
  <c r="AS97" i="37" s="1"/>
  <c r="AS105" i="37" s="1"/>
  <c r="AS106" i="37" s="1"/>
  <c r="AS52" i="37"/>
  <c r="BD130" i="38"/>
  <c r="BD129" i="38" s="1"/>
  <c r="BD137" i="38" s="1"/>
  <c r="BD138" i="38" s="1"/>
  <c r="BD119" i="38"/>
  <c r="BD118" i="38" s="1"/>
  <c r="BD126" i="38" s="1"/>
  <c r="BD127" i="38" s="1"/>
  <c r="AN4" i="28"/>
  <c r="W30" i="28"/>
  <c r="AW47" i="37" l="1"/>
  <c r="D50" i="37"/>
  <c r="D76" i="37"/>
  <c r="D51" i="37"/>
  <c r="AW51" i="37" s="1"/>
  <c r="D87" i="37"/>
  <c r="AW49" i="37"/>
  <c r="BB141" i="38"/>
  <c r="BB140" i="38" s="1"/>
  <c r="BB148" i="38" s="1"/>
  <c r="E11" i="10"/>
  <c r="BB127" i="38"/>
  <c r="D130" i="38"/>
  <c r="AW113" i="38"/>
  <c r="D119" i="38"/>
  <c r="AW86" i="38"/>
  <c r="AW88" i="38"/>
  <c r="AW84" i="38"/>
  <c r="W4" i="28"/>
  <c r="Z30" i="28"/>
  <c r="AC30" i="28"/>
  <c r="AK4" i="28"/>
  <c r="AW87" i="38" l="1"/>
  <c r="AW89" i="38"/>
  <c r="D129" i="38"/>
  <c r="AW130" i="38"/>
  <c r="BB149" i="38"/>
  <c r="D75" i="37"/>
  <c r="AW76" i="37"/>
  <c r="D141" i="38"/>
  <c r="AW114" i="38"/>
  <c r="D52" i="37"/>
  <c r="AW52" i="37" s="1"/>
  <c r="AW50" i="37"/>
  <c r="D98" i="37"/>
  <c r="AW119" i="38"/>
  <c r="D118" i="38"/>
  <c r="AW87" i="37"/>
  <c r="D86" i="37"/>
  <c r="Z4" i="28"/>
  <c r="AW118" i="38" l="1"/>
  <c r="D126" i="38"/>
  <c r="AW75" i="37"/>
  <c r="D83" i="37"/>
  <c r="AW129" i="38"/>
  <c r="D137" i="38"/>
  <c r="AW86" i="37"/>
  <c r="D94" i="37"/>
  <c r="D97" i="37"/>
  <c r="AW98" i="37"/>
  <c r="AW141" i="38"/>
  <c r="D140" i="38"/>
  <c r="AH4" i="28"/>
  <c r="AW140" i="38" l="1"/>
  <c r="D148" i="38"/>
  <c r="D138" i="38"/>
  <c r="AW137" i="38"/>
  <c r="AW126" i="38"/>
  <c r="D127" i="38"/>
  <c r="AW94" i="37"/>
  <c r="D95" i="37"/>
  <c r="AW95" i="37" s="1"/>
  <c r="D84" i="37"/>
  <c r="AW84" i="37" s="1"/>
  <c r="AW83" i="37"/>
  <c r="D105" i="37"/>
  <c r="AW97" i="37"/>
  <c r="AC4" i="28"/>
  <c r="AW138" i="38" l="1"/>
  <c r="D154" i="38"/>
  <c r="AW127" i="38"/>
  <c r="D153" i="38"/>
  <c r="D149" i="38"/>
  <c r="AW148" i="38"/>
  <c r="D106" i="37"/>
  <c r="AW106" i="37" s="1"/>
  <c r="AW105" i="37"/>
  <c r="G3" i="9"/>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AF53" i="15"/>
  <c r="AG53" i="15"/>
  <c r="AH53" i="15"/>
  <c r="AI53" i="15"/>
  <c r="AJ53" i="15"/>
  <c r="AK53" i="15"/>
  <c r="AL53" i="15"/>
  <c r="AM53" i="15"/>
  <c r="AN53" i="15"/>
  <c r="AO53" i="15"/>
  <c r="AP53" i="15"/>
  <c r="AQ53" i="15"/>
  <c r="AR53" i="15"/>
  <c r="AS53" i="15"/>
  <c r="AT53" i="15"/>
  <c r="AU53" i="15"/>
  <c r="AV53"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AF54" i="15"/>
  <c r="AG54" i="15"/>
  <c r="AH54" i="15"/>
  <c r="AI54" i="15"/>
  <c r="AJ54" i="15"/>
  <c r="AK54" i="15"/>
  <c r="AL54" i="15"/>
  <c r="AM54" i="15"/>
  <c r="AN54" i="15"/>
  <c r="AO54" i="15"/>
  <c r="AP54" i="15"/>
  <c r="AQ54" i="15"/>
  <c r="AR54" i="15"/>
  <c r="AS54" i="15"/>
  <c r="AT54" i="15"/>
  <c r="AU54" i="15"/>
  <c r="AV54"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AF55" i="15"/>
  <c r="AG55" i="15"/>
  <c r="AH55" i="15"/>
  <c r="AI55" i="15"/>
  <c r="AJ55" i="15"/>
  <c r="AK55" i="15"/>
  <c r="AL55" i="15"/>
  <c r="AM55" i="15"/>
  <c r="AN55" i="15"/>
  <c r="AO55" i="15"/>
  <c r="AP55" i="15"/>
  <c r="AQ55" i="15"/>
  <c r="AR55" i="15"/>
  <c r="AS55" i="15"/>
  <c r="AT55" i="15"/>
  <c r="AU55" i="15"/>
  <c r="AV55"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AF56" i="15"/>
  <c r="AG56" i="15"/>
  <c r="AH56" i="15"/>
  <c r="AI56" i="15"/>
  <c r="AJ56" i="15"/>
  <c r="AK56" i="15"/>
  <c r="AL56" i="15"/>
  <c r="AM56" i="15"/>
  <c r="AN56" i="15"/>
  <c r="AO56" i="15"/>
  <c r="AP56" i="15"/>
  <c r="AQ56" i="15"/>
  <c r="AR56" i="15"/>
  <c r="AS56" i="15"/>
  <c r="AT56" i="15"/>
  <c r="AU56" i="15"/>
  <c r="AV56" i="15"/>
  <c r="D56" i="15"/>
  <c r="D55" i="15"/>
  <c r="D54" i="15"/>
  <c r="D53"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AF52" i="15"/>
  <c r="AG52" i="15"/>
  <c r="AH52" i="15"/>
  <c r="AI52" i="15"/>
  <c r="AJ52" i="15"/>
  <c r="AK52" i="15"/>
  <c r="AL52" i="15"/>
  <c r="AM52" i="15"/>
  <c r="AN52" i="15"/>
  <c r="AO52" i="15"/>
  <c r="AP52" i="15"/>
  <c r="AQ52" i="15"/>
  <c r="AR52" i="15"/>
  <c r="AS52" i="15"/>
  <c r="AT52" i="15"/>
  <c r="AU52" i="15"/>
  <c r="AV52" i="15"/>
  <c r="AW149" i="38" l="1"/>
  <c r="D155" i="38"/>
  <c r="AW54" i="15"/>
  <c r="AQ61" i="15"/>
  <c r="AQ99" i="15"/>
  <c r="AQ100" i="15" s="1"/>
  <c r="AE61" i="15"/>
  <c r="AE99" i="15"/>
  <c r="AE100" i="15" s="1"/>
  <c r="S61" i="15"/>
  <c r="S99" i="15"/>
  <c r="S100" i="15" s="1"/>
  <c r="K61" i="15"/>
  <c r="K99" i="15"/>
  <c r="K100" i="15" s="1"/>
  <c r="AT61" i="15"/>
  <c r="AT99" i="15"/>
  <c r="AT100" i="15" s="1"/>
  <c r="Z61" i="15"/>
  <c r="Z99" i="15"/>
  <c r="Z100" i="15" s="1"/>
  <c r="N61" i="15"/>
  <c r="N99" i="15"/>
  <c r="N100" i="15" s="1"/>
  <c r="AU61" i="15"/>
  <c r="AU99" i="15"/>
  <c r="AU100" i="15" s="1"/>
  <c r="AM61" i="15"/>
  <c r="AM99" i="15"/>
  <c r="AM100" i="15" s="1"/>
  <c r="W61" i="15"/>
  <c r="W99" i="15"/>
  <c r="W100" i="15" s="1"/>
  <c r="AL61" i="15"/>
  <c r="AL99" i="15"/>
  <c r="AL100" i="15" s="1"/>
  <c r="AD61" i="15"/>
  <c r="AD99" i="15"/>
  <c r="AD100" i="15" s="1"/>
  <c r="R61" i="15"/>
  <c r="R99" i="15"/>
  <c r="R100" i="15" s="1"/>
  <c r="F61" i="15"/>
  <c r="F99" i="15"/>
  <c r="F100" i="15" s="1"/>
  <c r="AS61" i="15"/>
  <c r="AS99" i="15"/>
  <c r="AS100" i="15" s="1"/>
  <c r="AO61" i="15"/>
  <c r="AO99" i="15"/>
  <c r="AO100" i="15" s="1"/>
  <c r="AK61" i="15"/>
  <c r="AK99" i="15"/>
  <c r="AK100" i="15" s="1"/>
  <c r="AG61" i="15"/>
  <c r="AG99" i="15"/>
  <c r="AG100" i="15" s="1"/>
  <c r="AC61" i="15"/>
  <c r="AC99" i="15"/>
  <c r="AC100" i="15" s="1"/>
  <c r="Y61" i="15"/>
  <c r="Y99" i="15"/>
  <c r="Y100" i="15" s="1"/>
  <c r="U61" i="15"/>
  <c r="U99" i="15"/>
  <c r="U100" i="15" s="1"/>
  <c r="Q61" i="15"/>
  <c r="Q99" i="15"/>
  <c r="Q100" i="15" s="1"/>
  <c r="M61" i="15"/>
  <c r="M99" i="15"/>
  <c r="M100" i="15" s="1"/>
  <c r="I61" i="15"/>
  <c r="I99" i="15"/>
  <c r="I100" i="15" s="1"/>
  <c r="E61" i="15"/>
  <c r="E99" i="15"/>
  <c r="E100" i="15" s="1"/>
  <c r="AI61" i="15"/>
  <c r="AI99" i="15"/>
  <c r="AI100" i="15" s="1"/>
  <c r="AA61" i="15"/>
  <c r="AA99" i="15"/>
  <c r="AA100" i="15" s="1"/>
  <c r="O61" i="15"/>
  <c r="O99" i="15"/>
  <c r="O100" i="15" s="1"/>
  <c r="G61" i="15"/>
  <c r="G99" i="15"/>
  <c r="G100" i="15" s="1"/>
  <c r="AP61" i="15"/>
  <c r="AP99" i="15"/>
  <c r="AP100" i="15" s="1"/>
  <c r="AH61" i="15"/>
  <c r="AH99" i="15"/>
  <c r="AH100" i="15" s="1"/>
  <c r="V61" i="15"/>
  <c r="V99" i="15"/>
  <c r="V100" i="15" s="1"/>
  <c r="J61" i="15"/>
  <c r="J99" i="15"/>
  <c r="J100" i="15" s="1"/>
  <c r="AV61" i="15"/>
  <c r="AV99" i="15"/>
  <c r="AV100" i="15" s="1"/>
  <c r="AR61" i="15"/>
  <c r="AR99" i="15"/>
  <c r="AR100" i="15" s="1"/>
  <c r="AN61" i="15"/>
  <c r="AN99" i="15"/>
  <c r="AN100" i="15" s="1"/>
  <c r="AJ61" i="15"/>
  <c r="AJ99" i="15"/>
  <c r="AJ100" i="15" s="1"/>
  <c r="AF61" i="15"/>
  <c r="AF99" i="15"/>
  <c r="AF100" i="15" s="1"/>
  <c r="AB61" i="15"/>
  <c r="AB99" i="15"/>
  <c r="AB100" i="15" s="1"/>
  <c r="X61" i="15"/>
  <c r="X99" i="15"/>
  <c r="X100" i="15" s="1"/>
  <c r="T61" i="15"/>
  <c r="T99" i="15"/>
  <c r="T100" i="15" s="1"/>
  <c r="P61" i="15"/>
  <c r="P99" i="15"/>
  <c r="P100" i="15" s="1"/>
  <c r="L61" i="15"/>
  <c r="L99" i="15"/>
  <c r="L100" i="15" s="1"/>
  <c r="H61" i="15"/>
  <c r="H99" i="15"/>
  <c r="H100" i="15" s="1"/>
  <c r="D57" i="15"/>
  <c r="D59" i="15" s="1"/>
  <c r="AW55" i="15"/>
  <c r="AW52" i="15"/>
  <c r="AW56" i="15"/>
  <c r="AW53" i="15"/>
  <c r="D58" i="15"/>
  <c r="D60" i="15" s="1"/>
  <c r="AN58" i="15"/>
  <c r="AN60" i="15" s="1"/>
  <c r="AF58" i="15"/>
  <c r="AF60" i="15" s="1"/>
  <c r="AF102" i="15" s="1"/>
  <c r="AF129" i="15" s="1"/>
  <c r="AB57" i="15"/>
  <c r="AB59" i="15" s="1"/>
  <c r="T57" i="15"/>
  <c r="T59" i="15" s="1"/>
  <c r="H58" i="15"/>
  <c r="H60" i="15" s="1"/>
  <c r="AU58" i="15"/>
  <c r="AU60" i="15" s="1"/>
  <c r="AU102" i="15" s="1"/>
  <c r="AU129" i="15" s="1"/>
  <c r="K57" i="15"/>
  <c r="K59" i="15" s="1"/>
  <c r="AV57" i="15"/>
  <c r="AV59" i="15" s="1"/>
  <c r="AJ58" i="15"/>
  <c r="AJ60" i="15" s="1"/>
  <c r="X57" i="15"/>
  <c r="X59" i="15" s="1"/>
  <c r="L58" i="15"/>
  <c r="L60" i="15" s="1"/>
  <c r="AQ58" i="15"/>
  <c r="AQ60" i="15" s="1"/>
  <c r="AQ102" i="15" s="1"/>
  <c r="AQ129" i="15" s="1"/>
  <c r="AE57" i="15"/>
  <c r="AE59" i="15" s="1"/>
  <c r="AA58" i="15"/>
  <c r="AA60" i="15" s="1"/>
  <c r="W57" i="15"/>
  <c r="W59" i="15" s="1"/>
  <c r="O57" i="15"/>
  <c r="O59" i="15" s="1"/>
  <c r="G57" i="15"/>
  <c r="G59" i="15" s="1"/>
  <c r="AE58" i="15"/>
  <c r="AE60" i="15" s="1"/>
  <c r="AE102" i="15" s="1"/>
  <c r="AE129" i="15" s="1"/>
  <c r="O58" i="15"/>
  <c r="O60" i="15" s="1"/>
  <c r="AQ57" i="15"/>
  <c r="AQ59" i="15" s="1"/>
  <c r="AA57" i="15"/>
  <c r="AA59" i="15" s="1"/>
  <c r="AR58" i="15"/>
  <c r="AR60" i="15" s="1"/>
  <c r="AB58" i="15"/>
  <c r="AB60" i="15" s="1"/>
  <c r="P57" i="15"/>
  <c r="P59" i="15" s="1"/>
  <c r="AV58" i="15"/>
  <c r="AV60" i="15" s="1"/>
  <c r="AR57" i="15"/>
  <c r="AR59" i="15" s="1"/>
  <c r="AU57" i="15"/>
  <c r="AU59" i="15" s="1"/>
  <c r="AI58" i="15"/>
  <c r="AI60" i="15" s="1"/>
  <c r="S58" i="15"/>
  <c r="S60" i="15" s="1"/>
  <c r="X58" i="15"/>
  <c r="X60" i="15" s="1"/>
  <c r="X102" i="15" s="1"/>
  <c r="X129" i="15" s="1"/>
  <c r="AJ57" i="15"/>
  <c r="AJ59" i="15" s="1"/>
  <c r="AN57" i="15"/>
  <c r="AN59" i="15" s="1"/>
  <c r="AF57" i="15"/>
  <c r="AF59" i="15" s="1"/>
  <c r="T58" i="15"/>
  <c r="T60" i="15" s="1"/>
  <c r="H57" i="15"/>
  <c r="H59" i="15" s="1"/>
  <c r="P58" i="15"/>
  <c r="P60" i="15" s="1"/>
  <c r="L57" i="15"/>
  <c r="L59" i="15" s="1"/>
  <c r="AM57" i="15"/>
  <c r="AM59" i="15" s="1"/>
  <c r="K58" i="15"/>
  <c r="K60" i="15" s="1"/>
  <c r="AM58" i="15"/>
  <c r="AM60" i="15" s="1"/>
  <c r="AM102" i="15" s="1"/>
  <c r="AM129" i="15" s="1"/>
  <c r="W58" i="15"/>
  <c r="W60" i="15" s="1"/>
  <c r="G58" i="15"/>
  <c r="G60" i="15" s="1"/>
  <c r="AI57" i="15"/>
  <c r="AI59" i="15" s="1"/>
  <c r="S57" i="15"/>
  <c r="S59" i="15" s="1"/>
  <c r="AS57" i="15"/>
  <c r="AS59" i="15" s="1"/>
  <c r="AO57" i="15"/>
  <c r="AO59" i="15" s="1"/>
  <c r="AK57" i="15"/>
  <c r="AK59" i="15" s="1"/>
  <c r="AG57" i="15"/>
  <c r="AG59" i="15" s="1"/>
  <c r="AC57" i="15"/>
  <c r="AC59" i="15" s="1"/>
  <c r="Y57" i="15"/>
  <c r="Y59" i="15" s="1"/>
  <c r="U57" i="15"/>
  <c r="U59" i="15" s="1"/>
  <c r="Q57" i="15"/>
  <c r="Q59" i="15" s="1"/>
  <c r="M57" i="15"/>
  <c r="M59" i="15" s="1"/>
  <c r="I57" i="15"/>
  <c r="I59" i="15" s="1"/>
  <c r="E57" i="15"/>
  <c r="E59" i="15" s="1"/>
  <c r="AL57" i="15"/>
  <c r="AL59" i="15" s="1"/>
  <c r="AL58" i="15"/>
  <c r="AL60" i="15" s="1"/>
  <c r="AD57" i="15"/>
  <c r="AD59" i="15" s="1"/>
  <c r="AD58" i="15"/>
  <c r="AD60" i="15" s="1"/>
  <c r="R57" i="15"/>
  <c r="R59" i="15" s="1"/>
  <c r="R58" i="15"/>
  <c r="R60" i="15" s="1"/>
  <c r="N57" i="15"/>
  <c r="N59" i="15" s="1"/>
  <c r="N58" i="15"/>
  <c r="N60" i="15" s="1"/>
  <c r="F57" i="15"/>
  <c r="F59" i="15" s="1"/>
  <c r="F58" i="15"/>
  <c r="F60" i="15" s="1"/>
  <c r="AT57" i="15"/>
  <c r="AT59" i="15" s="1"/>
  <c r="AT58" i="15"/>
  <c r="AT60" i="15" s="1"/>
  <c r="AP57" i="15"/>
  <c r="AP59" i="15" s="1"/>
  <c r="AP58" i="15"/>
  <c r="AP60" i="15" s="1"/>
  <c r="AH57" i="15"/>
  <c r="AH59" i="15" s="1"/>
  <c r="AH58" i="15"/>
  <c r="AH60" i="15" s="1"/>
  <c r="Z57" i="15"/>
  <c r="Z59" i="15" s="1"/>
  <c r="Z58" i="15"/>
  <c r="Z60" i="15" s="1"/>
  <c r="V57" i="15"/>
  <c r="V59" i="15" s="1"/>
  <c r="V58" i="15"/>
  <c r="V60" i="15" s="1"/>
  <c r="J57" i="15"/>
  <c r="J59" i="15" s="1"/>
  <c r="J58" i="15"/>
  <c r="J60" i="15" s="1"/>
  <c r="AS58" i="15"/>
  <c r="AS60" i="15" s="1"/>
  <c r="AO58" i="15"/>
  <c r="AO60" i="15" s="1"/>
  <c r="AK58" i="15"/>
  <c r="AK60" i="15" s="1"/>
  <c r="AK102" i="15" s="1"/>
  <c r="AK129" i="15" s="1"/>
  <c r="AG58" i="15"/>
  <c r="AG60" i="15" s="1"/>
  <c r="AG102" i="15" s="1"/>
  <c r="AG129" i="15" s="1"/>
  <c r="AC58" i="15"/>
  <c r="AC60" i="15" s="1"/>
  <c r="Y58" i="15"/>
  <c r="Y60" i="15" s="1"/>
  <c r="U58" i="15"/>
  <c r="U60" i="15" s="1"/>
  <c r="U102" i="15" s="1"/>
  <c r="U129" i="15" s="1"/>
  <c r="Q58" i="15"/>
  <c r="Q60" i="15" s="1"/>
  <c r="Q102" i="15" s="1"/>
  <c r="Q129" i="15" s="1"/>
  <c r="M58" i="15"/>
  <c r="M60" i="15" s="1"/>
  <c r="I58" i="15"/>
  <c r="I60" i="15" s="1"/>
  <c r="E58" i="15"/>
  <c r="E60" i="15" s="1"/>
  <c r="N102" i="15" l="1"/>
  <c r="N129" i="15" s="1"/>
  <c r="L102" i="15"/>
  <c r="L129" i="15" s="1"/>
  <c r="AC102" i="15"/>
  <c r="AC129" i="15" s="1"/>
  <c r="G102" i="15"/>
  <c r="G129" i="15" s="1"/>
  <c r="T102" i="15"/>
  <c r="T129" i="15" s="1"/>
  <c r="J102" i="15"/>
  <c r="J129" i="15" s="1"/>
  <c r="R102" i="15"/>
  <c r="R129" i="15" s="1"/>
  <c r="AL102" i="15"/>
  <c r="AL129" i="15" s="1"/>
  <c r="S102" i="15"/>
  <c r="S129" i="15" s="1"/>
  <c r="AJ102" i="15"/>
  <c r="AJ129" i="15" s="1"/>
  <c r="AH102" i="15"/>
  <c r="AH129" i="15" s="1"/>
  <c r="AT102" i="15"/>
  <c r="AT129" i="15" s="1"/>
  <c r="AB102" i="15"/>
  <c r="AB129" i="15" s="1"/>
  <c r="M102" i="15"/>
  <c r="M129" i="15" s="1"/>
  <c r="AS102" i="15"/>
  <c r="AS129" i="15" s="1"/>
  <c r="AR102" i="15"/>
  <c r="AR129" i="15" s="1"/>
  <c r="AA102" i="15"/>
  <c r="AA129" i="15" s="1"/>
  <c r="P101" i="15"/>
  <c r="AV101" i="15"/>
  <c r="AP102" i="15"/>
  <c r="AP129" i="15" s="1"/>
  <c r="AV102" i="15"/>
  <c r="AV129" i="15" s="1"/>
  <c r="Z102" i="15"/>
  <c r="Z129" i="15" s="1"/>
  <c r="F102" i="15"/>
  <c r="F129" i="15" s="1"/>
  <c r="W102" i="15"/>
  <c r="W129" i="15" s="1"/>
  <c r="I102" i="15"/>
  <c r="I129" i="15" s="1"/>
  <c r="Y102" i="15"/>
  <c r="Y129" i="15" s="1"/>
  <c r="AO102" i="15"/>
  <c r="AO129" i="15" s="1"/>
  <c r="P102" i="15"/>
  <c r="P129" i="15" s="1"/>
  <c r="AI102" i="15"/>
  <c r="AI129" i="15" s="1"/>
  <c r="V102" i="15"/>
  <c r="V129" i="15" s="1"/>
  <c r="AD102" i="15"/>
  <c r="AD129" i="15" s="1"/>
  <c r="K102" i="15"/>
  <c r="K129" i="15" s="1"/>
  <c r="O102" i="15"/>
  <c r="O129" i="15" s="1"/>
  <c r="D65" i="15"/>
  <c r="D101" i="15"/>
  <c r="D66" i="15"/>
  <c r="D102" i="15"/>
  <c r="D129" i="15" s="1"/>
  <c r="H101" i="15"/>
  <c r="X101" i="15"/>
  <c r="AF101" i="15"/>
  <c r="AN101" i="15"/>
  <c r="V101" i="15"/>
  <c r="AP101" i="15"/>
  <c r="O101" i="15"/>
  <c r="AI101" i="15"/>
  <c r="I101" i="15"/>
  <c r="Q101" i="15"/>
  <c r="Y101" i="15"/>
  <c r="AG101" i="15"/>
  <c r="AO101" i="15"/>
  <c r="F101" i="15"/>
  <c r="AD101" i="15"/>
  <c r="W101" i="15"/>
  <c r="AU101" i="15"/>
  <c r="Z101" i="15"/>
  <c r="K101" i="15"/>
  <c r="AE101" i="15"/>
  <c r="H102" i="15"/>
  <c r="H129" i="15" s="1"/>
  <c r="AN102" i="15"/>
  <c r="AN129" i="15" s="1"/>
  <c r="L101" i="15"/>
  <c r="T101" i="15"/>
  <c r="AB101" i="15"/>
  <c r="AJ101" i="15"/>
  <c r="AR101" i="15"/>
  <c r="J101" i="15"/>
  <c r="AH101" i="15"/>
  <c r="G101" i="15"/>
  <c r="AA101" i="15"/>
  <c r="E102" i="15"/>
  <c r="E129" i="15" s="1"/>
  <c r="AW99" i="15"/>
  <c r="M101" i="15"/>
  <c r="U101" i="15"/>
  <c r="AC101" i="15"/>
  <c r="AK101" i="15"/>
  <c r="AS101" i="15"/>
  <c r="R101" i="15"/>
  <c r="AL101" i="15"/>
  <c r="AM101" i="15"/>
  <c r="N101" i="15"/>
  <c r="AT101" i="15"/>
  <c r="S101" i="15"/>
  <c r="AQ101" i="15"/>
  <c r="AW61" i="15"/>
  <c r="D63" i="15"/>
  <c r="AW57" i="15"/>
  <c r="AW60" i="15"/>
  <c r="AW58"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S107" i="15" l="1"/>
  <c r="S106" i="15" s="1"/>
  <c r="S118" i="15"/>
  <c r="AL107" i="15"/>
  <c r="AL106" i="15" s="1"/>
  <c r="AL118" i="15"/>
  <c r="AC118" i="15"/>
  <c r="AC107" i="15"/>
  <c r="AC106" i="15" s="1"/>
  <c r="J107" i="15"/>
  <c r="J106" i="15" s="1"/>
  <c r="J118" i="15"/>
  <c r="T118" i="15"/>
  <c r="T107" i="15"/>
  <c r="T106" i="15" s="1"/>
  <c r="AE107" i="15"/>
  <c r="AE106" i="15" s="1"/>
  <c r="AE118" i="15"/>
  <c r="W107" i="15"/>
  <c r="W106" i="15" s="1"/>
  <c r="W118" i="15"/>
  <c r="AG118" i="15"/>
  <c r="AG107" i="15"/>
  <c r="AG106" i="15" s="1"/>
  <c r="AI107" i="15"/>
  <c r="AI106" i="15" s="1"/>
  <c r="AI118" i="15"/>
  <c r="AN118" i="15"/>
  <c r="AN107" i="15"/>
  <c r="AN106" i="15" s="1"/>
  <c r="AT118" i="15"/>
  <c r="AT107" i="15"/>
  <c r="AT106" i="15" s="1"/>
  <c r="R107" i="15"/>
  <c r="R106" i="15" s="1"/>
  <c r="R118" i="15"/>
  <c r="U118" i="15"/>
  <c r="U107" i="15"/>
  <c r="U106" i="15" s="1"/>
  <c r="AA107" i="15"/>
  <c r="AA106" i="15" s="1"/>
  <c r="AA118" i="15"/>
  <c r="AR118" i="15"/>
  <c r="AR107" i="15"/>
  <c r="AR106" i="15" s="1"/>
  <c r="L118" i="15"/>
  <c r="L107" i="15"/>
  <c r="L106" i="15" s="1"/>
  <c r="K107" i="15"/>
  <c r="K106" i="15" s="1"/>
  <c r="K118" i="15"/>
  <c r="AD107" i="15"/>
  <c r="AD106" i="15" s="1"/>
  <c r="AD118" i="15"/>
  <c r="Y118" i="15"/>
  <c r="Y107" i="15"/>
  <c r="Y106" i="15" s="1"/>
  <c r="O107" i="15"/>
  <c r="O106" i="15" s="1"/>
  <c r="O118" i="15"/>
  <c r="AF118" i="15"/>
  <c r="AF107" i="15"/>
  <c r="AF106" i="15" s="1"/>
  <c r="N118" i="15"/>
  <c r="N107" i="15"/>
  <c r="N106" i="15" s="1"/>
  <c r="AS118" i="15"/>
  <c r="AS107" i="15"/>
  <c r="AS106" i="15" s="1"/>
  <c r="M118" i="15"/>
  <c r="M107" i="15"/>
  <c r="M106" i="15" s="1"/>
  <c r="G107" i="15"/>
  <c r="G106" i="15" s="1"/>
  <c r="G118" i="15"/>
  <c r="AJ118" i="15"/>
  <c r="AJ107" i="15"/>
  <c r="AJ106" i="15" s="1"/>
  <c r="Z118" i="15"/>
  <c r="Z107" i="15"/>
  <c r="Z106" i="15" s="1"/>
  <c r="F107" i="15"/>
  <c r="F106" i="15" s="1"/>
  <c r="F118" i="15"/>
  <c r="Q118" i="15"/>
  <c r="Q107" i="15"/>
  <c r="Q106" i="15" s="1"/>
  <c r="AP107" i="15"/>
  <c r="AP106" i="15" s="1"/>
  <c r="AP118" i="15"/>
  <c r="X118" i="15"/>
  <c r="X107" i="15"/>
  <c r="X106" i="15" s="1"/>
  <c r="D118" i="15"/>
  <c r="D107" i="15"/>
  <c r="D106" i="15" s="1"/>
  <c r="D114" i="15" s="1"/>
  <c r="D115" i="15" s="1"/>
  <c r="AV118" i="15"/>
  <c r="AV107" i="15"/>
  <c r="AV106" i="15" s="1"/>
  <c r="AQ107" i="15"/>
  <c r="AQ106" i="15" s="1"/>
  <c r="AQ118" i="15"/>
  <c r="AM107" i="15"/>
  <c r="AM106" i="15" s="1"/>
  <c r="AM118" i="15"/>
  <c r="AK118" i="15"/>
  <c r="AK107" i="15"/>
  <c r="AK106" i="15" s="1"/>
  <c r="AH118" i="15"/>
  <c r="AH107" i="15"/>
  <c r="AH106" i="15" s="1"/>
  <c r="AB118" i="15"/>
  <c r="AB107" i="15"/>
  <c r="AB106" i="15" s="1"/>
  <c r="AU107" i="15"/>
  <c r="AU106" i="15" s="1"/>
  <c r="AU118" i="15"/>
  <c r="AO118" i="15"/>
  <c r="AO107" i="15"/>
  <c r="AO106" i="15" s="1"/>
  <c r="I118" i="15"/>
  <c r="I107" i="15"/>
  <c r="I106" i="15" s="1"/>
  <c r="V107" i="15"/>
  <c r="V106" i="15" s="1"/>
  <c r="V118" i="15"/>
  <c r="H118" i="15"/>
  <c r="H107" i="15"/>
  <c r="H106" i="15" s="1"/>
  <c r="P118" i="15"/>
  <c r="P107" i="15"/>
  <c r="P106" i="15" s="1"/>
  <c r="AW102" i="15"/>
  <c r="E101" i="15"/>
  <c r="AW100" i="15"/>
  <c r="AV63" i="15"/>
  <c r="AJ63" i="15"/>
  <c r="X63" i="15"/>
  <c r="L63" i="15"/>
  <c r="AM63" i="15"/>
  <c r="AI63" i="15"/>
  <c r="AE63" i="15"/>
  <c r="AA63" i="15"/>
  <c r="W63" i="15"/>
  <c r="S63" i="15"/>
  <c r="O63" i="15"/>
  <c r="K63" i="15"/>
  <c r="G63" i="15"/>
  <c r="AR63" i="15"/>
  <c r="AF63" i="15"/>
  <c r="T63" i="15"/>
  <c r="H63" i="15"/>
  <c r="AU63" i="15"/>
  <c r="AT63" i="15"/>
  <c r="AP63" i="15"/>
  <c r="AL63" i="15"/>
  <c r="AH63" i="15"/>
  <c r="AD63" i="15"/>
  <c r="Z63" i="15"/>
  <c r="V63" i="15"/>
  <c r="R63" i="15"/>
  <c r="N63" i="15"/>
  <c r="J63" i="15"/>
  <c r="F63" i="15"/>
  <c r="AN63" i="15"/>
  <c r="AB63" i="15"/>
  <c r="P63" i="15"/>
  <c r="AQ63" i="15"/>
  <c r="AS63" i="15"/>
  <c r="AO63" i="15"/>
  <c r="AK63" i="15"/>
  <c r="AG63" i="15"/>
  <c r="AC63" i="15"/>
  <c r="Y63" i="15"/>
  <c r="U63" i="15"/>
  <c r="Q63" i="15"/>
  <c r="M63" i="15"/>
  <c r="I63" i="15"/>
  <c r="E63" i="15"/>
  <c r="AW62" i="15"/>
  <c r="AW59" i="15"/>
  <c r="AP65" i="15"/>
  <c r="AP66" i="15"/>
  <c r="AL65" i="15"/>
  <c r="AL66" i="15"/>
  <c r="AH65" i="15"/>
  <c r="AH114" i="15" s="1"/>
  <c r="AH115" i="15" s="1"/>
  <c r="AH66" i="15"/>
  <c r="AD65" i="15"/>
  <c r="AD66" i="15"/>
  <c r="Z65" i="15"/>
  <c r="Z114" i="15" s="1"/>
  <c r="Z115" i="15" s="1"/>
  <c r="Z66" i="15"/>
  <c r="V65" i="15"/>
  <c r="V66" i="15"/>
  <c r="R65" i="15"/>
  <c r="R66" i="15"/>
  <c r="N65" i="15"/>
  <c r="N66" i="15"/>
  <c r="J65" i="15"/>
  <c r="J66" i="15"/>
  <c r="F65" i="15"/>
  <c r="F66" i="15"/>
  <c r="AS65" i="15"/>
  <c r="AS114" i="15" s="1"/>
  <c r="AS115" i="15" s="1"/>
  <c r="AS66" i="15"/>
  <c r="AK65" i="15"/>
  <c r="AK66" i="15"/>
  <c r="AG65" i="15"/>
  <c r="AG66" i="15"/>
  <c r="AC65" i="15"/>
  <c r="AC114" i="15" s="1"/>
  <c r="AC115" i="15" s="1"/>
  <c r="AC66" i="15"/>
  <c r="Y65" i="15"/>
  <c r="Y114" i="15" s="1"/>
  <c r="Y115" i="15" s="1"/>
  <c r="Y66" i="15"/>
  <c r="U65" i="15"/>
  <c r="U114" i="15" s="1"/>
  <c r="U115" i="15" s="1"/>
  <c r="U66" i="15"/>
  <c r="Q65" i="15"/>
  <c r="Q114" i="15" s="1"/>
  <c r="Q115" i="15" s="1"/>
  <c r="Q66" i="15"/>
  <c r="M65" i="15"/>
  <c r="M66" i="15"/>
  <c r="I65" i="15"/>
  <c r="I114" i="15" s="1"/>
  <c r="I115" i="15" s="1"/>
  <c r="I66" i="15"/>
  <c r="E65" i="15"/>
  <c r="E66" i="15"/>
  <c r="AT65" i="15"/>
  <c r="AT114" i="15" s="1"/>
  <c r="AT115" i="15" s="1"/>
  <c r="AT66" i="15"/>
  <c r="AO65" i="15"/>
  <c r="AO66" i="15"/>
  <c r="AR65" i="15"/>
  <c r="AR114" i="15" s="1"/>
  <c r="AR115" i="15" s="1"/>
  <c r="AR66" i="15"/>
  <c r="AN65" i="15"/>
  <c r="AN66" i="15"/>
  <c r="AJ65" i="15"/>
  <c r="AJ66" i="15"/>
  <c r="AF65" i="15"/>
  <c r="AF114" i="15" s="1"/>
  <c r="AF115" i="15" s="1"/>
  <c r="AF66" i="15"/>
  <c r="AB65" i="15"/>
  <c r="AB66" i="15"/>
  <c r="X65" i="15"/>
  <c r="X114" i="15" s="1"/>
  <c r="X115" i="15" s="1"/>
  <c r="X66" i="15"/>
  <c r="T65" i="15"/>
  <c r="T114" i="15" s="1"/>
  <c r="T115" i="15" s="1"/>
  <c r="T66" i="15"/>
  <c r="P65" i="15"/>
  <c r="P66" i="15"/>
  <c r="L65" i="15"/>
  <c r="L66" i="15"/>
  <c r="H65" i="15"/>
  <c r="H114" i="15" s="1"/>
  <c r="H115" i="15" s="1"/>
  <c r="H66" i="15"/>
  <c r="AV65" i="15"/>
  <c r="AV114" i="15" s="1"/>
  <c r="AV115" i="15" s="1"/>
  <c r="AV66" i="15"/>
  <c r="AU65" i="15"/>
  <c r="AU114" i="15" s="1"/>
  <c r="AU115" i="15" s="1"/>
  <c r="AU66" i="15"/>
  <c r="AQ65" i="15"/>
  <c r="AQ66" i="15"/>
  <c r="AM65" i="15"/>
  <c r="AM114" i="15" s="1"/>
  <c r="AM115" i="15" s="1"/>
  <c r="AM66" i="15"/>
  <c r="AI65" i="15"/>
  <c r="AI114" i="15" s="1"/>
  <c r="AI115" i="15" s="1"/>
  <c r="AI66" i="15"/>
  <c r="AE65" i="15"/>
  <c r="AE66" i="15"/>
  <c r="AA65" i="15"/>
  <c r="AA66" i="15"/>
  <c r="W65" i="15"/>
  <c r="W114" i="15" s="1"/>
  <c r="W115" i="15" s="1"/>
  <c r="W66" i="15"/>
  <c r="S65" i="15"/>
  <c r="S114" i="15" s="1"/>
  <c r="S115" i="15" s="1"/>
  <c r="S66" i="15"/>
  <c r="O65" i="15"/>
  <c r="O66" i="15"/>
  <c r="K65" i="15"/>
  <c r="K114" i="15" s="1"/>
  <c r="K115" i="15" s="1"/>
  <c r="K66" i="15"/>
  <c r="G65" i="15"/>
  <c r="G114" i="15" s="1"/>
  <c r="G115" i="15" s="1"/>
  <c r="G66" i="15"/>
  <c r="E21" i="15"/>
  <c r="E34" i="15" s="1"/>
  <c r="F21" i="15"/>
  <c r="F34" i="15" s="1"/>
  <c r="G21" i="15"/>
  <c r="G34" i="15" s="1"/>
  <c r="H21" i="15"/>
  <c r="H34" i="15" s="1"/>
  <c r="I21" i="15"/>
  <c r="I34" i="15" s="1"/>
  <c r="J21" i="15"/>
  <c r="J34" i="15" s="1"/>
  <c r="K21" i="15"/>
  <c r="K34" i="15" s="1"/>
  <c r="L21" i="15"/>
  <c r="L34" i="15" s="1"/>
  <c r="M21" i="15"/>
  <c r="M34" i="15" s="1"/>
  <c r="N21" i="15"/>
  <c r="N34" i="15" s="1"/>
  <c r="O21" i="15"/>
  <c r="O34" i="15" s="1"/>
  <c r="P21" i="15"/>
  <c r="P34" i="15" s="1"/>
  <c r="Q21" i="15"/>
  <c r="Q34" i="15" s="1"/>
  <c r="R21" i="15"/>
  <c r="R34" i="15" s="1"/>
  <c r="S21" i="15"/>
  <c r="S34" i="15" s="1"/>
  <c r="T21" i="15"/>
  <c r="T34" i="15" s="1"/>
  <c r="U21" i="15"/>
  <c r="U34" i="15" s="1"/>
  <c r="V21" i="15"/>
  <c r="V34" i="15" s="1"/>
  <c r="W21" i="15"/>
  <c r="W34" i="15" s="1"/>
  <c r="X21" i="15"/>
  <c r="X34" i="15" s="1"/>
  <c r="Y21" i="15"/>
  <c r="Y34" i="15" s="1"/>
  <c r="Z21" i="15"/>
  <c r="Z34" i="15" s="1"/>
  <c r="AA21" i="15"/>
  <c r="AA34" i="15" s="1"/>
  <c r="AB21" i="15"/>
  <c r="AB34" i="15" s="1"/>
  <c r="AC21" i="15"/>
  <c r="AC34" i="15" s="1"/>
  <c r="AD21" i="15"/>
  <c r="AD34" i="15" s="1"/>
  <c r="AE21" i="15"/>
  <c r="AE34" i="15" s="1"/>
  <c r="AF21" i="15"/>
  <c r="AF34" i="15" s="1"/>
  <c r="AG21" i="15"/>
  <c r="AG34" i="15" s="1"/>
  <c r="AH21" i="15"/>
  <c r="AH34" i="15" s="1"/>
  <c r="AI21" i="15"/>
  <c r="AI34" i="15" s="1"/>
  <c r="AJ21" i="15"/>
  <c r="AJ34" i="15" s="1"/>
  <c r="AK21" i="15"/>
  <c r="AK34" i="15" s="1"/>
  <c r="AL21" i="15"/>
  <c r="AL34" i="15" s="1"/>
  <c r="AM21" i="15"/>
  <c r="AM34" i="15" s="1"/>
  <c r="AN21" i="15"/>
  <c r="AN34" i="15" s="1"/>
  <c r="AO21" i="15"/>
  <c r="AO34" i="15" s="1"/>
  <c r="AP21" i="15"/>
  <c r="AP34" i="15" s="1"/>
  <c r="AQ21" i="15"/>
  <c r="AQ34" i="15" s="1"/>
  <c r="AR21" i="15"/>
  <c r="AR34" i="15" s="1"/>
  <c r="AS21" i="15"/>
  <c r="AS34" i="15" s="1"/>
  <c r="AT21" i="15"/>
  <c r="AT34" i="15" s="1"/>
  <c r="AU21" i="15"/>
  <c r="AU34" i="15" s="1"/>
  <c r="AV21" i="15"/>
  <c r="AV34" i="15" s="1"/>
  <c r="D21" i="15"/>
  <c r="D34" i="15" s="1"/>
  <c r="C29" i="15"/>
  <c r="BD29" i="15" s="1"/>
  <c r="C30" i="15"/>
  <c r="BD30" i="15" s="1"/>
  <c r="C31" i="15"/>
  <c r="BD31" i="15" s="1"/>
  <c r="C32" i="15"/>
  <c r="BD32" i="15" s="1"/>
  <c r="C28" i="15"/>
  <c r="BD28" i="15" s="1"/>
  <c r="P114" i="15" l="1"/>
  <c r="P115" i="15" s="1"/>
  <c r="O114" i="15"/>
  <c r="O115" i="15" s="1"/>
  <c r="AE114" i="15"/>
  <c r="AE115" i="15" s="1"/>
  <c r="AW65" i="15"/>
  <c r="AW66" i="15"/>
  <c r="F114" i="15"/>
  <c r="F115" i="15" s="1"/>
  <c r="V114" i="15"/>
  <c r="V115" i="15" s="1"/>
  <c r="AD114" i="15"/>
  <c r="AD115" i="15" s="1"/>
  <c r="AL114" i="15"/>
  <c r="AL115" i="15" s="1"/>
  <c r="AA114" i="15"/>
  <c r="AA115" i="15" s="1"/>
  <c r="AQ114" i="15"/>
  <c r="AQ115" i="15" s="1"/>
  <c r="J114" i="15"/>
  <c r="J115" i="15" s="1"/>
  <c r="R114" i="15"/>
  <c r="R115" i="15" s="1"/>
  <c r="AP114" i="15"/>
  <c r="AP115" i="15" s="1"/>
  <c r="L114" i="15"/>
  <c r="L115" i="15" s="1"/>
  <c r="AB114" i="15"/>
  <c r="AB115" i="15" s="1"/>
  <c r="AJ114" i="15"/>
  <c r="AJ115" i="15" s="1"/>
  <c r="AG114" i="15"/>
  <c r="AG115" i="15" s="1"/>
  <c r="AW101" i="15"/>
  <c r="E118" i="15"/>
  <c r="E117" i="15" s="1"/>
  <c r="E125" i="15" s="1"/>
  <c r="E126" i="15" s="1"/>
  <c r="E107" i="15"/>
  <c r="E106" i="15" s="1"/>
  <c r="E114" i="15" s="1"/>
  <c r="AN114" i="15"/>
  <c r="AN115" i="15" s="1"/>
  <c r="AO114" i="15"/>
  <c r="AO115" i="15" s="1"/>
  <c r="M114" i="15"/>
  <c r="M115" i="15" s="1"/>
  <c r="AK114" i="15"/>
  <c r="AK115" i="15" s="1"/>
  <c r="N114" i="15"/>
  <c r="N115" i="15" s="1"/>
  <c r="AW64" i="15"/>
  <c r="AW63" i="15"/>
  <c r="AW107" i="15"/>
  <c r="D128" i="15"/>
  <c r="D136" i="15" s="1"/>
  <c r="K68" i="15"/>
  <c r="K128" i="15"/>
  <c r="K136" i="15" s="1"/>
  <c r="K137" i="15" s="1"/>
  <c r="S68" i="15"/>
  <c r="S128" i="15"/>
  <c r="S136" i="15" s="1"/>
  <c r="S137" i="15" s="1"/>
  <c r="AA68" i="15"/>
  <c r="AA128" i="15"/>
  <c r="AA136" i="15" s="1"/>
  <c r="AA137" i="15" s="1"/>
  <c r="AI68" i="15"/>
  <c r="AI128" i="15"/>
  <c r="AI136" i="15" s="1"/>
  <c r="AI137" i="15" s="1"/>
  <c r="AQ68" i="15"/>
  <c r="AQ128" i="15"/>
  <c r="AQ136" i="15" s="1"/>
  <c r="AQ137" i="15" s="1"/>
  <c r="AV68" i="15"/>
  <c r="AV128" i="15"/>
  <c r="AV136" i="15" s="1"/>
  <c r="AV137" i="15" s="1"/>
  <c r="H68" i="15"/>
  <c r="H128" i="15"/>
  <c r="H136" i="15" s="1"/>
  <c r="H137" i="15" s="1"/>
  <c r="P68" i="15"/>
  <c r="P128" i="15"/>
  <c r="P136" i="15" s="1"/>
  <c r="P137" i="15" s="1"/>
  <c r="X68" i="15"/>
  <c r="X128" i="15"/>
  <c r="X136" i="15" s="1"/>
  <c r="X137" i="15" s="1"/>
  <c r="AF68" i="15"/>
  <c r="AF128" i="15"/>
  <c r="AF136" i="15" s="1"/>
  <c r="AF137" i="15" s="1"/>
  <c r="AN68" i="15"/>
  <c r="AN128" i="15"/>
  <c r="AN136" i="15" s="1"/>
  <c r="AN137" i="15" s="1"/>
  <c r="AO68" i="15"/>
  <c r="AO128" i="15"/>
  <c r="AO136" i="15" s="1"/>
  <c r="AO137" i="15" s="1"/>
  <c r="E68" i="15"/>
  <c r="E128" i="15"/>
  <c r="E136" i="15" s="1"/>
  <c r="E137" i="15" s="1"/>
  <c r="M68" i="15"/>
  <c r="M128" i="15"/>
  <c r="M136" i="15" s="1"/>
  <c r="M137" i="15" s="1"/>
  <c r="U68" i="15"/>
  <c r="U128" i="15"/>
  <c r="U136" i="15" s="1"/>
  <c r="U137" i="15" s="1"/>
  <c r="AC68" i="15"/>
  <c r="AC128" i="15"/>
  <c r="AC136" i="15" s="1"/>
  <c r="AC137" i="15" s="1"/>
  <c r="AK68" i="15"/>
  <c r="AK128" i="15"/>
  <c r="AK136" i="15" s="1"/>
  <c r="AK137" i="15" s="1"/>
  <c r="F68" i="15"/>
  <c r="F128" i="15"/>
  <c r="F136" i="15" s="1"/>
  <c r="F137" i="15" s="1"/>
  <c r="N68" i="15"/>
  <c r="N128" i="15"/>
  <c r="N136" i="15" s="1"/>
  <c r="N137" i="15" s="1"/>
  <c r="V68" i="15"/>
  <c r="V128" i="15"/>
  <c r="V136" i="15" s="1"/>
  <c r="V137" i="15" s="1"/>
  <c r="AD68" i="15"/>
  <c r="AD128" i="15"/>
  <c r="AD136" i="15" s="1"/>
  <c r="AD137" i="15" s="1"/>
  <c r="AL68" i="15"/>
  <c r="AL128" i="15"/>
  <c r="AL136" i="15" s="1"/>
  <c r="AL137" i="15" s="1"/>
  <c r="K67" i="15"/>
  <c r="K117" i="15"/>
  <c r="K125" i="15" s="1"/>
  <c r="K126" i="15" s="1"/>
  <c r="S67" i="15"/>
  <c r="S117" i="15"/>
  <c r="S125" i="15" s="1"/>
  <c r="S126" i="15" s="1"/>
  <c r="AA67" i="15"/>
  <c r="AA117" i="15"/>
  <c r="AA125" i="15" s="1"/>
  <c r="AA126" i="15" s="1"/>
  <c r="AI67" i="15"/>
  <c r="AI117" i="15"/>
  <c r="AI125" i="15" s="1"/>
  <c r="AI126" i="15" s="1"/>
  <c r="AQ67" i="15"/>
  <c r="AQ117" i="15"/>
  <c r="AQ125" i="15" s="1"/>
  <c r="AQ126" i="15" s="1"/>
  <c r="AV67" i="15"/>
  <c r="AV117" i="15"/>
  <c r="AV125" i="15" s="1"/>
  <c r="AV126" i="15" s="1"/>
  <c r="H67" i="15"/>
  <c r="H117" i="15"/>
  <c r="H125" i="15" s="1"/>
  <c r="H126" i="15" s="1"/>
  <c r="P67" i="15"/>
  <c r="P117" i="15"/>
  <c r="P125" i="15" s="1"/>
  <c r="P126" i="15" s="1"/>
  <c r="X67" i="15"/>
  <c r="X117" i="15"/>
  <c r="X125" i="15" s="1"/>
  <c r="X126" i="15" s="1"/>
  <c r="AF67" i="15"/>
  <c r="AF117" i="15"/>
  <c r="AF125" i="15" s="1"/>
  <c r="AF126" i="15" s="1"/>
  <c r="AN67" i="15"/>
  <c r="AN117" i="15"/>
  <c r="AN125" i="15" s="1"/>
  <c r="AN126" i="15" s="1"/>
  <c r="AO67" i="15"/>
  <c r="AO117" i="15"/>
  <c r="AO125" i="15" s="1"/>
  <c r="AO126" i="15" s="1"/>
  <c r="E67" i="15"/>
  <c r="M67" i="15"/>
  <c r="M117" i="15"/>
  <c r="M125" i="15" s="1"/>
  <c r="M126" i="15" s="1"/>
  <c r="U67" i="15"/>
  <c r="U117" i="15"/>
  <c r="U125" i="15" s="1"/>
  <c r="U126" i="15" s="1"/>
  <c r="AC67" i="15"/>
  <c r="AC117" i="15"/>
  <c r="AC125" i="15" s="1"/>
  <c r="AC126" i="15" s="1"/>
  <c r="AK67" i="15"/>
  <c r="AK117" i="15"/>
  <c r="AK125" i="15" s="1"/>
  <c r="AK126" i="15" s="1"/>
  <c r="F67" i="15"/>
  <c r="F117" i="15"/>
  <c r="F125" i="15" s="1"/>
  <c r="F126" i="15" s="1"/>
  <c r="N67" i="15"/>
  <c r="N117" i="15"/>
  <c r="N125" i="15" s="1"/>
  <c r="N126" i="15" s="1"/>
  <c r="V67" i="15"/>
  <c r="V117" i="15"/>
  <c r="V125" i="15" s="1"/>
  <c r="V126" i="15" s="1"/>
  <c r="AD67" i="15"/>
  <c r="AD117" i="15"/>
  <c r="AD125" i="15" s="1"/>
  <c r="AD126" i="15" s="1"/>
  <c r="AL67" i="15"/>
  <c r="AL117" i="15"/>
  <c r="AL125" i="15" s="1"/>
  <c r="AL126" i="15" s="1"/>
  <c r="G68" i="15"/>
  <c r="G128" i="15"/>
  <c r="G136" i="15" s="1"/>
  <c r="G137" i="15" s="1"/>
  <c r="O68" i="15"/>
  <c r="O128" i="15"/>
  <c r="O136" i="15" s="1"/>
  <c r="O137" i="15" s="1"/>
  <c r="W68" i="15"/>
  <c r="W128" i="15"/>
  <c r="W136" i="15" s="1"/>
  <c r="W137" i="15" s="1"/>
  <c r="AE68" i="15"/>
  <c r="AE128" i="15"/>
  <c r="AE136" i="15" s="1"/>
  <c r="AE137" i="15" s="1"/>
  <c r="AM68" i="15"/>
  <c r="AM128" i="15"/>
  <c r="AM136" i="15" s="1"/>
  <c r="AM137" i="15" s="1"/>
  <c r="AU68" i="15"/>
  <c r="AU128" i="15"/>
  <c r="AU136" i="15" s="1"/>
  <c r="AU137" i="15" s="1"/>
  <c r="L68" i="15"/>
  <c r="L128" i="15"/>
  <c r="L136" i="15" s="1"/>
  <c r="L137" i="15" s="1"/>
  <c r="T68" i="15"/>
  <c r="T128" i="15"/>
  <c r="T136" i="15" s="1"/>
  <c r="T137" i="15" s="1"/>
  <c r="AB68" i="15"/>
  <c r="AB128" i="15"/>
  <c r="AB136" i="15" s="1"/>
  <c r="AB137" i="15" s="1"/>
  <c r="AJ68" i="15"/>
  <c r="AJ128" i="15"/>
  <c r="AJ136" i="15" s="1"/>
  <c r="AJ137" i="15" s="1"/>
  <c r="AR68" i="15"/>
  <c r="AR128" i="15"/>
  <c r="AR136" i="15" s="1"/>
  <c r="AR137" i="15" s="1"/>
  <c r="AT68" i="15"/>
  <c r="AT128" i="15"/>
  <c r="AT136" i="15" s="1"/>
  <c r="AT137" i="15" s="1"/>
  <c r="I68" i="15"/>
  <c r="I128" i="15"/>
  <c r="I136" i="15" s="1"/>
  <c r="I137" i="15" s="1"/>
  <c r="Q68" i="15"/>
  <c r="Q128" i="15"/>
  <c r="Q136" i="15" s="1"/>
  <c r="Q137" i="15" s="1"/>
  <c r="Y68" i="15"/>
  <c r="Y128" i="15"/>
  <c r="Y136" i="15" s="1"/>
  <c r="Y137" i="15" s="1"/>
  <c r="AG68" i="15"/>
  <c r="AG128" i="15"/>
  <c r="AG136" i="15" s="1"/>
  <c r="AG137" i="15" s="1"/>
  <c r="AS68" i="15"/>
  <c r="AS128" i="15"/>
  <c r="AS136" i="15" s="1"/>
  <c r="AS137" i="15" s="1"/>
  <c r="J68" i="15"/>
  <c r="J128" i="15"/>
  <c r="J136" i="15" s="1"/>
  <c r="J137" i="15" s="1"/>
  <c r="R68" i="15"/>
  <c r="R128" i="15"/>
  <c r="R136" i="15" s="1"/>
  <c r="R137" i="15" s="1"/>
  <c r="Z68" i="15"/>
  <c r="Z128" i="15"/>
  <c r="Z136" i="15" s="1"/>
  <c r="Z137" i="15" s="1"/>
  <c r="AH68" i="15"/>
  <c r="AH128" i="15"/>
  <c r="AH136" i="15" s="1"/>
  <c r="AH137" i="15" s="1"/>
  <c r="AP68" i="15"/>
  <c r="AP128" i="15"/>
  <c r="AP136" i="15" s="1"/>
  <c r="AP137" i="15" s="1"/>
  <c r="G67" i="15"/>
  <c r="G117" i="15"/>
  <c r="G125" i="15" s="1"/>
  <c r="G126" i="15" s="1"/>
  <c r="O67" i="15"/>
  <c r="O117" i="15"/>
  <c r="O125" i="15" s="1"/>
  <c r="O126" i="15" s="1"/>
  <c r="W67" i="15"/>
  <c r="W117" i="15"/>
  <c r="W125" i="15" s="1"/>
  <c r="W126" i="15" s="1"/>
  <c r="AE67" i="15"/>
  <c r="AE117" i="15"/>
  <c r="AE125" i="15" s="1"/>
  <c r="AE126" i="15" s="1"/>
  <c r="AM67" i="15"/>
  <c r="AM117" i="15"/>
  <c r="AM125" i="15" s="1"/>
  <c r="AM126" i="15" s="1"/>
  <c r="AU67" i="15"/>
  <c r="AU117" i="15"/>
  <c r="AU125" i="15" s="1"/>
  <c r="AU126" i="15" s="1"/>
  <c r="L67" i="15"/>
  <c r="L117" i="15"/>
  <c r="L125" i="15" s="1"/>
  <c r="L126" i="15" s="1"/>
  <c r="T67" i="15"/>
  <c r="T117" i="15"/>
  <c r="T125" i="15" s="1"/>
  <c r="T126" i="15" s="1"/>
  <c r="AB67" i="15"/>
  <c r="AB117" i="15"/>
  <c r="AB125" i="15" s="1"/>
  <c r="AB126" i="15" s="1"/>
  <c r="AJ67" i="15"/>
  <c r="AJ117" i="15"/>
  <c r="AJ125" i="15" s="1"/>
  <c r="AJ126" i="15" s="1"/>
  <c r="AR67" i="15"/>
  <c r="AR117" i="15"/>
  <c r="AR125" i="15" s="1"/>
  <c r="AR126" i="15" s="1"/>
  <c r="AT67" i="15"/>
  <c r="AT117" i="15"/>
  <c r="AT125" i="15" s="1"/>
  <c r="AT126" i="15" s="1"/>
  <c r="I67" i="15"/>
  <c r="I117" i="15"/>
  <c r="I125" i="15" s="1"/>
  <c r="I126" i="15" s="1"/>
  <c r="Q67" i="15"/>
  <c r="Q117" i="15"/>
  <c r="Q125" i="15" s="1"/>
  <c r="Q126" i="15" s="1"/>
  <c r="Y67" i="15"/>
  <c r="Y117" i="15"/>
  <c r="Y125" i="15" s="1"/>
  <c r="Y126" i="15" s="1"/>
  <c r="AG67" i="15"/>
  <c r="AG117" i="15"/>
  <c r="AG125" i="15" s="1"/>
  <c r="AG126" i="15" s="1"/>
  <c r="AS67" i="15"/>
  <c r="AS117" i="15"/>
  <c r="AS125" i="15" s="1"/>
  <c r="AS126" i="15" s="1"/>
  <c r="J67" i="15"/>
  <c r="J117" i="15"/>
  <c r="J125" i="15" s="1"/>
  <c r="J126" i="15" s="1"/>
  <c r="R67" i="15"/>
  <c r="R117" i="15"/>
  <c r="R125" i="15" s="1"/>
  <c r="R126" i="15" s="1"/>
  <c r="Z67" i="15"/>
  <c r="Z117" i="15"/>
  <c r="Z125" i="15" s="1"/>
  <c r="Z126" i="15" s="1"/>
  <c r="AH67" i="15"/>
  <c r="AH117" i="15"/>
  <c r="AH125" i="15" s="1"/>
  <c r="AH126" i="15" s="1"/>
  <c r="AP67" i="15"/>
  <c r="AP117" i="15"/>
  <c r="AP125" i="15" s="1"/>
  <c r="AP126" i="15" s="1"/>
  <c r="D68" i="15"/>
  <c r="D67" i="15"/>
  <c r="C22" i="26"/>
  <c r="AW68" i="15" l="1"/>
  <c r="AW67" i="15"/>
  <c r="AW106" i="15"/>
  <c r="AW129" i="15"/>
  <c r="E115" i="15"/>
  <c r="AW115" i="15" s="1"/>
  <c r="AW114" i="15"/>
  <c r="D117" i="15"/>
  <c r="D125" i="15" s="1"/>
  <c r="AW118" i="15"/>
  <c r="AW136" i="15"/>
  <c r="D137" i="15"/>
  <c r="AW137" i="15" s="1"/>
  <c r="AW128" i="15"/>
  <c r="AW11" i="15"/>
  <c r="BE11" i="15" s="1"/>
  <c r="BG11" i="15" s="1"/>
  <c r="AW8" i="15"/>
  <c r="BE8" i="15" s="1"/>
  <c r="AW7" i="15"/>
  <c r="BE7" i="15" s="1"/>
  <c r="AW6" i="15"/>
  <c r="BE6" i="15" s="1"/>
  <c r="BG6" i="15" s="1"/>
  <c r="AW9" i="15"/>
  <c r="BE9" i="15" s="1"/>
  <c r="AW10" i="15"/>
  <c r="BE10" i="15" s="1"/>
  <c r="BG9" i="15" l="1"/>
  <c r="BG55" i="15" s="1"/>
  <c r="BE55" i="15"/>
  <c r="BG7" i="15"/>
  <c r="BE52" i="15"/>
  <c r="BE53" i="15"/>
  <c r="BG10" i="15"/>
  <c r="BG56" i="15" s="1"/>
  <c r="BE56" i="15"/>
  <c r="BG8" i="15"/>
  <c r="BG54" i="15" s="1"/>
  <c r="BE54" i="15"/>
  <c r="AW117" i="15"/>
  <c r="AW125" i="15"/>
  <c r="D126" i="15"/>
  <c r="AW126" i="15" s="1"/>
  <c r="K2" i="9"/>
  <c r="C33" i="9"/>
  <c r="H24" i="10"/>
  <c r="D33" i="9"/>
  <c r="G16" i="10"/>
  <c r="BG53" i="15" l="1"/>
  <c r="BG52" i="15"/>
  <c r="BE57" i="15"/>
  <c r="BE59" i="15" s="1"/>
  <c r="BE58" i="15"/>
  <c r="BE60" i="15" s="1"/>
  <c r="C17" i="26"/>
  <c r="C16" i="26"/>
  <c r="BG57" i="15" l="1"/>
  <c r="BG59" i="15" s="1"/>
  <c r="BG58" i="15"/>
  <c r="BG60" i="15" s="1"/>
  <c r="D8" i="9"/>
  <c r="D52" i="9" l="1"/>
  <c r="D51" i="9"/>
  <c r="D50" i="9"/>
  <c r="D49" i="9"/>
  <c r="D48" i="9"/>
  <c r="D47" i="9"/>
  <c r="D46" i="9"/>
  <c r="D44" i="9"/>
  <c r="D45" i="9"/>
  <c r="D37" i="9"/>
  <c r="D36" i="9"/>
  <c r="D35" i="9"/>
  <c r="D32" i="9"/>
  <c r="D31" i="9"/>
  <c r="D29" i="9"/>
  <c r="D28" i="9"/>
  <c r="D27" i="9"/>
  <c r="D26" i="9"/>
  <c r="D24" i="9"/>
  <c r="D23" i="9"/>
  <c r="D22" i="9"/>
  <c r="D21" i="9"/>
  <c r="D20" i="9"/>
  <c r="E9" i="9"/>
  <c r="E24" i="9" s="1"/>
  <c r="C58" i="9"/>
  <c r="AW48" i="15"/>
  <c r="BE48" i="15" s="1"/>
  <c r="BG48" i="15" s="1"/>
  <c r="E28" i="9" l="1"/>
  <c r="E8" i="9"/>
  <c r="E33" i="9"/>
  <c r="E22" i="9"/>
  <c r="F9" i="9"/>
  <c r="F33" i="9" s="1"/>
  <c r="E21" i="9"/>
  <c r="E26" i="9"/>
  <c r="E20" i="9"/>
  <c r="E50" i="9"/>
  <c r="E23" i="9"/>
  <c r="E47" i="9"/>
  <c r="E45" i="9"/>
  <c r="E49" i="9"/>
  <c r="E44" i="9"/>
  <c r="E48" i="9"/>
  <c r="E52" i="9"/>
  <c r="E37" i="9"/>
  <c r="E31" i="9"/>
  <c r="E46" i="9"/>
  <c r="E35" i="9"/>
  <c r="E32" i="9"/>
  <c r="E51" i="9"/>
  <c r="E36" i="9"/>
  <c r="E29" i="9"/>
  <c r="E27" i="9"/>
  <c r="AW80" i="15"/>
  <c r="AW78" i="15"/>
  <c r="AW73" i="15"/>
  <c r="AW41" i="15"/>
  <c r="BE41" i="15" s="1"/>
  <c r="AW47" i="15"/>
  <c r="BE47" i="15" s="1"/>
  <c r="BG47" i="15" s="1"/>
  <c r="AW49" i="15"/>
  <c r="BE49" i="15" s="1"/>
  <c r="BG49" i="15" s="1"/>
  <c r="AW50" i="15"/>
  <c r="BE50" i="15" s="1"/>
  <c r="BG50" i="15" s="1"/>
  <c r="AW40" i="15"/>
  <c r="BE40" i="15" s="1"/>
  <c r="AW15" i="15"/>
  <c r="AW16" i="15"/>
  <c r="BE16" i="15" s="1"/>
  <c r="BG16" i="15" s="1"/>
  <c r="AW17" i="15"/>
  <c r="BE17" i="15" s="1"/>
  <c r="BG17" i="15" s="1"/>
  <c r="AW18" i="15"/>
  <c r="BE18" i="15" s="1"/>
  <c r="BG18" i="15" s="1"/>
  <c r="AW14" i="15"/>
  <c r="BE14" i="15" s="1"/>
  <c r="BG14" i="15" s="1"/>
  <c r="F21" i="9" l="1"/>
  <c r="F36" i="9"/>
  <c r="F8" i="9"/>
  <c r="BE15" i="15"/>
  <c r="BG15" i="15" s="1"/>
  <c r="BG62" i="15" s="1"/>
  <c r="BG65" i="15" s="1"/>
  <c r="BG40" i="15"/>
  <c r="BG41" i="15"/>
  <c r="F32" i="9"/>
  <c r="F35" i="9"/>
  <c r="F48" i="9"/>
  <c r="F22" i="9"/>
  <c r="F47" i="9"/>
  <c r="F27" i="9"/>
  <c r="F31" i="9"/>
  <c r="F50" i="9"/>
  <c r="F51" i="9"/>
  <c r="F23" i="9"/>
  <c r="F52" i="9"/>
  <c r="F49" i="9"/>
  <c r="F46" i="9"/>
  <c r="F29" i="9"/>
  <c r="F26" i="9"/>
  <c r="F20" i="9"/>
  <c r="F24" i="9"/>
  <c r="F44" i="9"/>
  <c r="F45" i="9"/>
  <c r="G9" i="9"/>
  <c r="G50" i="9" s="1"/>
  <c r="F28" i="9"/>
  <c r="F37" i="9"/>
  <c r="E53" i="9"/>
  <c r="G23" i="9"/>
  <c r="H74" i="15"/>
  <c r="T74" i="15"/>
  <c r="X74" i="15"/>
  <c r="AJ74" i="15"/>
  <c r="AN74" i="15"/>
  <c r="E74" i="15"/>
  <c r="F74" i="15"/>
  <c r="G74" i="15"/>
  <c r="I74" i="15"/>
  <c r="J74" i="15"/>
  <c r="K74" i="15"/>
  <c r="L74" i="15"/>
  <c r="M74" i="15"/>
  <c r="N74" i="15"/>
  <c r="O74" i="15"/>
  <c r="P74" i="15"/>
  <c r="Q74" i="15"/>
  <c r="R74" i="15"/>
  <c r="S74" i="15"/>
  <c r="U74" i="15"/>
  <c r="V74" i="15"/>
  <c r="W74" i="15"/>
  <c r="Y74" i="15"/>
  <c r="Z74" i="15"/>
  <c r="AA74" i="15"/>
  <c r="AB74" i="15"/>
  <c r="AC74" i="15"/>
  <c r="AD74" i="15"/>
  <c r="AE74" i="15"/>
  <c r="AF74" i="15"/>
  <c r="AG74" i="15"/>
  <c r="AH74" i="15"/>
  <c r="AI74" i="15"/>
  <c r="AK74" i="15"/>
  <c r="AL74" i="15"/>
  <c r="AM74" i="15"/>
  <c r="AO74" i="15"/>
  <c r="AP74" i="15"/>
  <c r="AQ74" i="15"/>
  <c r="AR74" i="15"/>
  <c r="AS74" i="15"/>
  <c r="AT74" i="15"/>
  <c r="AU74" i="15"/>
  <c r="D74" i="15"/>
  <c r="AV74" i="15"/>
  <c r="BE62" i="15" l="1"/>
  <c r="BE65" i="15" s="1"/>
  <c r="BG66" i="15"/>
  <c r="BG129" i="15" s="1"/>
  <c r="BG128" i="15" s="1"/>
  <c r="BG136" i="15" s="1"/>
  <c r="BG137" i="15" s="1"/>
  <c r="BG67" i="15"/>
  <c r="BE66" i="15"/>
  <c r="BG118" i="15"/>
  <c r="BG117" i="15" s="1"/>
  <c r="BG125" i="15" s="1"/>
  <c r="BG126" i="15" s="1"/>
  <c r="BG107" i="15"/>
  <c r="BG106" i="15" s="1"/>
  <c r="BG114" i="15" s="1"/>
  <c r="BG115" i="15" s="1"/>
  <c r="G29" i="9"/>
  <c r="G47" i="9"/>
  <c r="G44" i="9"/>
  <c r="G22" i="9"/>
  <c r="G28" i="9"/>
  <c r="G48" i="9"/>
  <c r="G31" i="9"/>
  <c r="G52" i="9"/>
  <c r="G8" i="9"/>
  <c r="G33" i="9"/>
  <c r="G21" i="9"/>
  <c r="H9" i="9"/>
  <c r="I9" i="9" s="1"/>
  <c r="G49" i="9"/>
  <c r="G32" i="9"/>
  <c r="G27" i="9"/>
  <c r="G46" i="9"/>
  <c r="G24" i="9"/>
  <c r="G20" i="9"/>
  <c r="G45" i="9"/>
  <c r="G26" i="9"/>
  <c r="G51" i="9"/>
  <c r="F53" i="9"/>
  <c r="AW74" i="15"/>
  <c r="BH62" i="15" l="1"/>
  <c r="BI62" i="15" s="1"/>
  <c r="H63" i="9"/>
  <c r="H66" i="9" s="1"/>
  <c r="G53" i="9"/>
  <c r="BG68" i="15"/>
  <c r="BE129" i="15"/>
  <c r="BE128" i="15" s="1"/>
  <c r="BE136" i="15" s="1"/>
  <c r="BE137" i="15" s="1"/>
  <c r="BE68" i="15"/>
  <c r="BE107" i="15"/>
  <c r="BE106" i="15" s="1"/>
  <c r="BE114" i="15" s="1"/>
  <c r="BE115" i="15" s="1"/>
  <c r="BE118" i="15"/>
  <c r="BE117" i="15" s="1"/>
  <c r="BE125" i="15" s="1"/>
  <c r="BE126" i="15" s="1"/>
  <c r="BE67" i="15"/>
  <c r="I8" i="9"/>
  <c r="I72" i="9"/>
  <c r="I33" i="9"/>
  <c r="H8" i="9"/>
  <c r="H72" i="9"/>
  <c r="H33" i="9"/>
  <c r="H57" i="9"/>
  <c r="J9" i="9"/>
  <c r="I57" i="9"/>
  <c r="I63" i="9"/>
  <c r="I66" i="9" s="1"/>
  <c r="D57" i="9"/>
  <c r="E57" i="9"/>
  <c r="F57" i="9"/>
  <c r="G57" i="9"/>
  <c r="J8" i="9" l="1"/>
  <c r="J72" i="9"/>
  <c r="J33" i="9"/>
  <c r="K9" i="9"/>
  <c r="J57" i="9"/>
  <c r="J63" i="9"/>
  <c r="J66" i="9" s="1"/>
  <c r="F65" i="9"/>
  <c r="F64" i="9"/>
  <c r="K8" i="9" l="1"/>
  <c r="K72" i="9"/>
  <c r="K33" i="9"/>
  <c r="L9" i="9"/>
  <c r="K57" i="9"/>
  <c r="K63" i="9"/>
  <c r="K66" i="9" s="1"/>
  <c r="I40" i="9"/>
  <c r="J40" i="9"/>
  <c r="H40" i="9"/>
  <c r="L8" i="9" l="1"/>
  <c r="L72" i="9"/>
  <c r="L33" i="9"/>
  <c r="K40" i="9"/>
  <c r="M9" i="9"/>
  <c r="L57" i="9"/>
  <c r="L63" i="9"/>
  <c r="L66" i="9" s="1"/>
  <c r="M8" i="9" l="1"/>
  <c r="M72" i="9"/>
  <c r="M33" i="9"/>
  <c r="L40" i="9"/>
  <c r="N9" i="9"/>
  <c r="M57" i="9"/>
  <c r="M63" i="9"/>
  <c r="M66" i="9" s="1"/>
  <c r="B4" i="24"/>
  <c r="C4" i="24"/>
  <c r="B5" i="24"/>
  <c r="C5" i="24"/>
  <c r="B6" i="24"/>
  <c r="C6" i="24"/>
  <c r="B7" i="24"/>
  <c r="C7" i="24"/>
  <c r="B8" i="24"/>
  <c r="B9" i="24"/>
  <c r="B10" i="24"/>
  <c r="K10" i="24"/>
  <c r="B11" i="24"/>
  <c r="B12" i="24"/>
  <c r="B13" i="24"/>
  <c r="B14" i="24"/>
  <c r="B15" i="24"/>
  <c r="C16" i="24"/>
  <c r="C17" i="24"/>
  <c r="E24" i="24"/>
  <c r="C30" i="24"/>
  <c r="D30" i="24"/>
  <c r="E30" i="24"/>
  <c r="F30" i="24"/>
  <c r="G30" i="24"/>
  <c r="H30" i="24"/>
  <c r="I30" i="24"/>
  <c r="J30" i="24"/>
  <c r="K30" i="24"/>
  <c r="L30" i="24"/>
  <c r="M30" i="24"/>
  <c r="N30" i="24"/>
  <c r="C32" i="24"/>
  <c r="D32" i="24"/>
  <c r="E32" i="24"/>
  <c r="F32" i="24"/>
  <c r="G32" i="24"/>
  <c r="H32" i="24"/>
  <c r="I32" i="24"/>
  <c r="J32" i="24"/>
  <c r="K32" i="24"/>
  <c r="L32" i="24"/>
  <c r="M32" i="24"/>
  <c r="N32" i="24"/>
  <c r="A36" i="24"/>
  <c r="A37" i="24"/>
  <c r="A38" i="24"/>
  <c r="C38" i="24"/>
  <c r="D38" i="24"/>
  <c r="E38" i="24"/>
  <c r="F38" i="24"/>
  <c r="G38" i="24"/>
  <c r="H38" i="24"/>
  <c r="I38" i="24"/>
  <c r="J38" i="24"/>
  <c r="K38" i="24"/>
  <c r="L38" i="24"/>
  <c r="M38" i="24"/>
  <c r="N38" i="24"/>
  <c r="O38" i="24"/>
  <c r="A39" i="24"/>
  <c r="C39" i="24"/>
  <c r="D39" i="24"/>
  <c r="E39" i="24"/>
  <c r="F39" i="24"/>
  <c r="G39" i="24"/>
  <c r="H39" i="24"/>
  <c r="I39" i="24"/>
  <c r="J39" i="24"/>
  <c r="K39" i="24"/>
  <c r="L39" i="24"/>
  <c r="M39" i="24"/>
  <c r="N39" i="24"/>
  <c r="O39" i="24"/>
  <c r="A40" i="24"/>
  <c r="C40" i="24"/>
  <c r="D40" i="24"/>
  <c r="E40" i="24"/>
  <c r="F40" i="24"/>
  <c r="G40" i="24"/>
  <c r="H40" i="24"/>
  <c r="I40" i="24"/>
  <c r="J40" i="24"/>
  <c r="K40" i="24"/>
  <c r="L40" i="24"/>
  <c r="M40" i="24"/>
  <c r="N40" i="24"/>
  <c r="O40" i="24"/>
  <c r="A41" i="24"/>
  <c r="C41" i="24"/>
  <c r="D41" i="24"/>
  <c r="E41" i="24"/>
  <c r="F41" i="24"/>
  <c r="G41" i="24"/>
  <c r="H41" i="24"/>
  <c r="I41" i="24"/>
  <c r="J41" i="24"/>
  <c r="K41" i="24"/>
  <c r="L41" i="24"/>
  <c r="M41" i="24"/>
  <c r="N41" i="24"/>
  <c r="O41" i="24"/>
  <c r="A42" i="24"/>
  <c r="C42" i="24"/>
  <c r="D42" i="24"/>
  <c r="E42" i="24"/>
  <c r="F42" i="24"/>
  <c r="G42" i="24"/>
  <c r="H42" i="24"/>
  <c r="I42" i="24"/>
  <c r="J42" i="24"/>
  <c r="K42" i="24"/>
  <c r="L42" i="24"/>
  <c r="M42" i="24"/>
  <c r="N42" i="24"/>
  <c r="O42" i="24"/>
  <c r="D4" i="22"/>
  <c r="E4" i="22"/>
  <c r="F4" i="22"/>
  <c r="G4" i="22"/>
  <c r="C9" i="22"/>
  <c r="D9" i="22" s="1"/>
  <c r="Q18" i="22"/>
  <c r="O39" i="22"/>
  <c r="O41" i="22" s="1"/>
  <c r="C41" i="22"/>
  <c r="C45" i="22" s="1"/>
  <c r="D41" i="22"/>
  <c r="E41" i="22"/>
  <c r="E45" i="22" s="1"/>
  <c r="F41" i="22"/>
  <c r="F45" i="22" s="1"/>
  <c r="G41" i="22"/>
  <c r="G45" i="22" s="1"/>
  <c r="H41" i="22"/>
  <c r="H45" i="22" s="1"/>
  <c r="I14" i="22" s="1"/>
  <c r="H21" i="24" s="1"/>
  <c r="I41" i="22"/>
  <c r="I45" i="22" s="1"/>
  <c r="J41" i="22"/>
  <c r="J45" i="22" s="1"/>
  <c r="K41" i="22"/>
  <c r="K45" i="22" s="1"/>
  <c r="L41" i="22"/>
  <c r="M41" i="22"/>
  <c r="N41" i="22"/>
  <c r="N45" i="22" s="1"/>
  <c r="O42" i="22"/>
  <c r="O43" i="22"/>
  <c r="O44" i="22"/>
  <c r="D45" i="22"/>
  <c r="L45" i="22"/>
  <c r="M16" i="22" s="1"/>
  <c r="L23" i="24" s="1"/>
  <c r="M45" i="22"/>
  <c r="N14" i="22" s="1"/>
  <c r="M21" i="24" s="1"/>
  <c r="O50" i="22"/>
  <c r="C51" i="22"/>
  <c r="C31" i="24" s="1"/>
  <c r="D51" i="22"/>
  <c r="E51" i="22"/>
  <c r="E31" i="24" s="1"/>
  <c r="F51" i="22"/>
  <c r="F31" i="24" s="1"/>
  <c r="G51" i="22"/>
  <c r="G31" i="24" s="1"/>
  <c r="H51" i="22"/>
  <c r="H31" i="24" s="1"/>
  <c r="I51" i="22"/>
  <c r="I31" i="24" s="1"/>
  <c r="J51" i="22"/>
  <c r="J31" i="24" s="1"/>
  <c r="K51" i="22"/>
  <c r="K31" i="24" s="1"/>
  <c r="L51" i="22"/>
  <c r="L31" i="24" s="1"/>
  <c r="M51" i="22"/>
  <c r="M31" i="24" s="1"/>
  <c r="N51" i="22"/>
  <c r="N31" i="24" s="1"/>
  <c r="O45" i="22" l="1"/>
  <c r="N13" i="22"/>
  <c r="F9" i="22"/>
  <c r="O51" i="22"/>
  <c r="E9" i="22"/>
  <c r="D31" i="24"/>
  <c r="N8" i="9"/>
  <c r="N72" i="9"/>
  <c r="N33" i="9"/>
  <c r="M40" i="9"/>
  <c r="O9" i="9"/>
  <c r="N57" i="9"/>
  <c r="N63" i="9"/>
  <c r="N66" i="9" s="1"/>
  <c r="F13" i="22"/>
  <c r="E20" i="24" s="1"/>
  <c r="F14" i="22"/>
  <c r="E21" i="24" s="1"/>
  <c r="L14" i="22"/>
  <c r="K21" i="24" s="1"/>
  <c r="L17" i="22"/>
  <c r="K24" i="24" s="1"/>
  <c r="L16" i="22"/>
  <c r="K23" i="24" s="1"/>
  <c r="L15" i="22"/>
  <c r="K22" i="24" s="1"/>
  <c r="H14" i="22"/>
  <c r="H17" i="22"/>
  <c r="G24" i="24" s="1"/>
  <c r="H13" i="22"/>
  <c r="H16" i="22"/>
  <c r="G23" i="24" s="1"/>
  <c r="H15" i="22"/>
  <c r="G22" i="24" s="1"/>
  <c r="C14" i="22"/>
  <c r="C21" i="24" s="1"/>
  <c r="C16" i="22"/>
  <c r="C23" i="24" s="1"/>
  <c r="C15" i="22"/>
  <c r="C22" i="24" s="1"/>
  <c r="C17" i="22"/>
  <c r="C24" i="24" s="1"/>
  <c r="C13" i="22"/>
  <c r="L13" i="22"/>
  <c r="O32" i="24"/>
  <c r="O14" i="22"/>
  <c r="N21" i="24" s="1"/>
  <c r="O15" i="22"/>
  <c r="N22" i="24" s="1"/>
  <c r="O13" i="22"/>
  <c r="O17" i="22"/>
  <c r="N24" i="24" s="1"/>
  <c r="O16" i="22"/>
  <c r="N23" i="24" s="1"/>
  <c r="K14" i="22"/>
  <c r="J21" i="24" s="1"/>
  <c r="K15" i="22"/>
  <c r="J22" i="24" s="1"/>
  <c r="K13" i="22"/>
  <c r="K16" i="22"/>
  <c r="J23" i="24" s="1"/>
  <c r="K17" i="22"/>
  <c r="J24" i="24" s="1"/>
  <c r="G14" i="22"/>
  <c r="F21" i="24" s="1"/>
  <c r="G15" i="22"/>
  <c r="F22" i="24" s="1"/>
  <c r="G13" i="22"/>
  <c r="G16" i="22"/>
  <c r="F23" i="24" s="1"/>
  <c r="G17" i="22"/>
  <c r="F24" i="24" s="1"/>
  <c r="D16" i="22"/>
  <c r="D23" i="24" s="1"/>
  <c r="D17" i="22"/>
  <c r="M17" i="22"/>
  <c r="L24" i="24" s="1"/>
  <c r="D13" i="22"/>
  <c r="M14" i="22"/>
  <c r="L21" i="24" s="1"/>
  <c r="D14" i="22"/>
  <c r="D21" i="24" s="1"/>
  <c r="J13" i="22"/>
  <c r="M13" i="22"/>
  <c r="O30" i="24"/>
  <c r="O31" i="24"/>
  <c r="I16" i="22"/>
  <c r="H23" i="24" s="1"/>
  <c r="I13" i="22"/>
  <c r="M20" i="24"/>
  <c r="I15" i="22"/>
  <c r="H22" i="24" s="1"/>
  <c r="N15" i="22"/>
  <c r="M22" i="24" s="1"/>
  <c r="N16" i="22"/>
  <c r="M23" i="24" s="1"/>
  <c r="N17" i="22"/>
  <c r="M24" i="24" s="1"/>
  <c r="J15" i="22"/>
  <c r="I22" i="24" s="1"/>
  <c r="J16" i="22"/>
  <c r="I23" i="24" s="1"/>
  <c r="J17" i="22"/>
  <c r="I24" i="24" s="1"/>
  <c r="F15" i="22"/>
  <c r="F16" i="22"/>
  <c r="E23" i="24" s="1"/>
  <c r="C37" i="22"/>
  <c r="I17" i="22"/>
  <c r="H24" i="24" s="1"/>
  <c r="M15" i="22"/>
  <c r="L22" i="24" s="1"/>
  <c r="D15" i="22"/>
  <c r="D22" i="24" s="1"/>
  <c r="J14" i="22"/>
  <c r="I21" i="24" s="1"/>
  <c r="C36" i="22" l="1"/>
  <c r="P16" i="22"/>
  <c r="O8" i="9"/>
  <c r="O72" i="9"/>
  <c r="O33" i="9"/>
  <c r="N40" i="9"/>
  <c r="P9" i="9"/>
  <c r="O57" i="9"/>
  <c r="O63" i="9"/>
  <c r="O66" i="9" s="1"/>
  <c r="O40" i="9" s="1"/>
  <c r="C20" i="24"/>
  <c r="C25" i="24" s="1"/>
  <c r="C33" i="24" s="1"/>
  <c r="C32" i="22"/>
  <c r="C37" i="24" s="1"/>
  <c r="C31" i="22"/>
  <c r="K37" i="22"/>
  <c r="H18" i="22"/>
  <c r="G31" i="22"/>
  <c r="G36" i="24" s="1"/>
  <c r="G21" i="24"/>
  <c r="L18" i="22"/>
  <c r="C18" i="22"/>
  <c r="P14" i="22"/>
  <c r="K32" i="22"/>
  <c r="K37" i="24" s="1"/>
  <c r="K43" i="24" s="1"/>
  <c r="K36" i="22"/>
  <c r="G32" i="22"/>
  <c r="G37" i="24" s="1"/>
  <c r="G36" i="22"/>
  <c r="K20" i="24"/>
  <c r="K25" i="24" s="1"/>
  <c r="K33" i="24" s="1"/>
  <c r="K31" i="22"/>
  <c r="K36" i="24" s="1"/>
  <c r="G20" i="24"/>
  <c r="G37" i="22"/>
  <c r="E22" i="24"/>
  <c r="E25" i="24" s="1"/>
  <c r="E33" i="24" s="1"/>
  <c r="E31" i="22"/>
  <c r="E36" i="24" s="1"/>
  <c r="F18" i="22"/>
  <c r="N18" i="22"/>
  <c r="J31" i="22"/>
  <c r="J36" i="24" s="1"/>
  <c r="J36" i="22"/>
  <c r="J20" i="24"/>
  <c r="J25" i="24" s="1"/>
  <c r="J33" i="24" s="1"/>
  <c r="J32" i="22"/>
  <c r="J37" i="24" s="1"/>
  <c r="K18" i="22"/>
  <c r="J37" i="22"/>
  <c r="M31" i="22"/>
  <c r="M36" i="24" s="1"/>
  <c r="N31" i="22"/>
  <c r="N36" i="24" s="1"/>
  <c r="N36" i="22"/>
  <c r="N20" i="24"/>
  <c r="N25" i="24" s="1"/>
  <c r="N33" i="24" s="1"/>
  <c r="N37" i="22"/>
  <c r="O18" i="22"/>
  <c r="N32" i="22"/>
  <c r="N37" i="24" s="1"/>
  <c r="E36" i="22"/>
  <c r="M32" i="22"/>
  <c r="M37" i="24" s="1"/>
  <c r="I20" i="24"/>
  <c r="I25" i="24" s="1"/>
  <c r="I33" i="24" s="1"/>
  <c r="I32" i="22"/>
  <c r="I37" i="24" s="1"/>
  <c r="I37" i="22"/>
  <c r="I31" i="22"/>
  <c r="I36" i="24" s="1"/>
  <c r="I36" i="22"/>
  <c r="J18" i="22"/>
  <c r="E32" i="22"/>
  <c r="E37" i="24" s="1"/>
  <c r="D24" i="24"/>
  <c r="P17" i="22"/>
  <c r="M25" i="24"/>
  <c r="M33" i="24" s="1"/>
  <c r="H20" i="24"/>
  <c r="H25" i="24" s="1"/>
  <c r="H33" i="24" s="1"/>
  <c r="I18" i="22"/>
  <c r="H37" i="22"/>
  <c r="H31" i="22"/>
  <c r="H36" i="24" s="1"/>
  <c r="H36" i="22"/>
  <c r="H32" i="22"/>
  <c r="H37" i="24" s="1"/>
  <c r="D20" i="24"/>
  <c r="P13" i="22"/>
  <c r="D18" i="22"/>
  <c r="D32" i="22"/>
  <c r="D37" i="22"/>
  <c r="D31" i="22"/>
  <c r="D36" i="22"/>
  <c r="M36" i="22"/>
  <c r="M37" i="22"/>
  <c r="L20" i="24"/>
  <c r="L25" i="24" s="1"/>
  <c r="L33" i="24" s="1"/>
  <c r="M18" i="22"/>
  <c r="L31" i="22"/>
  <c r="L36" i="24" s="1"/>
  <c r="L36" i="22"/>
  <c r="L32" i="22"/>
  <c r="L37" i="24" s="1"/>
  <c r="L37" i="22"/>
  <c r="P15" i="22"/>
  <c r="E37" i="22"/>
  <c r="F31" i="22"/>
  <c r="F36" i="24" s="1"/>
  <c r="F36" i="22"/>
  <c r="F20" i="24"/>
  <c r="F25" i="24" s="1"/>
  <c r="F33" i="24" s="1"/>
  <c r="G18" i="22"/>
  <c r="F32" i="22"/>
  <c r="F37" i="24" s="1"/>
  <c r="F37" i="22"/>
  <c r="P8" i="9" l="1"/>
  <c r="P72" i="9"/>
  <c r="P33" i="9"/>
  <c r="Q9" i="9"/>
  <c r="P57" i="9"/>
  <c r="P63" i="9"/>
  <c r="P66" i="9" s="1"/>
  <c r="K45" i="24"/>
  <c r="K46" i="24" s="1"/>
  <c r="C36" i="24"/>
  <c r="C43" i="24" s="1"/>
  <c r="C45" i="24" s="1"/>
  <c r="C46" i="24" s="1"/>
  <c r="C33" i="22"/>
  <c r="D33" i="22" s="1"/>
  <c r="F43" i="24"/>
  <c r="O36" i="22"/>
  <c r="G25" i="24"/>
  <c r="G33" i="24" s="1"/>
  <c r="G43" i="24"/>
  <c r="L43" i="24"/>
  <c r="L45" i="24" s="1"/>
  <c r="L46" i="24" s="1"/>
  <c r="O37" i="22"/>
  <c r="D25" i="24"/>
  <c r="D33" i="24" s="1"/>
  <c r="O33" i="24" s="1"/>
  <c r="J43" i="24"/>
  <c r="J45" i="24" s="1"/>
  <c r="J46" i="24" s="1"/>
  <c r="D37" i="24"/>
  <c r="O32" i="22"/>
  <c r="O37" i="24" s="1"/>
  <c r="E43" i="24"/>
  <c r="E45" i="24" s="1"/>
  <c r="E46" i="24" s="1"/>
  <c r="F45" i="24"/>
  <c r="F46" i="24" s="1"/>
  <c r="D36" i="24"/>
  <c r="D43" i="24" s="1"/>
  <c r="D45" i="24" s="1"/>
  <c r="D46" i="24" s="1"/>
  <c r="O31" i="22"/>
  <c r="O36" i="24" s="1"/>
  <c r="P18" i="22"/>
  <c r="H43" i="24"/>
  <c r="H45" i="24" s="1"/>
  <c r="H46" i="24" s="1"/>
  <c r="N43" i="24"/>
  <c r="N45" i="24" s="1"/>
  <c r="N46" i="24" s="1"/>
  <c r="I43" i="24"/>
  <c r="I45" i="24" s="1"/>
  <c r="I46" i="24" s="1"/>
  <c r="M43" i="24"/>
  <c r="M45" i="24" s="1"/>
  <c r="M46" i="24" s="1"/>
  <c r="O25" i="24"/>
  <c r="G45" i="24" l="1"/>
  <c r="G46" i="24" s="1"/>
  <c r="Q8" i="9"/>
  <c r="Q72" i="9"/>
  <c r="Q33" i="9"/>
  <c r="P40" i="9"/>
  <c r="R9" i="9"/>
  <c r="Q57" i="9"/>
  <c r="Q63" i="9"/>
  <c r="Q66" i="9" s="1"/>
  <c r="O45" i="24"/>
  <c r="O46" i="24" s="1"/>
  <c r="R8" i="9" l="1"/>
  <c r="R72" i="9"/>
  <c r="R33" i="9"/>
  <c r="Q40" i="9"/>
  <c r="S9" i="9"/>
  <c r="R57" i="9"/>
  <c r="R63" i="9"/>
  <c r="R66" i="9" s="1"/>
  <c r="G12" i="10"/>
  <c r="G11" i="10"/>
  <c r="G10" i="10"/>
  <c r="E3" i="40" s="1"/>
  <c r="E4" i="40" s="1"/>
  <c r="E33" i="40" l="1"/>
  <c r="E18" i="40"/>
  <c r="S8" i="9"/>
  <c r="S72" i="9"/>
  <c r="S33" i="9"/>
  <c r="R40" i="9"/>
  <c r="T9" i="9"/>
  <c r="S57" i="9"/>
  <c r="S63" i="9"/>
  <c r="S66" i="9" s="1"/>
  <c r="S40" i="9" s="1"/>
  <c r="G18" i="17"/>
  <c r="H18" i="17" s="1"/>
  <c r="G3" i="17"/>
  <c r="H3" i="17" s="1"/>
  <c r="G4" i="17"/>
  <c r="H4" i="17" s="1"/>
  <c r="G5" i="17"/>
  <c r="H5" i="17" s="1"/>
  <c r="G6" i="17"/>
  <c r="H6" i="17" s="1"/>
  <c r="G7" i="17"/>
  <c r="H7" i="17" s="1"/>
  <c r="G8" i="17"/>
  <c r="H8" i="17" s="1"/>
  <c r="G9" i="17"/>
  <c r="H9" i="17" s="1"/>
  <c r="G10" i="17"/>
  <c r="H10" i="17" s="1"/>
  <c r="G11" i="17"/>
  <c r="H11" i="17" s="1"/>
  <c r="G12" i="17"/>
  <c r="H12" i="17" s="1"/>
  <c r="G13" i="17"/>
  <c r="H13" i="17" s="1"/>
  <c r="G14" i="17"/>
  <c r="H14" i="17" s="1"/>
  <c r="G15" i="17"/>
  <c r="H15" i="17" s="1"/>
  <c r="G16" i="17"/>
  <c r="H16" i="17" s="1"/>
  <c r="G17" i="17"/>
  <c r="H17" i="17" s="1"/>
  <c r="G2" i="17"/>
  <c r="H2" i="17" s="1"/>
  <c r="T8" i="9" l="1"/>
  <c r="T72" i="9"/>
  <c r="T33" i="9"/>
  <c r="U9" i="9"/>
  <c r="T57" i="9"/>
  <c r="T63" i="9"/>
  <c r="T66" i="9" s="1"/>
  <c r="C37" i="9"/>
  <c r="C24" i="9"/>
  <c r="U8" i="9" l="1"/>
  <c r="U72" i="9"/>
  <c r="U33" i="9"/>
  <c r="T40" i="9"/>
  <c r="V9" i="9"/>
  <c r="U57" i="9"/>
  <c r="U63" i="9"/>
  <c r="U66" i="9" s="1"/>
  <c r="E12" i="10"/>
  <c r="F12" i="10" s="1"/>
  <c r="H12" i="10" s="1"/>
  <c r="U24" i="9" s="1"/>
  <c r="V8" i="9" l="1"/>
  <c r="V72" i="9"/>
  <c r="V33" i="9"/>
  <c r="H24" i="9"/>
  <c r="I24" i="9"/>
  <c r="J24" i="9"/>
  <c r="K24" i="9"/>
  <c r="L24" i="9"/>
  <c r="M24" i="9"/>
  <c r="N24" i="9"/>
  <c r="O24" i="9"/>
  <c r="P24" i="9"/>
  <c r="Q24" i="9"/>
  <c r="R24" i="9"/>
  <c r="S24" i="9"/>
  <c r="T24" i="9"/>
  <c r="U40" i="9"/>
  <c r="W9" i="9"/>
  <c r="V57" i="9"/>
  <c r="V63" i="9"/>
  <c r="V66" i="9" s="1"/>
  <c r="V24" i="9"/>
  <c r="G18" i="10"/>
  <c r="W8" i="9" l="1"/>
  <c r="W72" i="9"/>
  <c r="W33" i="9"/>
  <c r="V40" i="9"/>
  <c r="X9" i="9"/>
  <c r="W57" i="9"/>
  <c r="W63" i="9"/>
  <c r="W66" i="9" s="1"/>
  <c r="W40" i="9" s="1"/>
  <c r="W24" i="9"/>
  <c r="F11" i="10"/>
  <c r="F15" i="10"/>
  <c r="F16" i="10"/>
  <c r="F18" i="10"/>
  <c r="F8" i="10"/>
  <c r="X8" i="9" l="1"/>
  <c r="X72" i="9"/>
  <c r="X33" i="9"/>
  <c r="Y9" i="9"/>
  <c r="X57" i="9"/>
  <c r="X63" i="9"/>
  <c r="X66" i="9" s="1"/>
  <c r="X24" i="9"/>
  <c r="F10" i="10"/>
  <c r="H10" i="10" s="1"/>
  <c r="G14" i="9"/>
  <c r="Y8" i="9" l="1"/>
  <c r="Y72" i="9"/>
  <c r="Y33" i="9"/>
  <c r="H22" i="9"/>
  <c r="I22" i="9"/>
  <c r="J22" i="9"/>
  <c r="K22" i="9"/>
  <c r="L22" i="9"/>
  <c r="M22" i="9"/>
  <c r="N22" i="9"/>
  <c r="O22" i="9"/>
  <c r="P22" i="9"/>
  <c r="Q22" i="9"/>
  <c r="R22" i="9"/>
  <c r="S22" i="9"/>
  <c r="T22" i="9"/>
  <c r="U22" i="9"/>
  <c r="V22" i="9"/>
  <c r="W22" i="9"/>
  <c r="X22" i="9"/>
  <c r="X40" i="9"/>
  <c r="Z9" i="9"/>
  <c r="Y57" i="9"/>
  <c r="Y22" i="9"/>
  <c r="Y24" i="9"/>
  <c r="Y63" i="9"/>
  <c r="Y66" i="9" s="1"/>
  <c r="G23" i="10"/>
  <c r="G9" i="10"/>
  <c r="C30" i="9"/>
  <c r="C31" i="9"/>
  <c r="C32" i="9"/>
  <c r="C35" i="9"/>
  <c r="C36" i="9"/>
  <c r="C27" i="9"/>
  <c r="C28" i="9"/>
  <c r="C29" i="9"/>
  <c r="C26" i="9"/>
  <c r="C21" i="9"/>
  <c r="C22" i="9"/>
  <c r="C23" i="9"/>
  <c r="C20" i="9"/>
  <c r="C51" i="9"/>
  <c r="C52" i="9"/>
  <c r="Y52" i="9"/>
  <c r="I14" i="11"/>
  <c r="C50" i="9"/>
  <c r="C46" i="9"/>
  <c r="C47" i="9"/>
  <c r="C48" i="9"/>
  <c r="C49" i="9"/>
  <c r="C45" i="9"/>
  <c r="G22" i="10"/>
  <c r="E22" i="10"/>
  <c r="F22" i="10" s="1"/>
  <c r="F23" i="10"/>
  <c r="H11" i="10"/>
  <c r="Y23" i="9" s="1"/>
  <c r="H51" i="9" l="1"/>
  <c r="I51" i="9"/>
  <c r="J51" i="9"/>
  <c r="K51" i="9"/>
  <c r="L51" i="9"/>
  <c r="M51" i="9"/>
  <c r="N51" i="9"/>
  <c r="O51" i="9"/>
  <c r="P51" i="9"/>
  <c r="Q51" i="9"/>
  <c r="R51" i="9"/>
  <c r="S51" i="9"/>
  <c r="T51" i="9"/>
  <c r="U51" i="9"/>
  <c r="V51" i="9"/>
  <c r="W51" i="9"/>
  <c r="X51" i="9"/>
  <c r="Y51" i="9"/>
  <c r="Z8" i="9"/>
  <c r="Z72" i="9"/>
  <c r="Z33" i="9"/>
  <c r="H23" i="9"/>
  <c r="I23" i="9"/>
  <c r="J23" i="9"/>
  <c r="K23" i="9"/>
  <c r="L23" i="9"/>
  <c r="M23" i="9"/>
  <c r="N23" i="9"/>
  <c r="O23" i="9"/>
  <c r="P23" i="9"/>
  <c r="Q23" i="9"/>
  <c r="R23" i="9"/>
  <c r="S23" i="9"/>
  <c r="T23" i="9"/>
  <c r="U23" i="9"/>
  <c r="V23" i="9"/>
  <c r="W23" i="9"/>
  <c r="X23" i="9"/>
  <c r="H52" i="9"/>
  <c r="I52" i="9"/>
  <c r="J52" i="9"/>
  <c r="K52" i="9"/>
  <c r="L52" i="9"/>
  <c r="M52" i="9"/>
  <c r="N52" i="9"/>
  <c r="O52" i="9"/>
  <c r="P52" i="9"/>
  <c r="Q52" i="9"/>
  <c r="R52" i="9"/>
  <c r="S52" i="9"/>
  <c r="T52" i="9"/>
  <c r="U52" i="9"/>
  <c r="V52" i="9"/>
  <c r="W52" i="9"/>
  <c r="X52" i="9"/>
  <c r="Y40" i="9"/>
  <c r="AA9" i="9"/>
  <c r="Z57" i="9"/>
  <c r="Z63" i="9"/>
  <c r="Z66" i="9" s="1"/>
  <c r="Z51" i="9"/>
  <c r="Z23" i="9"/>
  <c r="Z52" i="9"/>
  <c r="Z22" i="9"/>
  <c r="Z24" i="9"/>
  <c r="H23" i="10"/>
  <c r="Z32" i="9" s="1"/>
  <c r="H22" i="10"/>
  <c r="H25" i="10" l="1"/>
  <c r="Z31" i="9"/>
  <c r="I31" i="9"/>
  <c r="H31" i="9"/>
  <c r="J31" i="9"/>
  <c r="K31" i="9"/>
  <c r="L31" i="9"/>
  <c r="M31" i="9"/>
  <c r="N31" i="9"/>
  <c r="O31" i="9"/>
  <c r="P31" i="9"/>
  <c r="Q31" i="9"/>
  <c r="R31" i="9"/>
  <c r="S31" i="9"/>
  <c r="T31" i="9"/>
  <c r="U31" i="9"/>
  <c r="V31" i="9"/>
  <c r="W31" i="9"/>
  <c r="X31" i="9"/>
  <c r="Y31" i="9"/>
  <c r="I32" i="9"/>
  <c r="H32" i="9"/>
  <c r="J32" i="9"/>
  <c r="K32" i="9"/>
  <c r="L32" i="9"/>
  <c r="M32" i="9"/>
  <c r="N32" i="9"/>
  <c r="O32" i="9"/>
  <c r="P32" i="9"/>
  <c r="Q32" i="9"/>
  <c r="R32" i="9"/>
  <c r="S32" i="9"/>
  <c r="T32" i="9"/>
  <c r="U32" i="9"/>
  <c r="V32" i="9"/>
  <c r="W32" i="9"/>
  <c r="X32" i="9"/>
  <c r="Y32" i="9"/>
  <c r="AA8" i="9"/>
  <c r="AA72" i="9"/>
  <c r="AA33" i="9"/>
  <c r="Z40" i="9"/>
  <c r="AA57" i="9"/>
  <c r="AA51" i="9"/>
  <c r="AA32" i="9"/>
  <c r="AA63" i="9"/>
  <c r="AA66" i="9" s="1"/>
  <c r="AA40" i="9" s="1"/>
  <c r="AA31" i="9"/>
  <c r="AA52" i="9"/>
  <c r="AA22" i="9"/>
  <c r="AA24" i="9"/>
  <c r="AA23" i="9"/>
  <c r="I9" i="11"/>
  <c r="I10" i="11"/>
  <c r="I11" i="11"/>
  <c r="I12" i="11"/>
  <c r="I13" i="11"/>
  <c r="E14" i="9"/>
  <c r="F14" i="9"/>
  <c r="D14" i="9"/>
  <c r="AA47" i="9" l="1"/>
  <c r="H46" i="9"/>
  <c r="I46" i="9"/>
  <c r="J46" i="9"/>
  <c r="K46" i="9"/>
  <c r="L46" i="9"/>
  <c r="M46" i="9"/>
  <c r="N46" i="9"/>
  <c r="O46" i="9"/>
  <c r="P46" i="9"/>
  <c r="Q46" i="9"/>
  <c r="R46" i="9"/>
  <c r="S46" i="9"/>
  <c r="T46" i="9"/>
  <c r="U46" i="9"/>
  <c r="V46" i="9"/>
  <c r="W46" i="9"/>
  <c r="X46" i="9"/>
  <c r="Y46" i="9"/>
  <c r="Z46" i="9"/>
  <c r="H49" i="9"/>
  <c r="I49" i="9"/>
  <c r="J49" i="9"/>
  <c r="K49" i="9"/>
  <c r="L49" i="9"/>
  <c r="M49" i="9"/>
  <c r="N49" i="9"/>
  <c r="O49" i="9"/>
  <c r="P49" i="9"/>
  <c r="Q49" i="9"/>
  <c r="R49" i="9"/>
  <c r="S49" i="9"/>
  <c r="T49" i="9"/>
  <c r="U49" i="9"/>
  <c r="V49" i="9"/>
  <c r="W49" i="9"/>
  <c r="X49" i="9"/>
  <c r="Y49" i="9"/>
  <c r="Z49" i="9"/>
  <c r="H48" i="9"/>
  <c r="I48" i="9"/>
  <c r="J48" i="9"/>
  <c r="K48" i="9"/>
  <c r="L48" i="9"/>
  <c r="M48" i="9"/>
  <c r="N48" i="9"/>
  <c r="O48" i="9"/>
  <c r="P48" i="9"/>
  <c r="Q48" i="9"/>
  <c r="R48" i="9"/>
  <c r="S48" i="9"/>
  <c r="T48" i="9"/>
  <c r="U48" i="9"/>
  <c r="V48" i="9"/>
  <c r="W48" i="9"/>
  <c r="X48" i="9"/>
  <c r="Y48" i="9"/>
  <c r="Z48" i="9"/>
  <c r="AA46" i="9"/>
  <c r="H50" i="9"/>
  <c r="I50" i="9"/>
  <c r="J50" i="9"/>
  <c r="K50" i="9"/>
  <c r="L50" i="9"/>
  <c r="M50" i="9"/>
  <c r="N50" i="9"/>
  <c r="O50" i="9"/>
  <c r="P50" i="9"/>
  <c r="Q50" i="9"/>
  <c r="R50" i="9"/>
  <c r="S50" i="9"/>
  <c r="T50" i="9"/>
  <c r="U50" i="9"/>
  <c r="V50" i="9"/>
  <c r="W50" i="9"/>
  <c r="X50" i="9"/>
  <c r="Y50" i="9"/>
  <c r="Z50" i="9"/>
  <c r="AA49" i="9"/>
  <c r="AA50" i="9"/>
  <c r="AA48" i="9"/>
  <c r="H47" i="9"/>
  <c r="I47" i="9"/>
  <c r="J47" i="9"/>
  <c r="K47" i="9"/>
  <c r="L47" i="9"/>
  <c r="M47" i="9"/>
  <c r="N47" i="9"/>
  <c r="O47" i="9"/>
  <c r="P47" i="9"/>
  <c r="Q47" i="9"/>
  <c r="R47" i="9"/>
  <c r="S47" i="9"/>
  <c r="T47" i="9"/>
  <c r="U47" i="9"/>
  <c r="V47" i="9"/>
  <c r="W47" i="9"/>
  <c r="X47" i="9"/>
  <c r="Y47" i="9"/>
  <c r="Z47" i="9"/>
  <c r="G30" i="10"/>
  <c r="H30" i="10" s="1"/>
  <c r="G37" i="9" s="1"/>
  <c r="E13" i="9"/>
  <c r="F13" i="9"/>
  <c r="G13" i="9"/>
  <c r="D13" i="9"/>
  <c r="H37" i="9" l="1"/>
  <c r="I37" i="9"/>
  <c r="J37" i="9"/>
  <c r="K37" i="9"/>
  <c r="L37" i="9"/>
  <c r="M37" i="9"/>
  <c r="N37" i="9"/>
  <c r="O37" i="9"/>
  <c r="P37" i="9"/>
  <c r="Q37" i="9"/>
  <c r="R37" i="9"/>
  <c r="S37" i="9"/>
  <c r="T37" i="9"/>
  <c r="U37" i="9"/>
  <c r="V37" i="9"/>
  <c r="W37" i="9"/>
  <c r="X37" i="9"/>
  <c r="Y37" i="9"/>
  <c r="Z37" i="9"/>
  <c r="AA37" i="9"/>
  <c r="G29" i="10"/>
  <c r="H29" i="10" s="1"/>
  <c r="G36" i="9" s="1"/>
  <c r="H36" i="9" l="1"/>
  <c r="I36" i="9"/>
  <c r="J36" i="9"/>
  <c r="K36" i="9"/>
  <c r="L36" i="9"/>
  <c r="M36" i="9"/>
  <c r="N36" i="9"/>
  <c r="O36" i="9"/>
  <c r="P36" i="9"/>
  <c r="Q36" i="9"/>
  <c r="R36" i="9"/>
  <c r="S36" i="9"/>
  <c r="T36" i="9"/>
  <c r="U36" i="9"/>
  <c r="V36" i="9"/>
  <c r="W36" i="9"/>
  <c r="X36" i="9"/>
  <c r="Y36" i="9"/>
  <c r="Z36" i="9"/>
  <c r="AA36" i="9"/>
  <c r="I8" i="11" l="1"/>
  <c r="I7" i="11"/>
  <c r="G15" i="10"/>
  <c r="H15" i="10" s="1"/>
  <c r="H18" i="10"/>
  <c r="H16" i="10"/>
  <c r="F9" i="10"/>
  <c r="H17" i="10"/>
  <c r="D53" i="9"/>
  <c r="I21" i="11" l="1"/>
  <c r="H28" i="9"/>
  <c r="I28" i="9"/>
  <c r="J28" i="9"/>
  <c r="K28" i="9"/>
  <c r="L28" i="9"/>
  <c r="M28" i="9"/>
  <c r="N28" i="9"/>
  <c r="O28" i="9"/>
  <c r="P28" i="9"/>
  <c r="Q28" i="9"/>
  <c r="R28" i="9"/>
  <c r="S28" i="9"/>
  <c r="T28" i="9"/>
  <c r="U28" i="9"/>
  <c r="V28" i="9"/>
  <c r="W28" i="9"/>
  <c r="X28" i="9"/>
  <c r="Y28" i="9"/>
  <c r="Z28" i="9"/>
  <c r="AA28" i="9"/>
  <c r="H45" i="9"/>
  <c r="I45" i="9"/>
  <c r="J45" i="9"/>
  <c r="K45" i="9"/>
  <c r="L45" i="9"/>
  <c r="M45" i="9"/>
  <c r="N45" i="9"/>
  <c r="O45" i="9"/>
  <c r="P45" i="9"/>
  <c r="Q45" i="9"/>
  <c r="R45" i="9"/>
  <c r="S45" i="9"/>
  <c r="T45" i="9"/>
  <c r="U45" i="9"/>
  <c r="V45" i="9"/>
  <c r="W45" i="9"/>
  <c r="X45" i="9"/>
  <c r="Y45" i="9"/>
  <c r="Z45" i="9"/>
  <c r="AA45" i="9"/>
  <c r="H29" i="9"/>
  <c r="I29" i="9"/>
  <c r="J29" i="9"/>
  <c r="K29" i="9"/>
  <c r="L29" i="9"/>
  <c r="M29" i="9"/>
  <c r="N29" i="9"/>
  <c r="O29" i="9"/>
  <c r="P29" i="9"/>
  <c r="Q29" i="9"/>
  <c r="R29" i="9"/>
  <c r="S29" i="9"/>
  <c r="T29" i="9"/>
  <c r="U29" i="9"/>
  <c r="V29" i="9"/>
  <c r="W29" i="9"/>
  <c r="X29" i="9"/>
  <c r="Y29" i="9"/>
  <c r="Z29" i="9"/>
  <c r="AA29" i="9"/>
  <c r="H26" i="9"/>
  <c r="I26" i="9"/>
  <c r="J26" i="9"/>
  <c r="K26" i="9"/>
  <c r="L26" i="9"/>
  <c r="M26" i="9"/>
  <c r="N26" i="9"/>
  <c r="O26" i="9"/>
  <c r="P26" i="9"/>
  <c r="Q26" i="9"/>
  <c r="R26" i="9"/>
  <c r="S26" i="9"/>
  <c r="T26" i="9"/>
  <c r="U26" i="9"/>
  <c r="V26" i="9"/>
  <c r="W26" i="9"/>
  <c r="X26" i="9"/>
  <c r="Y26" i="9"/>
  <c r="Z26" i="9"/>
  <c r="AA26" i="9"/>
  <c r="H44" i="9"/>
  <c r="I44" i="9"/>
  <c r="J44" i="9"/>
  <c r="K44" i="9"/>
  <c r="L44" i="9"/>
  <c r="M44" i="9"/>
  <c r="N44" i="9"/>
  <c r="O44" i="9"/>
  <c r="P44" i="9"/>
  <c r="Q44" i="9"/>
  <c r="R44" i="9"/>
  <c r="S44" i="9"/>
  <c r="T44" i="9"/>
  <c r="U44" i="9"/>
  <c r="V44" i="9"/>
  <c r="W44" i="9"/>
  <c r="X44" i="9"/>
  <c r="Y44" i="9"/>
  <c r="Z44" i="9"/>
  <c r="AA44" i="9"/>
  <c r="H27" i="9"/>
  <c r="I27" i="9"/>
  <c r="J27" i="9"/>
  <c r="K27" i="9"/>
  <c r="L27" i="9"/>
  <c r="M27" i="9"/>
  <c r="N27" i="9"/>
  <c r="O27" i="9"/>
  <c r="P27" i="9"/>
  <c r="Q27" i="9"/>
  <c r="R27" i="9"/>
  <c r="S27" i="9"/>
  <c r="T27" i="9"/>
  <c r="U27" i="9"/>
  <c r="V27" i="9"/>
  <c r="W27" i="9"/>
  <c r="X27" i="9"/>
  <c r="Y27" i="9"/>
  <c r="Z27" i="9"/>
  <c r="AA27" i="9"/>
  <c r="H20" i="10"/>
  <c r="H9" i="10"/>
  <c r="H8" i="10"/>
  <c r="I21" i="9" l="1"/>
  <c r="H21" i="9"/>
  <c r="J21" i="9"/>
  <c r="K21" i="9"/>
  <c r="L21" i="9"/>
  <c r="M21" i="9"/>
  <c r="N21" i="9"/>
  <c r="O21" i="9"/>
  <c r="P21" i="9"/>
  <c r="Q21" i="9"/>
  <c r="R21" i="9"/>
  <c r="S21" i="9"/>
  <c r="T21" i="9"/>
  <c r="U21" i="9"/>
  <c r="V21" i="9"/>
  <c r="W21" i="9"/>
  <c r="X21" i="9"/>
  <c r="Y21" i="9"/>
  <c r="Z21" i="9"/>
  <c r="AA21" i="9"/>
  <c r="H20" i="9"/>
  <c r="I20" i="9"/>
  <c r="J20" i="9"/>
  <c r="K20" i="9"/>
  <c r="L20" i="9"/>
  <c r="M20" i="9"/>
  <c r="N20" i="9"/>
  <c r="O20" i="9"/>
  <c r="P20" i="9"/>
  <c r="Q20" i="9"/>
  <c r="R20" i="9"/>
  <c r="S20" i="9"/>
  <c r="T20" i="9"/>
  <c r="U20" i="9"/>
  <c r="V20" i="9"/>
  <c r="W20" i="9"/>
  <c r="X20" i="9"/>
  <c r="Y20" i="9"/>
  <c r="Z20" i="9"/>
  <c r="AA20" i="9"/>
  <c r="H53" i="9"/>
  <c r="J53" i="9"/>
  <c r="K53" i="9"/>
  <c r="Y53" i="9"/>
  <c r="I53" i="9"/>
  <c r="Z53" i="9"/>
  <c r="AA53" i="9"/>
  <c r="P53" i="9"/>
  <c r="W53" i="9"/>
  <c r="S53" i="9"/>
  <c r="O53" i="9"/>
  <c r="V53" i="9"/>
  <c r="R53" i="9"/>
  <c r="N53" i="9"/>
  <c r="U53" i="9"/>
  <c r="Q53" i="9"/>
  <c r="M53" i="9"/>
  <c r="X53" i="9"/>
  <c r="T53" i="9"/>
  <c r="L53" i="9"/>
  <c r="H13" i="10"/>
  <c r="H26" i="10" s="1"/>
  <c r="J16" i="8" l="1"/>
  <c r="J17" i="8"/>
  <c r="J18" i="8"/>
  <c r="L18" i="8" s="1"/>
  <c r="M18" i="8" s="1"/>
  <c r="H10" i="8"/>
  <c r="J19" i="8" s="1"/>
  <c r="L19" i="8" s="1"/>
  <c r="H8" i="8"/>
  <c r="V28" i="1"/>
  <c r="V29" i="1"/>
  <c r="V30" i="1"/>
  <c r="V31" i="1"/>
  <c r="V32" i="1"/>
  <c r="V33" i="1"/>
  <c r="V34" i="1"/>
  <c r="V35" i="1"/>
  <c r="V36" i="1"/>
  <c r="V37" i="1"/>
  <c r="V38" i="1"/>
  <c r="V39" i="1"/>
  <c r="V40" i="1"/>
  <c r="V41" i="1"/>
  <c r="V42" i="1"/>
  <c r="V43" i="1"/>
  <c r="V44" i="1"/>
  <c r="V45" i="1"/>
  <c r="V46" i="1"/>
  <c r="V47" i="1"/>
  <c r="V48" i="1"/>
  <c r="V49" i="1"/>
  <c r="V50" i="1"/>
  <c r="V51" i="1"/>
  <c r="H13" i="8" l="1"/>
  <c r="X45" i="1"/>
  <c r="X46" i="1"/>
  <c r="X47" i="1"/>
  <c r="X48" i="1"/>
  <c r="X49" i="1"/>
  <c r="X50" i="1"/>
  <c r="X51" i="1"/>
  <c r="Z41" i="1"/>
  <c r="X42" i="1"/>
  <c r="X43" i="1"/>
  <c r="X44" i="1"/>
  <c r="X41" i="1"/>
  <c r="AE30" i="1"/>
  <c r="J20" i="8" l="1"/>
  <c r="K13" i="8"/>
  <c r="Z42" i="1"/>
  <c r="AE20" i="1"/>
  <c r="AE21" i="1"/>
  <c r="AE22" i="1"/>
  <c r="AE23" i="1"/>
  <c r="AE24" i="1"/>
  <c r="AE25" i="1"/>
  <c r="AE26" i="1"/>
  <c r="AE27" i="1"/>
  <c r="AE28" i="1"/>
  <c r="AE29" i="1"/>
  <c r="AE31" i="1"/>
  <c r="AE32" i="1"/>
  <c r="AE41" i="1"/>
  <c r="AE42" i="1"/>
  <c r="AE43" i="1"/>
  <c r="AE44" i="1"/>
  <c r="AE45" i="1"/>
  <c r="AE46" i="1"/>
  <c r="AE47" i="1"/>
  <c r="AD40" i="1"/>
  <c r="AE40" i="1" s="1"/>
  <c r="AD39" i="1"/>
  <c r="AE39" i="1" s="1"/>
  <c r="AD38" i="1"/>
  <c r="AE38" i="1" s="1"/>
  <c r="AD37" i="1"/>
  <c r="AE37" i="1" s="1"/>
  <c r="AD36" i="1"/>
  <c r="AE36" i="1" s="1"/>
  <c r="AD35" i="1"/>
  <c r="AE35" i="1" s="1"/>
  <c r="AD34" i="1"/>
  <c r="AE34" i="1" s="1"/>
  <c r="AD33" i="1"/>
  <c r="AE33" i="1" s="1"/>
  <c r="AE19" i="1"/>
  <c r="W34" i="1"/>
  <c r="L21" i="8" l="1"/>
  <c r="J23" i="8"/>
  <c r="G12" i="9" s="1"/>
  <c r="Z43" i="1"/>
  <c r="Z44" i="1" s="1"/>
  <c r="Z45" i="1" s="1"/>
  <c r="Z46" i="1" s="1"/>
  <c r="Z47" i="1" s="1"/>
  <c r="Z48" i="1" s="1"/>
  <c r="Z49" i="1" s="1"/>
  <c r="Z50" i="1" s="1"/>
  <c r="Z51" i="1" s="1"/>
  <c r="U3" i="1"/>
  <c r="W18" i="1"/>
  <c r="W19" i="1"/>
  <c r="W20" i="1"/>
  <c r="W21" i="1"/>
  <c r="W17" i="1"/>
  <c r="T20" i="1"/>
  <c r="T19" i="1"/>
  <c r="T18" i="1"/>
  <c r="T17" i="1"/>
  <c r="T16" i="1"/>
  <c r="T15" i="1"/>
  <c r="T13" i="1"/>
  <c r="T14" i="1"/>
  <c r="D12" i="9" l="1"/>
  <c r="F12" i="9"/>
  <c r="E12" i="9"/>
  <c r="U4" i="1"/>
  <c r="V3" i="1"/>
  <c r="D62" i="9" l="1"/>
  <c r="D71" i="9"/>
  <c r="G28" i="10"/>
  <c r="D41" i="9"/>
  <c r="E41" i="9"/>
  <c r="E55" i="9" s="1"/>
  <c r="E56" i="9" s="1"/>
  <c r="F41" i="9"/>
  <c r="F55" i="9" s="1"/>
  <c r="F56" i="9" s="1"/>
  <c r="U5" i="1"/>
  <c r="V4" i="1"/>
  <c r="U6" i="1" l="1"/>
  <c r="V5" i="1"/>
  <c r="U7" i="1" l="1"/>
  <c r="V6" i="1"/>
  <c r="U8" i="1" l="1"/>
  <c r="V7" i="1"/>
  <c r="U9" i="1" l="1"/>
  <c r="V8" i="1"/>
  <c r="U10" i="1" l="1"/>
  <c r="V9" i="1"/>
  <c r="U11" i="1" l="1"/>
  <c r="V10" i="1"/>
  <c r="U12" i="1" l="1"/>
  <c r="V11" i="1"/>
  <c r="V12" i="1" l="1"/>
  <c r="U13" i="1"/>
  <c r="U14" i="1" l="1"/>
  <c r="V13" i="1"/>
  <c r="U15" i="1" l="1"/>
  <c r="V14" i="1"/>
  <c r="U16" i="1" l="1"/>
  <c r="V15" i="1"/>
  <c r="V16" i="1" l="1"/>
  <c r="X17" i="1"/>
  <c r="U17" i="1"/>
  <c r="U18" i="1" l="1"/>
  <c r="V17" i="1"/>
  <c r="U19" i="1" l="1"/>
  <c r="V18" i="1"/>
  <c r="U20" i="1" l="1"/>
  <c r="V19" i="1"/>
  <c r="U21" i="1" l="1"/>
  <c r="V20" i="1"/>
  <c r="U22" i="1" l="1"/>
  <c r="V21" i="1"/>
  <c r="U23" i="1" l="1"/>
  <c r="V22" i="1"/>
  <c r="U24" i="1" l="1"/>
  <c r="V23" i="1"/>
  <c r="U25" i="1" l="1"/>
  <c r="V24" i="1"/>
  <c r="X21" i="1" l="1"/>
  <c r="V25" i="1"/>
  <c r="U26" i="1"/>
  <c r="U27" i="1" l="1"/>
  <c r="V27" i="1" s="1"/>
  <c r="V26" i="1"/>
  <c r="H28" i="10"/>
  <c r="G35" i="9" s="1"/>
  <c r="G41" i="9" s="1"/>
  <c r="D55" i="9"/>
  <c r="D56" i="9" l="1"/>
  <c r="D59" i="9" s="1"/>
  <c r="E59" i="9" s="1"/>
  <c r="F59" i="9" s="1"/>
  <c r="G55" i="9"/>
  <c r="H35" i="9"/>
  <c r="H41" i="9" s="1"/>
  <c r="I35" i="9"/>
  <c r="J35" i="9"/>
  <c r="K35" i="9"/>
  <c r="L35" i="9"/>
  <c r="M35" i="9"/>
  <c r="N35" i="9"/>
  <c r="N41" i="9" s="1"/>
  <c r="N55" i="9" s="1"/>
  <c r="O35" i="9"/>
  <c r="P35" i="9"/>
  <c r="Q35" i="9"/>
  <c r="R35" i="9"/>
  <c r="S35" i="9"/>
  <c r="T35" i="9"/>
  <c r="U35" i="9"/>
  <c r="V35" i="9"/>
  <c r="W35" i="9"/>
  <c r="X35" i="9"/>
  <c r="X41" i="9" s="1"/>
  <c r="X55" i="9" s="1"/>
  <c r="Y35" i="9"/>
  <c r="Y41" i="9" s="1"/>
  <c r="Y55" i="9" s="1"/>
  <c r="Z35" i="9"/>
  <c r="AA35" i="9"/>
  <c r="H31" i="10"/>
  <c r="H33" i="10" s="1"/>
  <c r="X67" i="9" l="1"/>
  <c r="X74" i="9"/>
  <c r="N67" i="9"/>
  <c r="N74" i="9"/>
  <c r="Y67" i="9"/>
  <c r="Y74" i="9"/>
  <c r="G56" i="9"/>
  <c r="G59" i="9" s="1"/>
  <c r="N56" i="9"/>
  <c r="N65" i="9" s="1"/>
  <c r="Y56" i="9"/>
  <c r="Y65" i="9" s="1"/>
  <c r="X56" i="9"/>
  <c r="X65" i="9" s="1"/>
  <c r="AA41" i="9"/>
  <c r="AA55" i="9" s="1"/>
  <c r="P41" i="9"/>
  <c r="P55" i="9" s="1"/>
  <c r="V41" i="9"/>
  <c r="V55" i="9" s="1"/>
  <c r="I41" i="9"/>
  <c r="I55" i="9" s="1"/>
  <c r="K41" i="9"/>
  <c r="K55" i="9" s="1"/>
  <c r="Q41" i="9"/>
  <c r="Q55" i="9" s="1"/>
  <c r="T41" i="9"/>
  <c r="T55" i="9" s="1"/>
  <c r="W41" i="9"/>
  <c r="W55" i="9" s="1"/>
  <c r="Z41" i="9"/>
  <c r="Z55" i="9" s="1"/>
  <c r="J41" i="9"/>
  <c r="J55" i="9" s="1"/>
  <c r="M41" i="9"/>
  <c r="M55" i="9" s="1"/>
  <c r="S41" i="9"/>
  <c r="S55" i="9" s="1"/>
  <c r="O41" i="9"/>
  <c r="O55" i="9" s="1"/>
  <c r="R41" i="9"/>
  <c r="R55" i="9" s="1"/>
  <c r="U41" i="9"/>
  <c r="U55" i="9" s="1"/>
  <c r="L41" i="9"/>
  <c r="L55" i="9" s="1"/>
  <c r="H55" i="9"/>
  <c r="H67" i="9" l="1"/>
  <c r="H74" i="9"/>
  <c r="O67" i="9"/>
  <c r="O74" i="9"/>
  <c r="Z67" i="9"/>
  <c r="Z74" i="9"/>
  <c r="K67" i="9"/>
  <c r="K74" i="9"/>
  <c r="AA67" i="9"/>
  <c r="AA74" i="9"/>
  <c r="L67" i="9"/>
  <c r="L74" i="9"/>
  <c r="S67" i="9"/>
  <c r="S74" i="9"/>
  <c r="W67" i="9"/>
  <c r="W74" i="9"/>
  <c r="I67" i="9"/>
  <c r="I74" i="9"/>
  <c r="U67" i="9"/>
  <c r="U74" i="9"/>
  <c r="M67" i="9"/>
  <c r="M74" i="9"/>
  <c r="T67" i="9"/>
  <c r="T74" i="9"/>
  <c r="V67" i="9"/>
  <c r="V74" i="9"/>
  <c r="R67" i="9"/>
  <c r="R74" i="9"/>
  <c r="J67" i="9"/>
  <c r="J74" i="9"/>
  <c r="Q67" i="9"/>
  <c r="Q74" i="9"/>
  <c r="P67" i="9"/>
  <c r="P74" i="9"/>
  <c r="H73" i="9"/>
  <c r="H56" i="9"/>
  <c r="H65" i="9" s="1"/>
  <c r="K56" i="9"/>
  <c r="K65" i="9" s="1"/>
  <c r="L56" i="9"/>
  <c r="L65" i="9" s="1"/>
  <c r="W56" i="9"/>
  <c r="W65" i="9" s="1"/>
  <c r="T56" i="9"/>
  <c r="T65" i="9" s="1"/>
  <c r="O56" i="9"/>
  <c r="O65" i="9" s="1"/>
  <c r="Z56" i="9"/>
  <c r="Z65" i="9" s="1"/>
  <c r="AA56" i="9"/>
  <c r="AA65" i="9" s="1"/>
  <c r="S56" i="9"/>
  <c r="S65" i="9" s="1"/>
  <c r="I56" i="9"/>
  <c r="I65" i="9" s="1"/>
  <c r="U56" i="9"/>
  <c r="U65" i="9" s="1"/>
  <c r="M56" i="9"/>
  <c r="M65" i="9" s="1"/>
  <c r="V56" i="9"/>
  <c r="V65" i="9" s="1"/>
  <c r="R56" i="9"/>
  <c r="R65" i="9" s="1"/>
  <c r="J56" i="9"/>
  <c r="J65" i="9" s="1"/>
  <c r="Q56" i="9"/>
  <c r="Q65" i="9" s="1"/>
  <c r="P56" i="9"/>
  <c r="P65" i="9" s="1"/>
  <c r="D67" i="9"/>
  <c r="D58" i="9"/>
  <c r="H71" i="9" l="1"/>
  <c r="I73" i="9"/>
  <c r="H59" i="9"/>
  <c r="H62" i="9" s="1"/>
  <c r="I71" i="9" l="1"/>
  <c r="J73" i="9"/>
  <c r="I59" i="9"/>
  <c r="H64" i="9"/>
  <c r="K73" i="9" l="1"/>
  <c r="J71" i="9"/>
  <c r="J59" i="9"/>
  <c r="I64" i="9"/>
  <c r="I62" i="9"/>
  <c r="L73" i="9" l="1"/>
  <c r="M73" i="9" s="1"/>
  <c r="N73" i="9" s="1"/>
  <c r="O73" i="9" s="1"/>
  <c r="P73" i="9" s="1"/>
  <c r="Q73" i="9" s="1"/>
  <c r="R73" i="9" s="1"/>
  <c r="K71" i="9"/>
  <c r="K59" i="9"/>
  <c r="J62" i="9"/>
  <c r="J64" i="9"/>
  <c r="L71" i="9" l="1"/>
  <c r="M71" i="9" s="1"/>
  <c r="N71" i="9" s="1"/>
  <c r="O71" i="9" s="1"/>
  <c r="P71" i="9" s="1"/>
  <c r="Q71" i="9" s="1"/>
  <c r="R71" i="9" s="1"/>
  <c r="S73" i="9"/>
  <c r="T73" i="9" s="1"/>
  <c r="U73" i="9" s="1"/>
  <c r="V73" i="9" s="1"/>
  <c r="W73" i="9" s="1"/>
  <c r="X73" i="9" s="1"/>
  <c r="Y73" i="9" s="1"/>
  <c r="Z73" i="9" s="1"/>
  <c r="AA73" i="9" s="1"/>
  <c r="L59" i="9"/>
  <c r="K62" i="9"/>
  <c r="K64" i="9"/>
  <c r="S71" i="9" l="1"/>
  <c r="T71" i="9" s="1"/>
  <c r="U71" i="9" s="1"/>
  <c r="V71" i="9" s="1"/>
  <c r="W71" i="9" s="1"/>
  <c r="X71" i="9" s="1"/>
  <c r="Y71" i="9" s="1"/>
  <c r="Z71" i="9" s="1"/>
  <c r="AA71" i="9" s="1"/>
  <c r="L62" i="9"/>
  <c r="L64" i="9"/>
  <c r="M59" i="9"/>
  <c r="D72" i="9" l="1"/>
  <c r="N59" i="9"/>
  <c r="M64" i="9"/>
  <c r="M62" i="9"/>
  <c r="D74" i="9" l="1"/>
  <c r="D73" i="9"/>
  <c r="O59" i="9"/>
  <c r="N62" i="9"/>
  <c r="N64" i="9"/>
  <c r="D75" i="9" l="1"/>
  <c r="C75" i="9" s="1"/>
  <c r="O62" i="9"/>
  <c r="P59" i="9"/>
  <c r="O64" i="9"/>
  <c r="Q59" i="9" l="1"/>
  <c r="P64" i="9"/>
  <c r="P62" i="9"/>
  <c r="Q62" i="9" l="1"/>
  <c r="R59" i="9"/>
  <c r="Q64" i="9"/>
  <c r="S59" i="9" l="1"/>
  <c r="R64" i="9"/>
  <c r="R62" i="9"/>
  <c r="S62" i="9" l="1"/>
  <c r="T59" i="9"/>
  <c r="S64" i="9"/>
  <c r="U59" i="9" l="1"/>
  <c r="T64" i="9"/>
  <c r="T62" i="9"/>
  <c r="U62" i="9" l="1"/>
  <c r="V59" i="9"/>
  <c r="U64" i="9"/>
  <c r="W59" i="9" l="1"/>
  <c r="V64" i="9"/>
  <c r="V62" i="9"/>
  <c r="W62" i="9" l="1"/>
  <c r="X59" i="9"/>
  <c r="W64" i="9"/>
  <c r="Y59" i="9" l="1"/>
  <c r="X64" i="9"/>
  <c r="X62" i="9"/>
  <c r="Y62" i="9" l="1"/>
  <c r="Z59" i="9"/>
  <c r="Y64" i="9"/>
  <c r="AA59" i="9" l="1"/>
  <c r="AA64" i="9" s="1"/>
  <c r="Z64" i="9"/>
  <c r="Z62" i="9"/>
  <c r="AA62" i="9" l="1"/>
  <c r="D63" i="9" l="1"/>
  <c r="D64" i="9" s="1"/>
  <c r="D65" i="9" l="1"/>
  <c r="D66" i="9" s="1"/>
  <c r="C66"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heet2!$A:$N" type="102" refreshedVersion="5" minRefreshableVersion="5">
    <extLst>
      <ext xmlns:x15="http://schemas.microsoft.com/office/spreadsheetml/2010/11/main" uri="{DE250136-89BD-433C-8126-D09CA5730AF9}">
        <x15:connection id="Range-e3ee68c7-fb1a-43c9-bff3-3113f1bf7f52" autoDelete="1">
          <x15:rangePr sourceName="_xlcn.WorksheetConnection_Sheet2AN1"/>
        </x15:connection>
      </ext>
    </extLst>
  </connection>
</connections>
</file>

<file path=xl/sharedStrings.xml><?xml version="1.0" encoding="utf-8"?>
<sst xmlns="http://schemas.openxmlformats.org/spreadsheetml/2006/main" count="8054" uniqueCount="720">
  <si>
    <t>Calico Mills,Mumbai</t>
  </si>
  <si>
    <t>DCM Shriram Kota</t>
  </si>
  <si>
    <t>Chemplast,Mettur</t>
  </si>
  <si>
    <t>NOCIL,Thane</t>
  </si>
  <si>
    <t>DCW,Tuticorin</t>
  </si>
  <si>
    <t>IPCL,Vadodara (RIL)</t>
  </si>
  <si>
    <t>RIL (Hazira)</t>
  </si>
  <si>
    <t>Finolex,Ratnagiri</t>
  </si>
  <si>
    <t>IPCL,Gandhar (RIL)</t>
  </si>
  <si>
    <t>Chemplast,Cuddalore</t>
  </si>
  <si>
    <t>IPCL,Dahej,Expanded Capacity</t>
  </si>
  <si>
    <t>Ethylene</t>
  </si>
  <si>
    <t>Chlorine</t>
  </si>
  <si>
    <t>MT</t>
  </si>
  <si>
    <t>M3</t>
  </si>
  <si>
    <t>Total</t>
  </si>
  <si>
    <t>Project Cost</t>
  </si>
  <si>
    <t>Construction with Piling</t>
  </si>
  <si>
    <t>IPCL,Dahej,RIL-New Plant</t>
  </si>
  <si>
    <t>RIL,Jamnagar</t>
  </si>
  <si>
    <t>Veritas India Limited</t>
  </si>
  <si>
    <t>Year</t>
  </si>
  <si>
    <t>Capacity</t>
  </si>
  <si>
    <t>Cumullative</t>
  </si>
  <si>
    <t xml:space="preserve">Year </t>
  </si>
  <si>
    <t>PVC Demand</t>
  </si>
  <si>
    <t>Capacity (India)</t>
  </si>
  <si>
    <t>Capacity KTA</t>
  </si>
  <si>
    <t>Company</t>
  </si>
  <si>
    <t>PVC  Capacity</t>
  </si>
  <si>
    <t>KTA</t>
  </si>
  <si>
    <t>Process</t>
  </si>
  <si>
    <t>Suspension</t>
  </si>
  <si>
    <t>Grades</t>
  </si>
  <si>
    <t>K57</t>
  </si>
  <si>
    <t>K67</t>
  </si>
  <si>
    <t>Subvariant of K67 with High Porosity)</t>
  </si>
  <si>
    <t>Cr.INR</t>
  </si>
  <si>
    <t>Detail Engineering Procurement</t>
  </si>
  <si>
    <t>License and PDP &amp; Licensor Support</t>
  </si>
  <si>
    <t>PWH Cost</t>
  </si>
  <si>
    <t>Offsites (Tankfarm-storage-pumping)</t>
  </si>
  <si>
    <t>Project Duration</t>
  </si>
  <si>
    <t>Basic Engineering</t>
  </si>
  <si>
    <t>Months</t>
  </si>
  <si>
    <t xml:space="preserve">Detail Engineering </t>
  </si>
  <si>
    <t>Procurement</t>
  </si>
  <si>
    <t>13th to 24th</t>
  </si>
  <si>
    <t>18th to 36th</t>
  </si>
  <si>
    <t>Construction</t>
  </si>
  <si>
    <t>25th to 40th</t>
  </si>
  <si>
    <t>Precommissioning</t>
  </si>
  <si>
    <t>30th to 42th</t>
  </si>
  <si>
    <t>Commissioning</t>
  </si>
  <si>
    <t>42th to 45th</t>
  </si>
  <si>
    <t>ALL COST FIGURES IN RS. CRORES</t>
  </si>
  <si>
    <t>CASH FLOW STATEMENT/NPV CALCULATIONS</t>
  </si>
  <si>
    <t>SNO</t>
  </si>
  <si>
    <t>DESCRIPTION</t>
  </si>
  <si>
    <t>Expenditure phasing/ Capacity Utilization</t>
  </si>
  <si>
    <t>A</t>
  </si>
  <si>
    <t>CASH OUT FLOWS</t>
  </si>
  <si>
    <t>OPEX</t>
  </si>
  <si>
    <t>Raw Materials</t>
  </si>
  <si>
    <t>a</t>
  </si>
  <si>
    <t>b</t>
  </si>
  <si>
    <t>c</t>
  </si>
  <si>
    <t>d</t>
  </si>
  <si>
    <t>e</t>
  </si>
  <si>
    <t>SUB TOTAL CASH OUTFLOWS (A)</t>
  </si>
  <si>
    <t>B</t>
  </si>
  <si>
    <t>CASH IN FLOWS</t>
  </si>
  <si>
    <t>SALES REVENUE</t>
  </si>
  <si>
    <t>SUB TOTAL CASH INFLOWS (B)</t>
  </si>
  <si>
    <t xml:space="preserve">NET CASH FLOW </t>
  </si>
  <si>
    <t>PV</t>
  </si>
  <si>
    <t>Factor</t>
  </si>
  <si>
    <t>Estimated CAPEX (Rs Crores)</t>
  </si>
  <si>
    <t>OPERATING COST CALCULATIONS AT 100% CAPACITY</t>
  </si>
  <si>
    <t>S.NO</t>
  </si>
  <si>
    <t>UNIT</t>
  </si>
  <si>
    <t xml:space="preserve">UNIT RATE </t>
  </si>
  <si>
    <t xml:space="preserve">ANNUAL OPERATING COST </t>
  </si>
  <si>
    <t>(INR)</t>
  </si>
  <si>
    <t>Annual Qty based on guaranteed consumptions</t>
  </si>
  <si>
    <t>AMOUNT</t>
  </si>
  <si>
    <t>RS. CRORES</t>
  </si>
  <si>
    <t xml:space="preserve"> VARIABLE OPERATING COST</t>
  </si>
  <si>
    <t xml:space="preserve"> RAW MATERIALS</t>
  </si>
  <si>
    <t xml:space="preserve"> SUB TOTAL (RAW MATERIALS)</t>
  </si>
  <si>
    <t xml:space="preserve"> UTILITIES</t>
  </si>
  <si>
    <t>KWH</t>
  </si>
  <si>
    <t xml:space="preserve"> SUB TOTAL (UTILITIES)</t>
  </si>
  <si>
    <t>SUB TOTAL (VARIABLE OP. COST)</t>
  </si>
  <si>
    <t xml:space="preserve"> FIXED OPERATING COST </t>
  </si>
  <si>
    <t>SUB TOTAL (FIXED OP. COST)</t>
  </si>
  <si>
    <t xml:space="preserve">TOTAL OP. COST (A+B) </t>
  </si>
  <si>
    <t>Capacity PVC</t>
  </si>
  <si>
    <t>INR</t>
  </si>
  <si>
    <t>SALES REALISATION AT 100% CAPACITY</t>
  </si>
  <si>
    <t>ANNUAL SALES REVENUE</t>
  </si>
  <si>
    <t xml:space="preserve">US $ </t>
  </si>
  <si>
    <t>Annual Qty based on conversion efficiencies</t>
  </si>
  <si>
    <t>SALES REALISATION</t>
  </si>
  <si>
    <t>TOTAL SALES</t>
  </si>
  <si>
    <t>PVC</t>
  </si>
  <si>
    <t>Cumulative PV</t>
  </si>
  <si>
    <t>GAIL,Andhrapradesh (Thondangi)</t>
  </si>
  <si>
    <t>OPaL, Dahej</t>
  </si>
  <si>
    <t>Date</t>
  </si>
  <si>
    <t>IPCL</t>
  </si>
  <si>
    <t>Price INR /MT</t>
  </si>
  <si>
    <t>RIL</t>
  </si>
  <si>
    <t>Contingency-10%</t>
  </si>
  <si>
    <t>IRR</t>
  </si>
  <si>
    <t>PHENOL</t>
  </si>
  <si>
    <t>ACETONE</t>
  </si>
  <si>
    <t>Butadiene</t>
  </si>
  <si>
    <t>Pyrolysis Gasoline</t>
  </si>
  <si>
    <t>CBFS</t>
  </si>
  <si>
    <t>C9+ Fraction</t>
  </si>
  <si>
    <t>CAPEX VCM-PVC</t>
  </si>
  <si>
    <t>CAPEX PHENOL</t>
  </si>
  <si>
    <t>Power -PVC</t>
  </si>
  <si>
    <t>Steam -HP-PVC</t>
  </si>
  <si>
    <t>Power-Utilities-Phenol</t>
  </si>
  <si>
    <t>Propylene</t>
  </si>
  <si>
    <t>Catchem Phenol</t>
  </si>
  <si>
    <t>Repairs &amp; Maintenance-PVC</t>
  </si>
  <si>
    <t>CatChem PVC</t>
  </si>
  <si>
    <t>UTILITIES</t>
  </si>
  <si>
    <t>CATALYSTS &amp; CHEMICALS</t>
  </si>
  <si>
    <t>MAINTENANCE</t>
  </si>
  <si>
    <t>Capacity Phenol</t>
  </si>
  <si>
    <t>Interest Rate</t>
  </si>
  <si>
    <t>Project Phase Period yrs</t>
  </si>
  <si>
    <t>LLDPE</t>
  </si>
  <si>
    <t>CAPEX DFCU EXPANSION (Furnace Addition)</t>
  </si>
  <si>
    <t>Chemical product Price (Rs/MT)</t>
  </si>
  <si>
    <t xml:space="preserve">Benzene </t>
  </si>
  <si>
    <t xml:space="preserve"> 1,3Butadiene </t>
  </si>
  <si>
    <t xml:space="preserve"> Hydrogenated Pygas (HPG) </t>
  </si>
  <si>
    <t xml:space="preserve"> CBFS </t>
  </si>
  <si>
    <t xml:space="preserve"> C9+   </t>
  </si>
  <si>
    <t xml:space="preserve"> MFO </t>
  </si>
  <si>
    <t>Average</t>
  </si>
  <si>
    <t>OPaL Liquid Product Prices</t>
  </si>
  <si>
    <t>Benzene (OPaL Market Price Considered)</t>
  </si>
  <si>
    <t>Propylene (Cost of Production Considered)</t>
  </si>
  <si>
    <t>Ethylene (Cost of Production considered)</t>
  </si>
  <si>
    <t>POWER</t>
  </si>
  <si>
    <t>STEAM</t>
  </si>
  <si>
    <t>DM WATER</t>
  </si>
  <si>
    <t>DM Water-PVC</t>
  </si>
  <si>
    <t>Oxygen (PVC)</t>
  </si>
  <si>
    <t>Repairs &amp; Maintenance-Phenol</t>
  </si>
  <si>
    <t>PVC Suspension  rigid grade K67 Ex Mumbai (India)</t>
  </si>
  <si>
    <t>PVC  Prices India- (Data by Chemanalyst)</t>
  </si>
  <si>
    <t>Acetone Ex-Ahmedabad (India)</t>
  </si>
  <si>
    <t>Acetone Prices India- (Data by Chemanalyst)</t>
  </si>
  <si>
    <t>Phenol  Ex-Dahej (India)</t>
  </si>
  <si>
    <t>Phenol Prices India- (Data by Chemanalyst)</t>
  </si>
  <si>
    <t>Nitrogen-Rs./NM3 (Considered for Oxygen cost of Production)</t>
  </si>
  <si>
    <t>Repairs &amp; Maintenance-DFCU Expanded</t>
  </si>
  <si>
    <t>Predicted Price</t>
  </si>
  <si>
    <t>ETHANE_MMBTU,98%,50PPM-S</t>
  </si>
  <si>
    <t>MBT</t>
  </si>
  <si>
    <t>ARN,14%,100PPM-S,35IPB,204FBP</t>
  </si>
  <si>
    <t>PROPANE,98%,50PPM-S</t>
  </si>
  <si>
    <t>BUTANE,98%,50PPM-S</t>
  </si>
  <si>
    <t>STREAM</t>
  </si>
  <si>
    <t>Month</t>
  </si>
  <si>
    <t>Fixed Cost</t>
  </si>
  <si>
    <t>PVC cost of production
INR/MT</t>
  </si>
  <si>
    <t>PVC contribution INR per MT</t>
  </si>
  <si>
    <t>Phenol cost of Production
INR per MT</t>
  </si>
  <si>
    <t>Phenol &amp; Acetone  Contribution INR per MT of Phenol Produced</t>
  </si>
  <si>
    <t>Fuel Gas export</t>
  </si>
  <si>
    <t>Hydrogen export</t>
  </si>
  <si>
    <t>Benzene</t>
  </si>
  <si>
    <t>Total Budgeted for FY 2018-19</t>
  </si>
  <si>
    <t>Mar</t>
  </si>
  <si>
    <t>Feb</t>
  </si>
  <si>
    <t>Jan</t>
  </si>
  <si>
    <t>Dec</t>
  </si>
  <si>
    <t>Nov</t>
  </si>
  <si>
    <t>Oct</t>
  </si>
  <si>
    <t>Sep</t>
  </si>
  <si>
    <t>Aug</t>
  </si>
  <si>
    <t>July</t>
  </si>
  <si>
    <t>June</t>
  </si>
  <si>
    <t>May</t>
  </si>
  <si>
    <t>April</t>
  </si>
  <si>
    <t>UOM</t>
  </si>
  <si>
    <t>Particulars</t>
  </si>
  <si>
    <t xml:space="preserve">By Products: </t>
  </si>
  <si>
    <t xml:space="preserve">MIX C4 </t>
  </si>
  <si>
    <t xml:space="preserve">RPG </t>
  </si>
  <si>
    <t xml:space="preserve">Intermediate Products: </t>
  </si>
  <si>
    <t>Expenses, INR Lacs</t>
  </si>
  <si>
    <t>Avg Consumption in MGD</t>
  </si>
  <si>
    <t>F.Y 2018-19</t>
  </si>
  <si>
    <t>Raw Water Charges for F.Y.2018'19</t>
  </si>
  <si>
    <t>Hr</t>
  </si>
  <si>
    <t>Net operating Hours</t>
  </si>
  <si>
    <t>Total Shutdown slowdown hours</t>
  </si>
  <si>
    <t xml:space="preserve">Unplanned Shutdown </t>
  </si>
  <si>
    <t xml:space="preserve">Planned Shutdown </t>
  </si>
  <si>
    <t>Total available hours</t>
  </si>
  <si>
    <t>Total Budgeted for FY 2017-18</t>
  </si>
  <si>
    <t>Number of days</t>
  </si>
  <si>
    <t>Slowdown and Shutdown details:</t>
  </si>
  <si>
    <t>Total for Current FY</t>
  </si>
  <si>
    <r>
      <rPr>
        <b/>
        <u/>
        <sz val="10"/>
        <color indexed="8"/>
        <rFont val="Calibri"/>
        <family val="2"/>
      </rPr>
      <t>Intermediate Products:</t>
    </r>
    <r>
      <rPr>
        <b/>
        <sz val="10"/>
        <color indexed="8"/>
        <rFont val="Calibri"/>
        <family val="2"/>
      </rPr>
      <t xml:space="preserve"> </t>
    </r>
  </si>
  <si>
    <t xml:space="preserve">Ethylene </t>
  </si>
  <si>
    <t>Products:</t>
  </si>
  <si>
    <t>MIX C4</t>
  </si>
  <si>
    <t>RPG</t>
  </si>
  <si>
    <t>Propylene Production</t>
  </si>
  <si>
    <t xml:space="preserve">Ethylene Production </t>
  </si>
  <si>
    <t>LPG</t>
  </si>
  <si>
    <t>Naphtha</t>
  </si>
  <si>
    <t>C4</t>
  </si>
  <si>
    <t>C3</t>
  </si>
  <si>
    <t>C2</t>
  </si>
  <si>
    <t>Product</t>
  </si>
  <si>
    <r>
      <rPr>
        <b/>
        <u/>
        <sz val="10"/>
        <color indexed="8"/>
        <rFont val="Calibri"/>
        <family val="2"/>
      </rPr>
      <t>Yield For DFCU Production:</t>
    </r>
    <r>
      <rPr>
        <b/>
        <sz val="10"/>
        <color indexed="8"/>
        <rFont val="Calibri"/>
        <family val="2"/>
      </rPr>
      <t xml:space="preserve"> </t>
    </r>
  </si>
  <si>
    <t xml:space="preserve">May </t>
  </si>
  <si>
    <t xml:space="preserve">April </t>
  </si>
  <si>
    <t xml:space="preserve">Feedstock </t>
  </si>
  <si>
    <t>Feed stock consumption</t>
  </si>
  <si>
    <t>MT/Hr</t>
  </si>
  <si>
    <t>Plan for Jan-19 to Mar-19</t>
  </si>
  <si>
    <t>Plan for Oct-18 to Dec-18</t>
  </si>
  <si>
    <t>Plan for July-18 to Sep-18</t>
  </si>
  <si>
    <t>Plan for Apr-18 to June-18</t>
  </si>
  <si>
    <t>Design rate</t>
  </si>
  <si>
    <t>Raw Material</t>
  </si>
  <si>
    <t>DFCU-AU-Month Wise Production Plan FY2017-18</t>
  </si>
  <si>
    <t>Power from 220 kv switchyard( Torrent) is indicated as 10 MW but it is considered in U&amp;O electrical budget</t>
  </si>
  <si>
    <t>Conversion rate 1 US$=64.06 Rs</t>
  </si>
  <si>
    <t>Naphtha cost:456.7$ per MT(as per ICIS rate)</t>
  </si>
  <si>
    <t>NG cost: recent PLL cargo rate of 9.15$ per MMBTU+20% contigency</t>
  </si>
  <si>
    <t>HSD is required to operate CPP DG sets &amp; DFCU DG sets i.e. load,no load trials &amp; GT start up on liquid fuel</t>
  </si>
  <si>
    <t>CPP different equipments will be operated on NG.UBs will be  operated on Complex gas(when generated) &amp; NG.If NG is not available units will be operated on naphtha.Equipments operation on Naphtha is considered maximum for 15 days at 80% load.</t>
  </si>
  <si>
    <t>Fuel per hour considered based on present consumption trend at part load to derive actual Gas requirement</t>
  </si>
  <si>
    <t>Power &amp; Steam requirement considered based on 75% DFCU operation data</t>
  </si>
  <si>
    <t>Note:</t>
  </si>
  <si>
    <t>Capital Spent</t>
  </si>
  <si>
    <t>INR Lacs</t>
  </si>
  <si>
    <t>Stores/ Spares</t>
  </si>
  <si>
    <t>Consumables (Diesel, etc)</t>
  </si>
  <si>
    <t>Operation assistance and housekeeping</t>
  </si>
  <si>
    <t>DFCU fuel charges with transmission charges</t>
  </si>
  <si>
    <t>Total fuel value(Only CPP) with transmission charges</t>
  </si>
  <si>
    <t>Power import (grid purcahse)</t>
  </si>
  <si>
    <t>Actual + Forecast
 2014-15</t>
  </si>
  <si>
    <t>Expense forecast Jan-Mar'15</t>
  </si>
  <si>
    <t>Actuals
Apr-Dec. 14</t>
  </si>
  <si>
    <t>Budget
FY 2014-15</t>
  </si>
  <si>
    <t>Commitment Budget for next year</t>
  </si>
  <si>
    <t>Apr</t>
  </si>
  <si>
    <t>Rate per UOM Rs</t>
  </si>
  <si>
    <t>Account Group/ Commitment item number</t>
  </si>
  <si>
    <t>Fund Centre Number</t>
  </si>
  <si>
    <t>S. No.</t>
  </si>
  <si>
    <t>MMBTU</t>
  </si>
  <si>
    <t>Gas to be procured for DFCU</t>
  </si>
  <si>
    <t>Net gas to be procured</t>
  </si>
  <si>
    <t>Generated in-house</t>
  </si>
  <si>
    <t>MW</t>
  </si>
  <si>
    <t>Power requirement</t>
  </si>
  <si>
    <t>Rate per UOM</t>
  </si>
  <si>
    <t>Budget year</t>
  </si>
  <si>
    <t>Budget for Captive Power Plant</t>
  </si>
  <si>
    <t>ONGC Petro additions Limited</t>
  </si>
  <si>
    <t>INR Crore</t>
  </si>
  <si>
    <t>Daily  Contribution</t>
  </si>
  <si>
    <t>INR lacs/Month</t>
  </si>
  <si>
    <t xml:space="preserve">Total Contribution </t>
  </si>
  <si>
    <t>Total Revenue from Products</t>
  </si>
  <si>
    <t>Products</t>
  </si>
  <si>
    <t>Total Cost of Production INR Lacs</t>
  </si>
  <si>
    <t>Power/Steam/Utilities-CPP Costs INR lacs</t>
  </si>
  <si>
    <t>Total Feed Cost</t>
  </si>
  <si>
    <t>Feed Costs</t>
  </si>
  <si>
    <t>4% Cat-Chem and all Operations and Maintenance Costs</t>
  </si>
  <si>
    <t>PP</t>
  </si>
  <si>
    <t>PE</t>
  </si>
  <si>
    <t>Price INR per MT</t>
  </si>
  <si>
    <t>C6</t>
  </si>
  <si>
    <t>C9+</t>
  </si>
  <si>
    <t>PG</t>
  </si>
  <si>
    <t>BENZENE</t>
  </si>
  <si>
    <t>C5</t>
  </si>
  <si>
    <t>Feed</t>
  </si>
  <si>
    <t>$ to INR  Exchange Rate</t>
  </si>
  <si>
    <t>Discounting Factor</t>
  </si>
  <si>
    <t>No. of years before break even</t>
  </si>
  <si>
    <t>Unrecovered amount</t>
  </si>
  <si>
    <t>Cashflow in Recovery year</t>
  </si>
  <si>
    <t>Years</t>
  </si>
  <si>
    <t>Production MT</t>
  </si>
  <si>
    <t>INR/MT Contribution</t>
  </si>
  <si>
    <t>Breakeven finder</t>
  </si>
  <si>
    <t>DFCU SHUTDOWN FOR EXPANSION AND HOOKUP 35 days-loss</t>
  </si>
  <si>
    <t>Material code</t>
  </si>
  <si>
    <t>Type</t>
  </si>
  <si>
    <t>Material description</t>
  </si>
  <si>
    <t>0S0726500000</t>
  </si>
  <si>
    <t>ZSFG</t>
  </si>
  <si>
    <t>0S0760460001</t>
  </si>
  <si>
    <t>3011P0000010</t>
  </si>
  <si>
    <t>ZFG</t>
  </si>
  <si>
    <t>3012P0000010</t>
  </si>
  <si>
    <t xml:space="preserve">1,3Butadiene </t>
  </si>
  <si>
    <t>3013P0000010</t>
  </si>
  <si>
    <t xml:space="preserve">Hydrogenated Pygas (HPG) </t>
  </si>
  <si>
    <t>3014P0000010</t>
  </si>
  <si>
    <t xml:space="preserve">CBFS </t>
  </si>
  <si>
    <t>3016P0000010</t>
  </si>
  <si>
    <t xml:space="preserve">C9+   </t>
  </si>
  <si>
    <t>Inflation for Materials</t>
  </si>
  <si>
    <t>Inflation for Fixed Costs</t>
  </si>
  <si>
    <t>Sr. No.1</t>
  </si>
  <si>
    <t>Phenol needs Benzene and Propylene.</t>
  </si>
  <si>
    <t>BASIS and Assumptions</t>
  </si>
  <si>
    <t>PVC/VCM and Phenol Project estimates are provided by Consultant Techsci Research who is doing the PFR studies of these projects for OPaL.</t>
  </si>
  <si>
    <t xml:space="preserve">35-40 Days of DFCU and complex shutdown for DFCU expansion hook-up is included. About INR 400Cr is estimated to be the implications due to this. </t>
  </si>
  <si>
    <t>Feed and utilities prices for Ethylene, Propylene, Power, Steam, DM Water and Nitrogen are averages of Cost of Production from Jan 2018 till Sep 2021 as provided by Finance, UCR, CPP.</t>
  </si>
  <si>
    <t>Benzene is existing product and its selling price data from Jan 2018 till Sep 2021 is considered for feed price to Phenol plant.</t>
  </si>
  <si>
    <t>Market prices of PVC (Suspension  rigid grade K67 Ex Mumbai (India)) at 97% is considered as advised by Marketing.</t>
  </si>
  <si>
    <t>Market prices of Phenol- Ex-Dahej (India) and Acetone-Ex-Ahmedabad (India) at 95% considered taking care of Discounts and IPP comparison.</t>
  </si>
  <si>
    <t xml:space="preserve">All Historic Market Price data is provided by Consultant Techsci Research. Data available from 2011 onwards, but, data from Jan 2018 to Sep 2021 is considered for the present evaluation </t>
  </si>
  <si>
    <t>Repairs and Maintenance is assumed at 1.5 % of CAPEX for the 1st year and then compounded with the Inflation rate.</t>
  </si>
  <si>
    <t>Negative revenues for Butadiene and C9+ considered as DFCU expansion with 8007 configuration is expected to reduce their production compared to existing Design basis.</t>
  </si>
  <si>
    <t>1.5% of Capex</t>
  </si>
  <si>
    <t>PVC needs Ethylene and Chlorine  (External EDC -VCM is not considered for this Evaluation).
Chlorine is available nearby from GACL, Meghmani in requisite quantities.</t>
  </si>
  <si>
    <t>With proposed DBN in polymer units, all surplus ethylene and Propylene available by running DFCU @ 105% capacity shall be consumed in PP and PE,HDPE units post DBN.Hence, PVC and Phenol needs additional furnace in DFCU to provide for Ethylene and Propylene. Existing Benzene is just about adequate for Phenol capacity of 200KTA.</t>
  </si>
  <si>
    <t>Different configurations of expansion in DFCU as detailed in Phase-1 Scouting study of Linde have been examined. Configuration 8007 with Propane Furnace @ 8500hrs Annual operating hours give Propylene and ethylene to feed VCM/PVC plant of 350kta and Phenol plant of 200kta.Remaining other configurations are substantially deficit in Propylene and other feeds.</t>
  </si>
  <si>
    <t>This evaluation assumes VCM/PVC plant of 350KTA and Phenol plant of 200KTA ( Acetone-123KTA)  with DFCU Expansion Capex for 8007 Configuration included.</t>
  </si>
  <si>
    <t>Power, Utilities, Specific consumption Norms of Feed, Catchem are provided by Consultant Techsci Research for VCM/PVC and Phenol-Acetone plants.</t>
  </si>
  <si>
    <t>Fixed costs includes Salaries, Administration, Employee Transport, Security, Communication, Lab (O&amp;M), IT, Maintenance O&amp;M Services, Operations O&amp;M Services, Finance-Insurance of the Plant, Misc. Stores and Spares consumption, Marketing which has been assumed as INR 2250/MT for the 1st year and then compounded as per the inflation rate for successive years.</t>
  </si>
  <si>
    <t xml:space="preserve">Zero income tax rate is assumed. </t>
  </si>
  <si>
    <t>CONSTRUCTION PHASE</t>
  </si>
  <si>
    <t>PRODUCTION PHASE</t>
  </si>
  <si>
    <t>C</t>
  </si>
  <si>
    <t>Caustic Soda Lie-Phenol</t>
  </si>
  <si>
    <t>FEED PRICES</t>
  </si>
  <si>
    <t>LNGas Cost Rs/MMBTU)</t>
  </si>
  <si>
    <t>Monthly Consumption/Production data</t>
  </si>
  <si>
    <t>Ethylene Cost of Production based on Byproducts</t>
  </si>
  <si>
    <t>Propylene Cost of Production based on Byproducts</t>
  </si>
  <si>
    <t>Ethylene + Propylene Total Cost of Production</t>
  </si>
  <si>
    <t>Ethylene Feed Factor</t>
  </si>
  <si>
    <t>Propylene Feed Factor</t>
  </si>
  <si>
    <t>Ethane (C2)</t>
  </si>
  <si>
    <t>Propane (C3)</t>
  </si>
  <si>
    <t>Butane (C4)</t>
  </si>
  <si>
    <t>Total Feed cost</t>
  </si>
  <si>
    <t>Naphtha Cost</t>
  </si>
  <si>
    <t>C2 cost</t>
  </si>
  <si>
    <t>C3 Cost</t>
  </si>
  <si>
    <t>C4 cost</t>
  </si>
  <si>
    <t>Feed Cost on Ethylene</t>
  </si>
  <si>
    <t>Feed cost on Propylene</t>
  </si>
  <si>
    <t>Ethylene COP difference between SAP vs Byproducts basis</t>
  </si>
  <si>
    <t>Propylene COP difference between SAP vs Byproducts basis</t>
  </si>
  <si>
    <r>
      <t xml:space="preserve">Average Revenue Per MT for PVC considered </t>
    </r>
    <r>
      <rPr>
        <sz val="11"/>
        <color rgb="FFC00000"/>
        <rFont val="Calibri"/>
        <family val="2"/>
      </rPr>
      <t>(97% OF EX-Mumbai Price TAKEN)</t>
    </r>
  </si>
  <si>
    <t>Ethylene Cost Factor based on Feed Yields</t>
  </si>
  <si>
    <t>Propylene cost factor based on Feed Yields</t>
  </si>
  <si>
    <t>OPaL Cost of Production as per SAP</t>
  </si>
  <si>
    <t>Cumulative Cashflow</t>
  </si>
  <si>
    <t>Payback Calculations Algorithm-Discounted Type</t>
  </si>
  <si>
    <t>Net Cashflow</t>
  </si>
  <si>
    <t>Payback Calculations Algorithm-Simple Type</t>
  </si>
  <si>
    <t>Product &amp; Co-products</t>
  </si>
  <si>
    <t>Price in INR per MT</t>
  </si>
  <si>
    <t>Price in USD per MT</t>
  </si>
  <si>
    <t>Domestic Price</t>
  </si>
  <si>
    <t>Imported Price (current year)</t>
  </si>
  <si>
    <t>Factory gate cost in USD/mmBtu</t>
  </si>
  <si>
    <t>Dollar to INR</t>
  </si>
  <si>
    <t>Note: Don't make any change here. Rows are hidden to keep data intact.</t>
  </si>
  <si>
    <t>Ethane</t>
  </si>
  <si>
    <t>Scenario 1</t>
  </si>
  <si>
    <t>Scenario 2</t>
  </si>
  <si>
    <t>Scenario 3</t>
  </si>
  <si>
    <t>Import Quantity (KTPA)</t>
  </si>
  <si>
    <t>Ethane Price</t>
  </si>
  <si>
    <t>Incremental Margin</t>
  </si>
  <si>
    <t>Margin</t>
  </si>
  <si>
    <t>Propane</t>
  </si>
  <si>
    <t>Butane</t>
  </si>
  <si>
    <t>CBFS (Carbon Black Feed Stock)</t>
  </si>
  <si>
    <t>Hydrogen</t>
  </si>
  <si>
    <t>Hydrogen Export</t>
  </si>
  <si>
    <t>Methane</t>
  </si>
  <si>
    <t>Fuel Gas</t>
  </si>
  <si>
    <t xml:space="preserve">Coproducts for DFCU Products: </t>
  </si>
  <si>
    <t xml:space="preserve">Coproducts for High Ethane Case: </t>
  </si>
  <si>
    <t>Scenario 4</t>
  </si>
  <si>
    <t>Scenario 5</t>
  </si>
  <si>
    <t>Scenario 6</t>
  </si>
  <si>
    <t>Naphtha Price</t>
  </si>
  <si>
    <t>Propane Price</t>
  </si>
  <si>
    <t>Fuel Gas Cracker (Internal)</t>
  </si>
  <si>
    <t>Overheads and Catalyst</t>
  </si>
  <si>
    <t>Product/ By product</t>
  </si>
  <si>
    <t>Factory Overheads</t>
  </si>
  <si>
    <t>C4 Mix Semi Finished goods</t>
  </si>
  <si>
    <t>Carbon Black Feed Stock</t>
  </si>
  <si>
    <t>Raw Py. Gas Semi finished goods</t>
  </si>
  <si>
    <t>Hydrogenated Pygas</t>
  </si>
  <si>
    <t>C9 PLUS</t>
  </si>
  <si>
    <t>Production Plan - Oct 2021</t>
  </si>
  <si>
    <t>Polymer Product</t>
  </si>
  <si>
    <r>
      <t xml:space="preserve">Op. Stock
</t>
    </r>
    <r>
      <rPr>
        <b/>
        <sz val="10"/>
        <color theme="1"/>
        <rFont val="Calibri"/>
        <family val="2"/>
        <scheme val="minor"/>
      </rPr>
      <t>(As on 25.09.21)</t>
    </r>
  </si>
  <si>
    <t>Production</t>
  </si>
  <si>
    <t>Sales Plan</t>
  </si>
  <si>
    <t>Cl. Stock</t>
  </si>
  <si>
    <t>PE-LL</t>
  </si>
  <si>
    <t>PE-HD</t>
  </si>
  <si>
    <t>HD</t>
  </si>
  <si>
    <t>Polymer (KT)</t>
  </si>
  <si>
    <t xml:space="preserve">DFCU Load - 100% </t>
  </si>
  <si>
    <t>Planned Consumption Rate</t>
  </si>
  <si>
    <t>Qty Reqd.</t>
  </si>
  <si>
    <t>Outsourced Qty.</t>
  </si>
  <si>
    <t>Cl. Stk.</t>
  </si>
  <si>
    <t>TPH</t>
  </si>
  <si>
    <t>RIL C2</t>
  </si>
  <si>
    <t>Total C2</t>
  </si>
  <si>
    <t>Naphtha (Opal+GCPCTL)</t>
  </si>
  <si>
    <t>UoM</t>
  </si>
  <si>
    <t>Buy/Sell</t>
  </si>
  <si>
    <t>Consumption</t>
  </si>
  <si>
    <t>Ullage</t>
  </si>
  <si>
    <t>KT</t>
  </si>
  <si>
    <t>Butene-1</t>
  </si>
  <si>
    <t>Hexane</t>
  </si>
  <si>
    <t>Pentane</t>
  </si>
  <si>
    <t>Total Days</t>
  </si>
  <si>
    <t>From</t>
  </si>
  <si>
    <t>To</t>
  </si>
  <si>
    <t>Grade</t>
  </si>
  <si>
    <t>Target Qty</t>
  </si>
  <si>
    <t>Avg. Capability (tph)</t>
  </si>
  <si>
    <t>Operating Hrs</t>
  </si>
  <si>
    <t>RH03</t>
  </si>
  <si>
    <t>MH13A</t>
  </si>
  <si>
    <t>MH13</t>
  </si>
  <si>
    <t>FH10S</t>
  </si>
  <si>
    <t>RH38</t>
  </si>
  <si>
    <t>Margin Hours</t>
  </si>
  <si>
    <t>PE Train-1</t>
  </si>
  <si>
    <t>F2001S</t>
  </si>
  <si>
    <t>F2001A</t>
  </si>
  <si>
    <t>F2002A</t>
  </si>
  <si>
    <t>PE Train-2</t>
  </si>
  <si>
    <t>T3804</t>
  </si>
  <si>
    <t>T3804U</t>
  </si>
  <si>
    <t>M2525</t>
  </si>
  <si>
    <t>M2550</t>
  </si>
  <si>
    <t>E2507</t>
  </si>
  <si>
    <t>HDPE</t>
  </si>
  <si>
    <t>F52H04</t>
  </si>
  <si>
    <t>S/D</t>
  </si>
  <si>
    <t>B55H02</t>
  </si>
  <si>
    <t>B55H03</t>
  </si>
  <si>
    <t>B5004</t>
  </si>
  <si>
    <t>P5002</t>
  </si>
  <si>
    <t>P51H10</t>
  </si>
  <si>
    <t>P50H03</t>
  </si>
  <si>
    <t>Total Hrs</t>
  </si>
  <si>
    <t>Liquid Product Plan</t>
  </si>
  <si>
    <t>Parameters</t>
  </si>
  <si>
    <t>HPG</t>
  </si>
  <si>
    <t>C9 plus</t>
  </si>
  <si>
    <t>Qty in MT</t>
  </si>
  <si>
    <t>Op. stk at Plant (Pumpable)</t>
  </si>
  <si>
    <t>Domestic  Sale</t>
  </si>
  <si>
    <t>Export Sale</t>
  </si>
  <si>
    <t>Total dispatch Plan</t>
  </si>
  <si>
    <t>PE Swing</t>
  </si>
  <si>
    <t>Avg. Cap.</t>
  </si>
  <si>
    <t>Design/BOM</t>
  </si>
  <si>
    <t>Load</t>
  </si>
  <si>
    <t>D2001S</t>
  </si>
  <si>
    <t>FH03</t>
  </si>
  <si>
    <t>B6003</t>
  </si>
  <si>
    <t>F50H10</t>
  </si>
  <si>
    <t>MI03</t>
  </si>
  <si>
    <t>F2002S</t>
  </si>
  <si>
    <t>MI08N</t>
  </si>
  <si>
    <t>F2003A</t>
  </si>
  <si>
    <t>MI12NX</t>
  </si>
  <si>
    <t>MR12C</t>
  </si>
  <si>
    <t>M5220</t>
  </si>
  <si>
    <t>RH25X</t>
  </si>
  <si>
    <t>M6008</t>
  </si>
  <si>
    <t>Y5008</t>
  </si>
  <si>
    <t>M6008U</t>
  </si>
  <si>
    <t>R5410</t>
  </si>
  <si>
    <t>Y5710</t>
  </si>
  <si>
    <t>LL</t>
  </si>
  <si>
    <t>Raw materials</t>
  </si>
  <si>
    <t>HDPE  Cost of Production</t>
  </si>
  <si>
    <t>LLDPE Cost of Production</t>
  </si>
  <si>
    <t>PP Cost of Production</t>
  </si>
  <si>
    <t>Cat-Chem+ additive</t>
  </si>
  <si>
    <t>Utilities</t>
  </si>
  <si>
    <t>Overheads</t>
  </si>
  <si>
    <t>Depreciation</t>
  </si>
  <si>
    <t>Co-product/Byprodcut Credit</t>
  </si>
  <si>
    <t>Ethane Weighted Average Prices (INR/MMBTU)</t>
  </si>
  <si>
    <t>Ethane Weighted Average Prices (INR/MT)</t>
  </si>
  <si>
    <t>Propane Weighted Average Prices (INR/MT)</t>
  </si>
  <si>
    <t>Butane Weighted Average Prices (INR/MT)</t>
  </si>
  <si>
    <t>Naphtha Weighted Average Prices (INR/MT)</t>
  </si>
  <si>
    <t>Condition type</t>
  </si>
  <si>
    <t>Plant</t>
  </si>
  <si>
    <t>Pricing Zone</t>
  </si>
  <si>
    <t>Amount</t>
  </si>
  <si>
    <t>Condition currency</t>
  </si>
  <si>
    <t>Pricing unit</t>
  </si>
  <si>
    <t>Unit of measure</t>
  </si>
  <si>
    <t>Material</t>
  </si>
  <si>
    <t>Valid From</t>
  </si>
  <si>
    <t>Valid to</t>
  </si>
  <si>
    <t>ZFSP</t>
  </si>
  <si>
    <t>2000</t>
  </si>
  <si>
    <t>1016</t>
  </si>
  <si>
    <t>2011P000MI03</t>
  </si>
  <si>
    <t>2011P000RH03</t>
  </si>
  <si>
    <t>2011P00FH10S</t>
  </si>
  <si>
    <t>2011P00MH13A</t>
  </si>
  <si>
    <t>2022P0F2001S</t>
  </si>
  <si>
    <t>2023P00Y5710</t>
  </si>
  <si>
    <t>2033P00B6003</t>
  </si>
  <si>
    <t>2033P0F52H04</t>
  </si>
  <si>
    <t>2023P00M5220</t>
  </si>
  <si>
    <t>PP-ICP</t>
  </si>
  <si>
    <t>PP RAFFIA</t>
  </si>
  <si>
    <t>PP TQ</t>
  </si>
  <si>
    <t>PP INJ</t>
  </si>
  <si>
    <t>LLD FILM</t>
  </si>
  <si>
    <t>HD INJ</t>
  </si>
  <si>
    <t>HD YARN</t>
  </si>
  <si>
    <t>HD BLOW MOLDING</t>
  </si>
  <si>
    <t>HD FILM</t>
  </si>
  <si>
    <t>Price</t>
  </si>
  <si>
    <t>Open</t>
  </si>
  <si>
    <t>High</t>
  </si>
  <si>
    <t>Low</t>
  </si>
  <si>
    <t>Jun</t>
  </si>
  <si>
    <t>Jul</t>
  </si>
  <si>
    <t>USD to INR</t>
  </si>
  <si>
    <t>Rate USD/MT</t>
  </si>
  <si>
    <t>Period</t>
  </si>
  <si>
    <t>Row Labels</t>
  </si>
  <si>
    <t>Grand Total</t>
  </si>
  <si>
    <t>Column Labels</t>
  </si>
  <si>
    <t>Sum of Amount</t>
  </si>
  <si>
    <t>HD Film</t>
  </si>
  <si>
    <t>HD Blow Moulding</t>
  </si>
  <si>
    <t>hd pipe</t>
  </si>
  <si>
    <t>HDPE Prices</t>
  </si>
  <si>
    <t>LLDPE Prices</t>
  </si>
  <si>
    <t>PP Prices</t>
  </si>
  <si>
    <t>LLDPE OPaL Price</t>
  </si>
  <si>
    <t>Contribution Per MT INR</t>
  </si>
  <si>
    <t>Contribution Per MT USD</t>
  </si>
  <si>
    <t>HDPE OPaL Price</t>
  </si>
  <si>
    <t>USD rate in INR</t>
  </si>
  <si>
    <t>Quantity in MT</t>
  </si>
  <si>
    <t>PP production Plan : FY 2022-23</t>
  </si>
  <si>
    <t>PE Swing Train-1 Producttion Plan : FY 2022-23</t>
  </si>
  <si>
    <t>Fraction</t>
  </si>
  <si>
    <t>Average-2018-2021</t>
  </si>
  <si>
    <t>Scenario-8001</t>
  </si>
  <si>
    <t>Ethylene + Propylene Total Cost of Production-based on SAP</t>
  </si>
  <si>
    <t>Ethylene + Propylene Total Cost of Production-Feed and Byproduct part</t>
  </si>
  <si>
    <t>Byproduct Benefit</t>
  </si>
  <si>
    <t>Net attributable to overheads, recycles, inventory gain, depletion, losses etc.</t>
  </si>
  <si>
    <t>Chemicals cost in DFCU</t>
  </si>
  <si>
    <t>Chemical Cost in BDEU</t>
  </si>
  <si>
    <t>POWER(MWH)</t>
  </si>
  <si>
    <t>PLTAIR(NM3)</t>
  </si>
  <si>
    <t>INSAIR(NM3)</t>
  </si>
  <si>
    <t>CWATER (MT)</t>
  </si>
  <si>
    <t>DMWAT (MT)</t>
  </si>
  <si>
    <t>NITGEN(NM3)</t>
  </si>
  <si>
    <t>VHSTM</t>
  </si>
  <si>
    <t>Boiler Feed Water</t>
  </si>
  <si>
    <t>MP Steam</t>
  </si>
  <si>
    <t>HP Steam</t>
  </si>
  <si>
    <t>Factory overheads</t>
  </si>
  <si>
    <t>Total Depreciation</t>
  </si>
  <si>
    <t>Total Utilities and Fixed costs</t>
  </si>
  <si>
    <t>Total Recycle form Polymers</t>
  </si>
  <si>
    <t>Total Feed,Chemicals, Utilities, fixed and Recycle Costs</t>
  </si>
  <si>
    <t>Total Feed,Chemicals, Utilities, fixed and Recycle Costs - Byproduct Benefits</t>
  </si>
  <si>
    <t>Byproductt Model Ethylene/Propylene</t>
  </si>
  <si>
    <t>Other Byprodcuts</t>
  </si>
  <si>
    <t>Condensate Export</t>
  </si>
  <si>
    <t>Hydrogen Export to polymers</t>
  </si>
  <si>
    <t>Other Byproducts Benefit-Fuel Gas, Hydrogen and Condensate</t>
  </si>
  <si>
    <t>Scenario 8001</t>
  </si>
  <si>
    <t>Scenario 8007</t>
  </si>
  <si>
    <t>Byproduct Model Ethylene/Propylene</t>
  </si>
  <si>
    <t>Base CASE</t>
  </si>
  <si>
    <t>LLDPE+HDPE</t>
  </si>
  <si>
    <t>Propane Sourcing Infrastructure</t>
  </si>
  <si>
    <t>Current Scenario</t>
  </si>
  <si>
    <t>Base Case with Polymer DBN</t>
  </si>
  <si>
    <t>244 KTPA High Ethane Case</t>
  </si>
  <si>
    <t>480 KTPA Ethane Import</t>
  </si>
  <si>
    <t>721 KTPA Ethane Import</t>
  </si>
  <si>
    <t>Additional 530 KTPA Naphtha</t>
  </si>
  <si>
    <t>Additional 385 KTPA C3</t>
  </si>
  <si>
    <t>Additional 247 KTPA Ethane in Base case</t>
  </si>
  <si>
    <t>Feedstock</t>
  </si>
  <si>
    <t>Quantity (KTPA)</t>
  </si>
  <si>
    <t>Per MT of Ethylene</t>
  </si>
  <si>
    <t>Capex INR Crs.</t>
  </si>
  <si>
    <t>ISBL Capex INR Crs.</t>
  </si>
  <si>
    <t>Base Case</t>
  </si>
  <si>
    <t>Case 8001</t>
  </si>
  <si>
    <t>Case 8006</t>
  </si>
  <si>
    <t>Case 8007</t>
  </si>
  <si>
    <t>Case 8003</t>
  </si>
  <si>
    <t>Products &amp; Co-Products</t>
  </si>
  <si>
    <t>Yield per MT of feed</t>
  </si>
  <si>
    <t>Fuel Gas Cracker (internal)</t>
  </si>
  <si>
    <t>PVC and Phenol Requirement</t>
  </si>
  <si>
    <t>Production KTA</t>
  </si>
  <si>
    <t>Change wrt Base case</t>
  </si>
  <si>
    <t>% Change wrt Base case</t>
  </si>
  <si>
    <t>Surplus</t>
  </si>
  <si>
    <r>
      <rPr>
        <b/>
        <u/>
        <sz val="10"/>
        <color indexed="8"/>
        <rFont val="Calibri"/>
        <family val="2"/>
      </rPr>
      <t>Yield For DFCU Producs:</t>
    </r>
    <r>
      <rPr>
        <b/>
        <sz val="10"/>
        <color indexed="8"/>
        <rFont val="Calibri"/>
        <family val="2"/>
      </rPr>
      <t xml:space="preserve"> </t>
    </r>
  </si>
  <si>
    <t>Byproduct norms</t>
  </si>
  <si>
    <t>S.no</t>
  </si>
  <si>
    <t>By Product</t>
  </si>
  <si>
    <t>Norms as per material balance</t>
  </si>
  <si>
    <t xml:space="preserve">MT Per MT of RPG </t>
  </si>
  <si>
    <t>MT Per MT of C4 Mix.</t>
  </si>
  <si>
    <t>kg Per MT of Ethylene</t>
  </si>
  <si>
    <t>MT Per MT of Ethylene</t>
  </si>
  <si>
    <t>MT per MT of Py. Gas.</t>
  </si>
  <si>
    <t>Yield for High Ethane Case</t>
  </si>
  <si>
    <t>Surplus (Deficit)</t>
  </si>
  <si>
    <t>PP OPaL Price</t>
  </si>
  <si>
    <t>Fuel Gas export-Ethane Component</t>
  </si>
  <si>
    <t>Fuel Gas export-Propane Component</t>
  </si>
  <si>
    <t>Fuel Gas export-Butane Component</t>
  </si>
  <si>
    <t>Fuel Gas export-Naphtha Component</t>
  </si>
  <si>
    <t>Steam in MT</t>
  </si>
  <si>
    <t>Cooling Water     in MT</t>
  </si>
  <si>
    <t>DM Water in MT</t>
  </si>
  <si>
    <t>Power in MWH</t>
  </si>
  <si>
    <t>Nitrogen in NM3</t>
  </si>
  <si>
    <t>Compressed Air in NM3</t>
  </si>
  <si>
    <t>BFW in MT</t>
  </si>
  <si>
    <t>Depreciation for total ethylene manufactured in INR</t>
  </si>
  <si>
    <t>Overheads for total ethylene manufactured in INR</t>
  </si>
  <si>
    <t>Catchem-for total Ethylene produced in INR</t>
  </si>
  <si>
    <t>Catchem-for total butadiene produced in INR</t>
  </si>
  <si>
    <t>Hydrogen MT Ethane Component for costing</t>
  </si>
  <si>
    <t>Hydrogen MT Propane Component for costing</t>
  </si>
  <si>
    <t>Hydrogen MT Butane Component for costing</t>
  </si>
  <si>
    <t>Hydrogen MT Naphtha Component for costing</t>
  </si>
  <si>
    <t>Hydrogen MT Export to polymers for credit</t>
  </si>
  <si>
    <t>Hydrogen cost of production in INR/MT</t>
  </si>
  <si>
    <t>Total Utilities Cost in INR</t>
  </si>
  <si>
    <t>Cooling water cost</t>
  </si>
  <si>
    <t>Compressed Air cost</t>
  </si>
  <si>
    <t>BFW cost</t>
  </si>
  <si>
    <t>Condensate Cost  INR/M3</t>
  </si>
  <si>
    <t>Utilities cost</t>
  </si>
  <si>
    <t>LLDPE Margin in $/MT</t>
  </si>
  <si>
    <t>HDPE Margin in $/MT</t>
  </si>
  <si>
    <t>PP Margin in $/MT</t>
  </si>
  <si>
    <t>Base Case-with 8500hrs</t>
  </si>
  <si>
    <t>Scenario 2-8500hrs</t>
  </si>
  <si>
    <t>Scenario 5-8500hrs</t>
  </si>
  <si>
    <t>OPaL Current with DBN included</t>
  </si>
  <si>
    <t>OPaL Dahej</t>
  </si>
  <si>
    <t>Cost components and financial parameters</t>
  </si>
  <si>
    <t>Ethylene Cash Cost (INR/MT)</t>
  </si>
  <si>
    <t>EBIDTA Margin</t>
  </si>
  <si>
    <t>Incremental Margin (INR Cr)</t>
  </si>
  <si>
    <t>Cost of Production for Ethylene (INR per MT)</t>
  </si>
  <si>
    <t>INR/MT</t>
  </si>
  <si>
    <t>USD/MT</t>
  </si>
  <si>
    <t>Technology - Linde Process</t>
  </si>
  <si>
    <t>Raw material cost</t>
  </si>
  <si>
    <t>Co-product credits</t>
  </si>
  <si>
    <t>Variable cost</t>
  </si>
  <si>
    <t>Direct fixed cost</t>
  </si>
  <si>
    <t>Allocated fixed costs</t>
  </si>
  <si>
    <t>Ethylene Cash Cost</t>
  </si>
  <si>
    <t>Ethylene Revenues</t>
  </si>
  <si>
    <t>Ethylene Variable Cost</t>
  </si>
  <si>
    <t>Contribution Margin</t>
  </si>
  <si>
    <t>Ethylene Fixed Cost</t>
  </si>
  <si>
    <t>Ethylene Total Cost</t>
  </si>
  <si>
    <t>EBIDTA</t>
  </si>
  <si>
    <t>EBITDA Margin</t>
  </si>
  <si>
    <t>ROCE</t>
  </si>
  <si>
    <t>Scenario Profile</t>
  </si>
  <si>
    <t>Particular</t>
  </si>
  <si>
    <t>Value (INR Cr)</t>
  </si>
  <si>
    <t>Value (USD mn)</t>
  </si>
  <si>
    <t>Revenue</t>
  </si>
  <si>
    <t>Cracker Margin</t>
  </si>
  <si>
    <t>Integrated Margin</t>
  </si>
  <si>
    <t>Capex</t>
  </si>
  <si>
    <t>Payback (yrs)</t>
  </si>
  <si>
    <t>EMI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</si>
</sst>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0">
    <numFmt numFmtId="8" formatCode="&quot;₹&quot;\ #,##0.00;[Red]&quot;₹&quot;\ \-#,##0.00"/>
    <numFmt numFmtId="43" formatCode="_ * #,##0.00_ ;_ * \-#,##0.00_ ;_ * &quot;-&quot;??_ ;_ @_ "/>
    <numFmt numFmtId="164" formatCode="yyyy"/>
    <numFmt numFmtId="165" formatCode="_(* #,##0.00_);_(* \(#,##0.00\);_(* &quot;-&quot;_);_(@_)"/>
    <numFmt numFmtId="166" formatCode="_(* #,##0.000_);_(* \(#,##0.000\);_(* &quot;-&quot;_);_(@_)"/>
    <numFmt numFmtId="167" formatCode="_(* #,##0.0000_);_(* \(#,##0.0000\);_(* &quot;-&quot;_);_(@_)"/>
    <numFmt numFmtId="168" formatCode="0.00_);[Red]\(0.00\)"/>
    <numFmt numFmtId="169" formatCode="_(* #,##0_);_(* \(#,##0\);_(* &quot;-&quot;??_);_(@_)"/>
    <numFmt numFmtId="170" formatCode="#,##0.0"/>
    <numFmt numFmtId="171" formatCode="#,##0.0000"/>
    <numFmt numFmtId="172" formatCode="_(* #,##0_);_(* \(#,##0\);_(* &quot;-&quot;_);_(@_)"/>
    <numFmt numFmtId="173" formatCode="0.0%"/>
    <numFmt numFmtId="174" formatCode="_(* #,##0.0_);_(* \(#,##0.0\);_(* &quot;-&quot;_);_(@_)"/>
    <numFmt numFmtId="175" formatCode="&quot;₹&quot;\ #,##0.00"/>
    <numFmt numFmtId="176" formatCode="&quot;₹&quot;\ #,##0"/>
    <numFmt numFmtId="177" formatCode="_ * #,##0_ ;_ * \-#,##0_ ;_ * &quot;-&quot;??_ ;_ @_ "/>
    <numFmt numFmtId="178" formatCode="0.0"/>
    <numFmt numFmtId="179" formatCode="0.000"/>
    <numFmt numFmtId="180" formatCode="_(* #,##0.00_);_(* \(#,##0.00\);_(* &quot;-&quot;??_);_(@_)"/>
    <numFmt numFmtId="181" formatCode="_(* #,##0.00_);_(* \(#,##0.00\);_(* &quot;-&quot;_);@_)"/>
    <numFmt numFmtId="182" formatCode="_(* #,##0.0_);_(* \(#,##0.0\);_(* &quot;-&quot;_);@_)"/>
    <numFmt numFmtId="183" formatCode="_(* #,##0.00000_);_(* \(#,##0.00000\);_(* &quot;-&quot;_);@_)"/>
    <numFmt numFmtId="184" formatCode="_(* #,##0.0000_);_(* \(#,##0.0000\);_(* &quot;-&quot;_);@_)"/>
    <numFmt numFmtId="185" formatCode="_(* #,##0.000_);_(* \(#,##0.000\);_(* &quot;-&quot;_);@_)"/>
    <numFmt numFmtId="186" formatCode="#,##0.000"/>
    <numFmt numFmtId="187" formatCode="0.0000"/>
    <numFmt numFmtId="188" formatCode="0.00000"/>
    <numFmt numFmtId="189" formatCode="[$-14009]d/m/yy;@"/>
    <numFmt numFmtId="190" formatCode="[$-409]mmm/yy;@"/>
    <numFmt numFmtId="191" formatCode="[$USD]\ #,##0"/>
    <numFmt numFmtId="192" formatCode="_ * #,##0.000_ ;_ * \-#,##0.000_ ;_ * &quot;-&quot;??_ ;_ @_ "/>
    <numFmt numFmtId="193" formatCode="&quot;₹&quot;\ #,##0.0"/>
    <numFmt numFmtId="194" formatCode="_(* #,##0_);_(* \(#,##0\);_(* &quot;-&quot;_);@_)"/>
    <numFmt numFmtId="195" formatCode="_(* #,##0.000000_);_(* \(#,##0.000000\);_(* &quot;-&quot;_);@_)"/>
    <numFmt numFmtId="196" formatCode="[Color10]0.00%\▲;[Red]\-0.00%\▼;[Color44]\►"/>
    <numFmt numFmtId="197" formatCode="[Color10]0%\▲;[Red]\-0%\▼;[Color44]\►"/>
    <numFmt numFmtId="198" formatCode="_ * #,##0.0_ ;_ * \-#,##0.0_ ;_ * &quot;-&quot;??_ ;_ @_ "/>
    <numFmt numFmtId="199" formatCode="0.0000000"/>
    <numFmt numFmtId="200" formatCode="0.0000000000"/>
    <numFmt numFmtId="201" formatCode="[Red]\▲;[Color10]\▼;[Color44]\►"/>
  </numFmts>
  <fonts count="65" x14ac:knownFonts="1">
    <font>
      <sz val="11"/>
      <color theme="1"/>
      <name val="Calibri"/>
      <family val="2"/>
      <scheme val="minor"/>
    </font>
    <font>
      <b/>
      <sz val="11"/>
      <color theme="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
      <b/>
      <sz val="10"/>
      <name val="Arial"/>
      <family val="2"/>
    </font>
    <font>
      <b/>
      <sz val="11"/>
      <name val="Arial"/>
      <family val="2"/>
    </font>
    <font>
      <b/>
      <sz val="14"/>
      <name val="Arial"/>
      <family val="2"/>
    </font>
    <font>
      <sz val="11"/>
      <name val="Arial"/>
      <family val="2"/>
    </font>
    <font>
      <sz val="10"/>
      <name val="Arial"/>
      <family val="2"/>
    </font>
    <font>
      <b/>
      <sz val="12"/>
      <name val="Arial"/>
      <family val="2"/>
    </font>
    <font>
      <sz val="12"/>
      <name val="Arial"/>
      <family val="2"/>
    </font>
    <font>
      <b/>
      <sz val="9"/>
      <name val="Arial"/>
      <family val="2"/>
    </font>
    <font>
      <b/>
      <sz val="16"/>
      <color theme="1"/>
      <name val="Calibri"/>
      <family val="2"/>
      <scheme val="minor"/>
    </font>
    <font>
      <b/>
      <sz val="18"/>
      <color theme="1"/>
      <name val="Calibri"/>
      <family val="2"/>
      <scheme val="minor"/>
    </font>
    <font>
      <b/>
      <sz val="11"/>
      <name val="Calibri"/>
      <family val="2"/>
      <scheme val="minor"/>
    </font>
    <font>
      <sz val="11"/>
      <name val="Calibri"/>
      <family val="2"/>
      <scheme val="minor"/>
    </font>
    <font>
      <b/>
      <sz val="11"/>
      <color rgb="FF000000"/>
      <name val="Calibri"/>
      <family val="2"/>
    </font>
    <font>
      <sz val="11"/>
      <color rgb="FF000000"/>
      <name val="Calibri"/>
      <family val="2"/>
    </font>
    <font>
      <sz val="12"/>
      <color theme="1"/>
      <name val="Calibri"/>
      <family val="2"/>
      <scheme val="minor"/>
    </font>
    <font>
      <b/>
      <sz val="16"/>
      <color rgb="FF000000"/>
      <name val="Calibri"/>
      <family val="2"/>
    </font>
    <font>
      <b/>
      <sz val="11"/>
      <color rgb="FFC00000"/>
      <name val="Calibri"/>
      <family val="2"/>
      <scheme val="minor"/>
    </font>
    <font>
      <sz val="10"/>
      <color theme="1"/>
      <name val="Calibri"/>
      <family val="2"/>
      <scheme val="minor"/>
    </font>
    <font>
      <b/>
      <sz val="10"/>
      <color indexed="8"/>
      <name val="Calibri"/>
      <family val="2"/>
    </font>
    <font>
      <sz val="10"/>
      <name val="Calibri"/>
      <family val="2"/>
      <scheme val="minor"/>
    </font>
    <font>
      <b/>
      <sz val="10"/>
      <color theme="1"/>
      <name val="Calibri"/>
      <family val="2"/>
      <scheme val="minor"/>
    </font>
    <font>
      <b/>
      <sz val="11"/>
      <color rgb="FFFF0000"/>
      <name val="Calibri"/>
      <family val="2"/>
      <scheme val="minor"/>
    </font>
    <font>
      <b/>
      <u/>
      <sz val="10"/>
      <color theme="1"/>
      <name val="Calibri"/>
      <family val="2"/>
      <scheme val="minor"/>
    </font>
    <font>
      <b/>
      <u/>
      <sz val="10"/>
      <color indexed="8"/>
      <name val="Calibri"/>
      <family val="2"/>
    </font>
    <font>
      <sz val="10"/>
      <color rgb="FFFF0000"/>
      <name val="Calibri"/>
      <family val="2"/>
      <scheme val="minor"/>
    </font>
    <font>
      <b/>
      <u/>
      <sz val="14"/>
      <color theme="1"/>
      <name val="Calibri"/>
      <family val="2"/>
      <scheme val="minor"/>
    </font>
    <font>
      <sz val="11"/>
      <color theme="1"/>
      <name val="Arial"/>
      <family val="2"/>
    </font>
    <font>
      <b/>
      <sz val="10"/>
      <color theme="1"/>
      <name val="Arial"/>
      <family val="2"/>
    </font>
    <font>
      <sz val="10"/>
      <color theme="1"/>
      <name val="Arial"/>
      <family val="2"/>
    </font>
    <font>
      <b/>
      <sz val="11"/>
      <color theme="1"/>
      <name val="Arial"/>
      <family val="2"/>
    </font>
    <font>
      <b/>
      <sz val="12"/>
      <color theme="1"/>
      <name val="Arial"/>
      <family val="2"/>
    </font>
    <font>
      <sz val="9"/>
      <color theme="1"/>
      <name val="Calibri"/>
      <family val="2"/>
      <scheme val="minor"/>
    </font>
    <font>
      <b/>
      <sz val="11"/>
      <color rgb="FF3A3A3A"/>
      <name val="Calibri"/>
      <family val="2"/>
      <scheme val="minor"/>
    </font>
    <font>
      <b/>
      <sz val="10"/>
      <name val="Calibri"/>
      <family val="2"/>
      <scheme val="minor"/>
    </font>
    <font>
      <b/>
      <sz val="18"/>
      <name val="Calibri"/>
      <family val="2"/>
      <scheme val="minor"/>
    </font>
    <font>
      <b/>
      <sz val="11"/>
      <color theme="0"/>
      <name val="Calibri"/>
      <family val="2"/>
      <scheme val="minor"/>
    </font>
    <font>
      <b/>
      <sz val="12"/>
      <name val="Calibri"/>
      <family val="2"/>
      <scheme val="minor"/>
    </font>
    <font>
      <b/>
      <sz val="11"/>
      <color theme="1"/>
      <name val="Times New Roman"/>
      <family val="1"/>
    </font>
    <font>
      <sz val="11"/>
      <color rgb="FFC00000"/>
      <name val="Calibri"/>
      <family val="2"/>
    </font>
    <font>
      <sz val="11"/>
      <color rgb="FFFF0000"/>
      <name val="Calibri"/>
      <family val="2"/>
      <scheme val="minor"/>
    </font>
    <font>
      <b/>
      <i/>
      <sz val="9"/>
      <color theme="1"/>
      <name val="Calibri"/>
      <family val="2"/>
      <scheme val="minor"/>
    </font>
    <font>
      <sz val="9"/>
      <color theme="0" tint="-0.249977111117893"/>
      <name val="Calibri"/>
      <family val="2"/>
      <scheme val="minor"/>
    </font>
    <font>
      <sz val="8"/>
      <color theme="1"/>
      <name val="Calibri"/>
      <family val="2"/>
      <scheme val="minor"/>
    </font>
    <font>
      <b/>
      <sz val="9"/>
      <color theme="1"/>
      <name val="Calibri"/>
      <family val="2"/>
      <scheme val="minor"/>
    </font>
    <font>
      <b/>
      <u/>
      <sz val="16"/>
      <color theme="1"/>
      <name val="Calibri"/>
      <family val="2"/>
      <scheme val="minor"/>
    </font>
    <font>
      <b/>
      <sz val="11"/>
      <color theme="0" tint="-0.499984740745262"/>
      <name val="Calibri"/>
      <family val="2"/>
      <scheme val="minor"/>
    </font>
    <font>
      <b/>
      <sz val="12"/>
      <color theme="1"/>
      <name val="Calibri"/>
      <family val="2"/>
      <scheme val="minor"/>
    </font>
    <font>
      <sz val="11"/>
      <color theme="0" tint="-0.499984740745262"/>
      <name val="Calibri"/>
      <family val="2"/>
      <scheme val="minor"/>
    </font>
    <font>
      <sz val="11"/>
      <color rgb="FF000000"/>
      <name val="Calibri"/>
      <family val="2"/>
      <scheme val="minor"/>
    </font>
    <font>
      <b/>
      <sz val="11"/>
      <color rgb="FF000000"/>
      <name val="Calibri"/>
      <family val="2"/>
      <scheme val="minor"/>
    </font>
    <font>
      <sz val="10"/>
      <color rgb="FF000000"/>
      <name val="Calibri"/>
      <family val="2"/>
      <scheme val="minor"/>
    </font>
    <font>
      <sz val="11"/>
      <color theme="1"/>
      <name val="Calibri"/>
      <family val="2"/>
    </font>
    <font>
      <sz val="12"/>
      <name val="Calibri"/>
      <family val="2"/>
      <scheme val="minor"/>
    </font>
    <font>
      <b/>
      <i/>
      <sz val="11"/>
      <color theme="1"/>
      <name val="Calibri"/>
      <family val="2"/>
      <scheme val="minor"/>
    </font>
    <font>
      <b/>
      <u/>
      <sz val="10"/>
      <name val="Calibri"/>
      <family val="2"/>
      <scheme val="minor"/>
    </font>
    <font>
      <b/>
      <sz val="9"/>
      <color theme="0"/>
      <name val="Calibri"/>
      <family val="2"/>
      <scheme val="minor"/>
    </font>
    <font>
      <sz val="9"/>
      <color theme="0"/>
      <name val="Calibri"/>
      <family val="2"/>
      <scheme val="minor"/>
    </font>
    <font>
      <sz val="16"/>
      <color theme="1"/>
      <name val="Calibri"/>
      <family val="2"/>
      <scheme val="minor"/>
    </font>
    <font>
      <sz val="9"/>
      <color rgb="FFFF0000"/>
      <name val="Calibri"/>
      <family val="2"/>
      <scheme val="minor"/>
    </font>
    <font>
      <b/>
      <sz val="9"/>
      <color rgb="FFFF0000"/>
      <name val="Calibri"/>
      <family val="2"/>
      <scheme val="minor"/>
    </font>
  </fonts>
  <fills count="38">
    <fill>
      <patternFill patternType="none"/>
    </fill>
    <fill>
      <patternFill patternType="gray125"/>
    </fill>
    <fill>
      <patternFill patternType="solid">
        <fgColor theme="1"/>
        <bgColor indexed="64"/>
      </patternFill>
    </fill>
    <fill>
      <patternFill patternType="solid">
        <fgColor indexed="13"/>
        <bgColor indexed="64"/>
      </patternFill>
    </fill>
    <fill>
      <patternFill patternType="solid">
        <fgColor indexed="42"/>
        <bgColor indexed="64"/>
      </patternFill>
    </fill>
    <fill>
      <patternFill patternType="solid">
        <fgColor indexed="41"/>
        <bgColor indexed="64"/>
      </patternFill>
    </fill>
    <fill>
      <patternFill patternType="solid">
        <fgColor theme="0"/>
        <bgColor indexed="64"/>
      </patternFill>
    </fill>
    <fill>
      <patternFill patternType="solid">
        <fgColor indexed="4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rgb="FFBFBFBF"/>
        <bgColor indexed="64"/>
      </patternFill>
    </fill>
    <fill>
      <patternFill patternType="solid">
        <fgColor rgb="FFFFFFF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C000"/>
        <bgColor indexed="64"/>
      </patternFill>
    </fill>
    <fill>
      <patternFill patternType="solid">
        <fgColor rgb="FFCCFFFF"/>
        <bgColor indexed="64"/>
      </patternFill>
    </fill>
    <fill>
      <patternFill patternType="solid">
        <fgColor theme="7" tint="0.39997558519241921"/>
        <bgColor indexed="64"/>
      </patternFill>
    </fill>
    <fill>
      <patternFill patternType="solid">
        <fgColor theme="2"/>
        <bgColor indexed="64"/>
      </patternFill>
    </fill>
    <fill>
      <patternFill patternType="solid">
        <fgColor theme="8" tint="0.79998168889431442"/>
        <bgColor indexed="64"/>
      </patternFill>
    </fill>
    <fill>
      <patternFill patternType="solid">
        <fgColor theme="5"/>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indexed="22"/>
        <bgColor indexed="64"/>
      </patternFill>
    </fill>
    <fill>
      <patternFill patternType="solid">
        <fgColor rgb="FFFCFDFE"/>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2" tint="-0.499984740745262"/>
        <bgColor indexed="64"/>
      </patternFill>
    </fill>
    <fill>
      <patternFill patternType="solid">
        <fgColor theme="1" tint="0.499984740745262"/>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uble">
        <color indexed="64"/>
      </left>
      <right/>
      <top style="double">
        <color indexed="64"/>
      </top>
      <bottom/>
      <diagonal/>
    </border>
    <border>
      <left/>
      <right style="double">
        <color indexed="64"/>
      </right>
      <top style="double">
        <color indexed="64"/>
      </top>
      <bottom style="hair">
        <color indexed="64"/>
      </bottom>
      <diagonal/>
    </border>
    <border>
      <left style="double">
        <color indexed="64"/>
      </left>
      <right/>
      <top/>
      <bottom/>
      <diagonal/>
    </border>
    <border>
      <left/>
      <right style="double">
        <color indexed="64"/>
      </right>
      <top style="double">
        <color indexed="64"/>
      </top>
      <bottom/>
      <diagonal/>
    </border>
    <border>
      <left/>
      <right style="double">
        <color indexed="64"/>
      </right>
      <top style="hair">
        <color indexed="64"/>
      </top>
      <bottom style="hair">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style="double">
        <color indexed="64"/>
      </right>
      <top style="hair">
        <color indexed="64"/>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style="double">
        <color indexed="64"/>
      </right>
      <top/>
      <bottom style="double">
        <color indexed="64"/>
      </bottom>
      <diagonal/>
    </border>
    <border>
      <left style="double">
        <color indexed="64"/>
      </left>
      <right style="double">
        <color indexed="64"/>
      </right>
      <top/>
      <bottom style="hair">
        <color indexed="64"/>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thin">
        <color indexed="64"/>
      </top>
      <bottom style="medium">
        <color indexed="64"/>
      </bottom>
      <diagonal/>
    </border>
    <border>
      <left style="double">
        <color indexed="64"/>
      </left>
      <right style="double">
        <color indexed="64"/>
      </right>
      <top/>
      <bottom/>
      <diagonal/>
    </border>
    <border>
      <left style="thin">
        <color indexed="64"/>
      </left>
      <right style="thin">
        <color indexed="64"/>
      </right>
      <top/>
      <bottom/>
      <diagonal/>
    </border>
    <border>
      <left/>
      <right style="double">
        <color indexed="64"/>
      </right>
      <top/>
      <bottom/>
      <diagonal/>
    </border>
    <border>
      <left style="medium">
        <color indexed="64"/>
      </left>
      <right style="medium">
        <color indexed="64"/>
      </right>
      <top style="medium">
        <color indexed="64"/>
      </top>
      <bottom style="medium">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style="hair">
        <color indexed="64"/>
      </bottom>
      <diagonal/>
    </border>
    <border>
      <left style="double">
        <color indexed="64"/>
      </left>
      <right/>
      <top style="hair">
        <color indexed="64"/>
      </top>
      <bottom style="hair">
        <color indexed="64"/>
      </bottom>
      <diagonal/>
    </border>
    <border>
      <left style="double">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bottom style="hair">
        <color indexed="64"/>
      </bottom>
      <diagonal/>
    </border>
    <border>
      <left/>
      <right style="double">
        <color indexed="64"/>
      </right>
      <top/>
      <bottom style="hair">
        <color indexed="64"/>
      </bottom>
      <diagonal/>
    </border>
    <border>
      <left/>
      <right style="double">
        <color indexed="64"/>
      </right>
      <top style="hair">
        <color indexed="64"/>
      </top>
      <bottom/>
      <diagonal/>
    </border>
    <border>
      <left style="double">
        <color indexed="64"/>
      </left>
      <right style="double">
        <color indexed="64"/>
      </right>
      <top style="hair">
        <color indexed="64"/>
      </top>
      <bottom style="thin">
        <color indexed="64"/>
      </bottom>
      <diagonal/>
    </border>
    <border>
      <left/>
      <right style="double">
        <color indexed="64"/>
      </right>
      <top style="hair">
        <color indexed="64"/>
      </top>
      <bottom style="thin">
        <color indexed="64"/>
      </bottom>
      <diagonal/>
    </border>
    <border>
      <left style="double">
        <color indexed="64"/>
      </left>
      <right style="double">
        <color indexed="64"/>
      </right>
      <top style="medium">
        <color indexed="64"/>
      </top>
      <bottom style="hair">
        <color indexed="64"/>
      </bottom>
      <diagonal/>
    </border>
    <border>
      <left style="double">
        <color indexed="64"/>
      </left>
      <right/>
      <top style="hair">
        <color indexed="64"/>
      </top>
      <bottom/>
      <diagonal/>
    </border>
    <border>
      <left style="double">
        <color indexed="64"/>
      </left>
      <right/>
      <top style="hair">
        <color indexed="64"/>
      </top>
      <bottom style="double">
        <color indexed="64"/>
      </bottom>
      <diagonal/>
    </border>
    <border>
      <left style="double">
        <color indexed="64"/>
      </left>
      <right style="double">
        <color indexed="64"/>
      </right>
      <top style="hair">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indexed="64"/>
      </left>
      <right/>
      <top/>
      <bottom style="medium">
        <color indexed="64"/>
      </bottom>
      <diagonal/>
    </border>
    <border>
      <left/>
      <right/>
      <top/>
      <bottom style="medium">
        <color rgb="FFE3EAF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indexed="64"/>
      </left>
      <right style="medium">
        <color indexed="64"/>
      </right>
      <top style="thin">
        <color indexed="64"/>
      </top>
      <bottom/>
      <diagonal/>
    </border>
    <border>
      <left style="thin">
        <color auto="1"/>
      </left>
      <right style="thin">
        <color auto="1"/>
      </right>
      <top style="thin">
        <color auto="1"/>
      </top>
      <bottom style="medium">
        <color auto="1"/>
      </bottom>
      <diagonal/>
    </border>
    <border>
      <left style="thin">
        <color indexed="64"/>
      </left>
      <right style="medium">
        <color indexed="64"/>
      </right>
      <top style="thin">
        <color indexed="64"/>
      </top>
      <bottom style="medium">
        <color indexed="64"/>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43" fontId="2" fillId="0" borderId="0" applyFont="0" applyFill="0" applyBorder="0" applyAlignment="0" applyProtection="0"/>
    <xf numFmtId="9" fontId="2" fillId="0" borderId="0" applyFont="0" applyFill="0" applyBorder="0" applyAlignment="0" applyProtection="0"/>
    <xf numFmtId="43" fontId="9" fillId="0" borderId="0" applyFont="0" applyFill="0" applyBorder="0" applyAlignment="0" applyProtection="0"/>
    <xf numFmtId="0" fontId="19" fillId="0" borderId="0"/>
    <xf numFmtId="0" fontId="9" fillId="0" borderId="0"/>
    <xf numFmtId="0" fontId="9" fillId="0" borderId="0"/>
    <xf numFmtId="180" fontId="2" fillId="0" borderId="0" applyFont="0" applyFill="0" applyBorder="0" applyAlignment="0" applyProtection="0"/>
    <xf numFmtId="43" fontId="2"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194" fontId="36" fillId="0" borderId="0"/>
    <xf numFmtId="9" fontId="36" fillId="0" borderId="0" applyFont="0" applyFill="0" applyBorder="0" applyAlignment="0" applyProtection="0"/>
    <xf numFmtId="0" fontId="2" fillId="0" borderId="0"/>
    <xf numFmtId="0" fontId="2" fillId="0" borderId="0"/>
    <xf numFmtId="180" fontId="36" fillId="0" borderId="0" applyFont="0" applyFill="0" applyBorder="0" applyAlignment="0" applyProtection="0"/>
  </cellStyleXfs>
  <cellXfs count="1015">
    <xf numFmtId="0" fontId="0" fillId="0" borderId="0" xfId="0"/>
    <xf numFmtId="1" fontId="0" fillId="0" borderId="0" xfId="0" applyNumberFormat="1"/>
    <xf numFmtId="0" fontId="1" fillId="0" borderId="0" xfId="0" applyFont="1"/>
    <xf numFmtId="164" fontId="0" fillId="0" borderId="0" xfId="0" applyNumberFormat="1"/>
    <xf numFmtId="0" fontId="0" fillId="0" borderId="0" xfId="0" applyNumberFormat="1"/>
    <xf numFmtId="1" fontId="0" fillId="0" borderId="0" xfId="0" applyNumberFormat="1" applyAlignment="1">
      <alignment horizontal="center"/>
    </xf>
    <xf numFmtId="0" fontId="0" fillId="0" borderId="1" xfId="0" applyBorder="1"/>
    <xf numFmtId="164" fontId="0" fillId="0" borderId="1" xfId="0" applyNumberFormat="1" applyBorder="1"/>
    <xf numFmtId="0" fontId="1" fillId="0" borderId="1" xfId="0" applyFont="1" applyBorder="1"/>
    <xf numFmtId="0" fontId="0" fillId="0" borderId="0" xfId="0" applyBorder="1"/>
    <xf numFmtId="1" fontId="0" fillId="0" borderId="1" xfId="0" applyNumberFormat="1" applyBorder="1" applyAlignment="1">
      <alignment horizontal="center"/>
    </xf>
    <xf numFmtId="9" fontId="0" fillId="0" borderId="1" xfId="0" applyNumberFormat="1" applyBorder="1"/>
    <xf numFmtId="0" fontId="3" fillId="2" borderId="1" xfId="0" applyFont="1" applyFill="1" applyBorder="1" applyAlignment="1">
      <alignment horizontal="right"/>
    </xf>
    <xf numFmtId="0" fontId="3" fillId="2" borderId="1" xfId="0" applyFont="1" applyFill="1" applyBorder="1" applyAlignment="1">
      <alignment horizontal="left"/>
    </xf>
    <xf numFmtId="0" fontId="0" fillId="0" borderId="1" xfId="0" applyBorder="1" applyAlignment="1">
      <alignment horizontal="center"/>
    </xf>
    <xf numFmtId="0" fontId="4" fillId="2" borderId="2" xfId="0" applyFont="1" applyFill="1" applyBorder="1" applyAlignment="1"/>
    <xf numFmtId="0" fontId="0" fillId="0" borderId="0" xfId="0" applyAlignment="1">
      <alignment vertical="center"/>
    </xf>
    <xf numFmtId="0" fontId="9" fillId="0" borderId="0" xfId="0" applyFont="1"/>
    <xf numFmtId="0" fontId="0" fillId="0" borderId="0" xfId="0" applyAlignment="1"/>
    <xf numFmtId="0" fontId="8" fillId="0" borderId="0" xfId="0" applyFont="1" applyAlignment="1">
      <alignment horizontal="left"/>
    </xf>
    <xf numFmtId="0" fontId="8" fillId="0" borderId="0" xfId="0" applyFont="1" applyAlignment="1">
      <alignment horizontal="center" vertical="top"/>
    </xf>
    <xf numFmtId="0" fontId="0" fillId="0" borderId="0" xfId="0" applyAlignment="1">
      <alignment vertical="top"/>
    </xf>
    <xf numFmtId="0" fontId="6" fillId="0" borderId="20" xfId="0" applyFont="1" applyBorder="1" applyAlignment="1">
      <alignment horizontal="center" vertical="center"/>
    </xf>
    <xf numFmtId="0" fontId="6" fillId="0" borderId="14" xfId="0" applyFont="1" applyBorder="1" applyAlignment="1">
      <alignment horizontal="center" vertical="center"/>
    </xf>
    <xf numFmtId="0" fontId="10" fillId="0" borderId="26" xfId="0" applyFont="1" applyBorder="1" applyAlignment="1">
      <alignment horizontal="center" vertical="center"/>
    </xf>
    <xf numFmtId="0" fontId="10" fillId="0" borderId="26" xfId="0" applyFont="1" applyBorder="1" applyAlignment="1">
      <alignment vertical="center"/>
    </xf>
    <xf numFmtId="0" fontId="0" fillId="0" borderId="26" xfId="0" applyBorder="1" applyAlignment="1">
      <alignment vertical="center"/>
    </xf>
    <xf numFmtId="0" fontId="0" fillId="0" borderId="4" xfId="0" applyBorder="1" applyAlignment="1">
      <alignment vertical="center"/>
    </xf>
    <xf numFmtId="0" fontId="0" fillId="0" borderId="26" xfId="0" applyBorder="1" applyAlignment="1" applyProtection="1">
      <alignment vertical="center"/>
      <protection locked="0"/>
    </xf>
    <xf numFmtId="0" fontId="5" fillId="0" borderId="27" xfId="0" applyFont="1" applyBorder="1" applyAlignment="1" applyProtection="1">
      <alignment horizontal="center" vertical="center"/>
      <protection locked="0"/>
    </xf>
    <xf numFmtId="0" fontId="6" fillId="0" borderId="16" xfId="0" applyFont="1" applyBorder="1" applyAlignment="1" applyProtection="1">
      <alignment vertical="center"/>
      <protection locked="0"/>
    </xf>
    <xf numFmtId="3" fontId="0" fillId="0" borderId="16" xfId="0" applyNumberFormat="1" applyBorder="1" applyAlignment="1" applyProtection="1">
      <alignment horizontal="center" vertical="center"/>
      <protection locked="0"/>
    </xf>
    <xf numFmtId="3" fontId="0" fillId="0" borderId="7" xfId="0" applyNumberFormat="1" applyBorder="1" applyAlignment="1">
      <alignment horizontal="center" vertical="center"/>
    </xf>
    <xf numFmtId="3" fontId="0" fillId="0" borderId="16" xfId="0" applyNumberFormat="1" applyBorder="1" applyAlignment="1" applyProtection="1">
      <alignment vertical="center"/>
      <protection locked="0"/>
    </xf>
    <xf numFmtId="3" fontId="0" fillId="0" borderId="16" xfId="0" applyNumberFormat="1" applyBorder="1" applyAlignment="1">
      <alignment vertical="center"/>
    </xf>
    <xf numFmtId="169" fontId="5" fillId="3" borderId="21" xfId="1" applyNumberFormat="1" applyFont="1" applyFill="1" applyBorder="1" applyAlignment="1">
      <alignment vertical="center"/>
    </xf>
    <xf numFmtId="0" fontId="9" fillId="0" borderId="27" xfId="0" applyFont="1" applyBorder="1" applyAlignment="1" applyProtection="1">
      <alignment horizontal="center" vertical="center"/>
      <protection locked="0"/>
    </xf>
    <xf numFmtId="0" fontId="9" fillId="0" borderId="16" xfId="0" applyFont="1" applyBorder="1" applyAlignment="1" applyProtection="1">
      <alignment vertical="center"/>
      <protection locked="0"/>
    </xf>
    <xf numFmtId="3" fontId="9" fillId="0" borderId="16" xfId="0" applyNumberFormat="1" applyFont="1" applyBorder="1" applyAlignment="1" applyProtection="1">
      <alignment horizontal="center" vertical="center"/>
      <protection locked="0"/>
    </xf>
    <xf numFmtId="3" fontId="9" fillId="0" borderId="7" xfId="0" applyNumberFormat="1" applyFont="1" applyBorder="1" applyAlignment="1">
      <alignment horizontal="center" vertical="center"/>
    </xf>
    <xf numFmtId="4" fontId="9" fillId="0" borderId="7" xfId="0" applyNumberFormat="1" applyFont="1" applyBorder="1" applyAlignment="1">
      <alignment horizontal="center" vertical="center"/>
    </xf>
    <xf numFmtId="170" fontId="9" fillId="5" borderId="16" xfId="0" applyNumberFormat="1" applyFont="1" applyFill="1" applyBorder="1" applyAlignment="1" applyProtection="1">
      <alignment vertical="center"/>
      <protection locked="0"/>
    </xf>
    <xf numFmtId="3" fontId="9" fillId="5" borderId="16" xfId="0" applyNumberFormat="1" applyFont="1" applyFill="1" applyBorder="1" applyAlignment="1" applyProtection="1">
      <alignment vertical="center"/>
      <protection locked="0"/>
    </xf>
    <xf numFmtId="3" fontId="9" fillId="6" borderId="7" xfId="0" applyNumberFormat="1" applyFont="1" applyFill="1" applyBorder="1" applyAlignment="1">
      <alignment horizontal="center" vertical="center"/>
    </xf>
    <xf numFmtId="4" fontId="9" fillId="0" borderId="16" xfId="0" applyNumberFormat="1" applyFont="1" applyBorder="1" applyAlignment="1">
      <alignment vertical="center"/>
    </xf>
    <xf numFmtId="0" fontId="9" fillId="0" borderId="28" xfId="0" applyFont="1" applyBorder="1" applyAlignment="1" applyProtection="1">
      <alignment horizontal="center" vertical="center"/>
      <protection locked="0"/>
    </xf>
    <xf numFmtId="0" fontId="5" fillId="0" borderId="17" xfId="0" applyFont="1" applyBorder="1" applyAlignment="1" applyProtection="1">
      <alignment vertical="center"/>
      <protection locked="0"/>
    </xf>
    <xf numFmtId="3" fontId="9" fillId="0" borderId="17" xfId="0" applyNumberFormat="1" applyFont="1" applyBorder="1" applyAlignment="1" applyProtection="1">
      <alignment vertical="center"/>
      <protection locked="0"/>
    </xf>
    <xf numFmtId="3" fontId="9" fillId="0" borderId="29" xfId="0" applyNumberFormat="1" applyFont="1" applyBorder="1" applyAlignment="1">
      <alignment vertical="center"/>
    </xf>
    <xf numFmtId="3" fontId="5" fillId="0" borderId="17" xfId="0" applyNumberFormat="1" applyFont="1" applyBorder="1" applyAlignment="1" applyProtection="1">
      <alignment vertical="center"/>
      <protection locked="0"/>
    </xf>
    <xf numFmtId="0" fontId="5" fillId="0" borderId="30" xfId="0" applyFont="1" applyBorder="1" applyAlignment="1" applyProtection="1">
      <alignment horizontal="center" vertical="center"/>
      <protection locked="0"/>
    </xf>
    <xf numFmtId="0" fontId="5" fillId="0" borderId="15" xfId="0" applyFont="1" applyBorder="1" applyAlignment="1" applyProtection="1">
      <alignment vertical="center"/>
      <protection locked="0"/>
    </xf>
    <xf numFmtId="3" fontId="9" fillId="0" borderId="15" xfId="0" applyNumberFormat="1" applyFont="1" applyBorder="1" applyAlignment="1" applyProtection="1">
      <alignment vertical="center"/>
      <protection locked="0"/>
    </xf>
    <xf numFmtId="3" fontId="9" fillId="0" borderId="31" xfId="0" applyNumberFormat="1" applyFont="1" applyBorder="1" applyAlignment="1">
      <alignment vertical="center"/>
    </xf>
    <xf numFmtId="3" fontId="9" fillId="0" borderId="15" xfId="0" applyNumberFormat="1" applyFont="1" applyBorder="1" applyAlignment="1">
      <alignment vertical="center"/>
    </xf>
    <xf numFmtId="3" fontId="9" fillId="0" borderId="32" xfId="0" applyNumberFormat="1" applyFont="1" applyBorder="1" applyAlignment="1">
      <alignment horizontal="center" vertical="center"/>
    </xf>
    <xf numFmtId="4" fontId="9" fillId="0" borderId="32" xfId="0" applyNumberFormat="1" applyFont="1" applyBorder="1" applyAlignment="1">
      <alignment horizontal="center" vertical="center"/>
    </xf>
    <xf numFmtId="0" fontId="9" fillId="0" borderId="5" xfId="0" applyFont="1" applyBorder="1" applyAlignment="1" applyProtection="1">
      <alignment horizontal="center" vertical="center"/>
      <protection locked="0"/>
    </xf>
    <xf numFmtId="0" fontId="9" fillId="0" borderId="33" xfId="0" applyFont="1" applyBorder="1" applyAlignment="1" applyProtection="1">
      <alignment horizontal="justify" vertical="center"/>
      <protection locked="0"/>
    </xf>
    <xf numFmtId="3" fontId="9" fillId="0" borderId="33" xfId="0" applyNumberFormat="1" applyFont="1" applyBorder="1" applyAlignment="1" applyProtection="1">
      <alignment vertical="center"/>
      <protection locked="0"/>
    </xf>
    <xf numFmtId="3" fontId="9" fillId="0" borderId="34" xfId="0" applyNumberFormat="1" applyFont="1" applyBorder="1" applyAlignment="1">
      <alignment vertical="center"/>
    </xf>
    <xf numFmtId="39" fontId="9" fillId="0" borderId="33" xfId="0" applyNumberFormat="1" applyFont="1" applyBorder="1" applyAlignment="1">
      <alignment vertical="center"/>
    </xf>
    <xf numFmtId="0" fontId="5" fillId="4" borderId="28" xfId="0" applyFont="1" applyFill="1" applyBorder="1" applyAlignment="1" applyProtection="1">
      <alignment horizontal="center" vertical="center"/>
      <protection locked="0"/>
    </xf>
    <xf numFmtId="0" fontId="5" fillId="4" borderId="17" xfId="0" applyFont="1" applyFill="1" applyBorder="1" applyAlignment="1" applyProtection="1">
      <alignment vertical="center"/>
      <protection locked="0"/>
    </xf>
    <xf numFmtId="3" fontId="5" fillId="4" borderId="17" xfId="0" applyNumberFormat="1" applyFont="1" applyFill="1" applyBorder="1" applyAlignment="1" applyProtection="1">
      <alignment horizontal="center" vertical="center"/>
      <protection locked="0"/>
    </xf>
    <xf numFmtId="3" fontId="5" fillId="4" borderId="29" xfId="0" applyNumberFormat="1" applyFont="1" applyFill="1" applyBorder="1" applyAlignment="1">
      <alignment horizontal="center" vertical="center"/>
    </xf>
    <xf numFmtId="3" fontId="5" fillId="4" borderId="29" xfId="0" applyNumberFormat="1" applyFont="1" applyFill="1" applyBorder="1" applyAlignment="1">
      <alignment vertical="center"/>
    </xf>
    <xf numFmtId="3" fontId="5" fillId="4" borderId="17" xfId="0" applyNumberFormat="1" applyFont="1" applyFill="1" applyBorder="1" applyAlignment="1" applyProtection="1">
      <alignment vertical="center"/>
      <protection locked="0"/>
    </xf>
    <xf numFmtId="171" fontId="5" fillId="4" borderId="17" xfId="0" applyNumberFormat="1" applyFont="1" applyFill="1" applyBorder="1" applyAlignment="1">
      <alignment vertical="center"/>
    </xf>
    <xf numFmtId="3" fontId="9" fillId="0" borderId="15" xfId="0" applyNumberFormat="1" applyFont="1" applyBorder="1" applyAlignment="1" applyProtection="1">
      <alignment horizontal="center" vertical="center"/>
      <protection locked="0"/>
    </xf>
    <xf numFmtId="3" fontId="9" fillId="0" borderId="31" xfId="0" applyNumberFormat="1" applyFont="1" applyBorder="1" applyAlignment="1">
      <alignment horizontal="center" vertical="center"/>
    </xf>
    <xf numFmtId="3" fontId="5" fillId="0" borderId="31" xfId="0" applyNumberFormat="1" applyFont="1" applyBorder="1" applyAlignment="1">
      <alignment vertical="center"/>
    </xf>
    <xf numFmtId="3" fontId="5" fillId="0" borderId="15" xfId="0" applyNumberFormat="1" applyFont="1" applyFill="1" applyBorder="1" applyAlignment="1" applyProtection="1">
      <alignment vertical="center"/>
      <protection locked="0"/>
    </xf>
    <xf numFmtId="0" fontId="10" fillId="0" borderId="35" xfId="0" applyFont="1" applyBorder="1" applyAlignment="1" applyProtection="1">
      <alignment horizontal="center" vertical="center"/>
      <protection locked="0"/>
    </xf>
    <xf numFmtId="0" fontId="5" fillId="0" borderId="35" xfId="0" applyFont="1" applyBorder="1" applyAlignment="1" applyProtection="1">
      <alignment vertical="center"/>
      <protection locked="0"/>
    </xf>
    <xf numFmtId="3" fontId="9" fillId="0" borderId="35" xfId="0" applyNumberFormat="1" applyFont="1" applyBorder="1" applyAlignment="1" applyProtection="1">
      <alignment vertical="center"/>
      <protection locked="0"/>
    </xf>
    <xf numFmtId="3" fontId="9" fillId="0" borderId="35" xfId="0" applyNumberFormat="1" applyFont="1" applyBorder="1" applyAlignment="1">
      <alignment vertical="center"/>
    </xf>
    <xf numFmtId="171" fontId="9" fillId="0" borderId="35" xfId="0" applyNumberFormat="1" applyFont="1" applyBorder="1" applyAlignment="1">
      <alignment vertical="center"/>
    </xf>
    <xf numFmtId="0" fontId="11" fillId="0" borderId="27" xfId="0" applyFont="1" applyBorder="1" applyAlignment="1" applyProtection="1">
      <alignment horizontal="center" vertical="center"/>
      <protection locked="0"/>
    </xf>
    <xf numFmtId="0" fontId="9" fillId="0" borderId="16" xfId="0" applyFont="1" applyBorder="1" applyAlignment="1" applyProtection="1">
      <alignment horizontal="justify" vertical="center"/>
      <protection locked="0"/>
    </xf>
    <xf numFmtId="3" fontId="9" fillId="0" borderId="16" xfId="0" applyNumberFormat="1" applyFont="1" applyBorder="1" applyAlignment="1">
      <alignment horizontal="center" vertical="center"/>
    </xf>
    <xf numFmtId="167" fontId="9" fillId="0" borderId="16" xfId="0" applyNumberFormat="1" applyFont="1" applyFill="1" applyBorder="1" applyAlignment="1" applyProtection="1">
      <alignment horizontal="center" vertical="center"/>
      <protection locked="0"/>
    </xf>
    <xf numFmtId="171" fontId="9" fillId="0" borderId="16" xfId="0" applyNumberFormat="1" applyFont="1" applyBorder="1" applyAlignment="1">
      <alignment horizontal="right" vertical="center"/>
    </xf>
    <xf numFmtId="0" fontId="11" fillId="0" borderId="36" xfId="0" applyFont="1" applyBorder="1" applyAlignment="1" applyProtection="1">
      <alignment horizontal="center" vertical="center"/>
      <protection locked="0"/>
    </xf>
    <xf numFmtId="0" fontId="6" fillId="4" borderId="28" xfId="0" applyFont="1" applyFill="1" applyBorder="1" applyAlignment="1" applyProtection="1">
      <alignment horizontal="center" vertical="center"/>
      <protection locked="0"/>
    </xf>
    <xf numFmtId="3" fontId="5" fillId="4" borderId="17" xfId="0" applyNumberFormat="1" applyFont="1" applyFill="1" applyBorder="1" applyAlignment="1">
      <alignment vertical="center"/>
    </xf>
    <xf numFmtId="0" fontId="9" fillId="0" borderId="8" xfId="0" applyFont="1" applyBorder="1" applyAlignment="1" applyProtection="1">
      <alignment horizontal="center" vertical="center"/>
      <protection locked="0"/>
    </xf>
    <xf numFmtId="0" fontId="9" fillId="0" borderId="14" xfId="0" applyFont="1" applyBorder="1" applyAlignment="1" applyProtection="1">
      <alignment vertical="center"/>
      <protection locked="0"/>
    </xf>
    <xf numFmtId="0" fontId="9" fillId="0" borderId="8" xfId="0" applyFont="1" applyBorder="1" applyAlignment="1" applyProtection="1">
      <alignment vertical="center"/>
      <protection locked="0"/>
    </xf>
    <xf numFmtId="0" fontId="9" fillId="0" borderId="8" xfId="0" applyFont="1" applyBorder="1" applyAlignment="1">
      <alignment vertical="center"/>
    </xf>
    <xf numFmtId="0" fontId="9" fillId="0" borderId="14" xfId="0" applyFont="1" applyBorder="1" applyAlignment="1">
      <alignment vertical="center"/>
    </xf>
    <xf numFmtId="0" fontId="9" fillId="0" borderId="9" xfId="0" applyFont="1" applyBorder="1" applyAlignment="1" applyProtection="1">
      <alignment vertical="center"/>
      <protection locked="0"/>
    </xf>
    <xf numFmtId="171" fontId="9" fillId="0" borderId="14" xfId="0" applyNumberFormat="1" applyFont="1" applyBorder="1" applyAlignment="1">
      <alignment vertical="center"/>
    </xf>
    <xf numFmtId="0" fontId="6" fillId="7" borderId="8" xfId="0" applyFont="1" applyFill="1" applyBorder="1" applyAlignment="1" applyProtection="1">
      <alignment horizontal="center"/>
      <protection locked="0"/>
    </xf>
    <xf numFmtId="0" fontId="5" fillId="7" borderId="14" xfId="0" applyFont="1" applyFill="1" applyBorder="1" applyAlignment="1" applyProtection="1">
      <alignment horizontal="center" vertical="center"/>
      <protection locked="0"/>
    </xf>
    <xf numFmtId="3" fontId="5" fillId="7" borderId="8" xfId="0" applyNumberFormat="1" applyFont="1" applyFill="1" applyBorder="1" applyAlignment="1" applyProtection="1">
      <alignment vertical="center"/>
      <protection locked="0"/>
    </xf>
    <xf numFmtId="3" fontId="5" fillId="7" borderId="8" xfId="0" applyNumberFormat="1" applyFont="1" applyFill="1" applyBorder="1" applyAlignment="1">
      <alignment vertical="center"/>
    </xf>
    <xf numFmtId="3" fontId="5" fillId="7" borderId="14" xfId="0" applyNumberFormat="1" applyFont="1" applyFill="1" applyBorder="1" applyAlignment="1">
      <alignment vertical="center"/>
    </xf>
    <xf numFmtId="3" fontId="5" fillId="7" borderId="9" xfId="0" applyNumberFormat="1" applyFont="1" applyFill="1" applyBorder="1" applyAlignment="1" applyProtection="1">
      <alignment vertical="center"/>
      <protection locked="0"/>
    </xf>
    <xf numFmtId="0" fontId="12" fillId="0" borderId="0" xfId="0" applyFont="1" applyAlignment="1">
      <alignment horizontal="left"/>
    </xf>
    <xf numFmtId="0" fontId="9" fillId="0" borderId="0" xfId="0" applyFont="1" applyAlignment="1"/>
    <xf numFmtId="0" fontId="8" fillId="0" borderId="0" xfId="0" applyFont="1" applyAlignment="1">
      <alignment horizontal="center" vertical="center"/>
    </xf>
    <xf numFmtId="0" fontId="8" fillId="0" borderId="0" xfId="0" applyFont="1" applyAlignment="1">
      <alignment horizontal="center"/>
    </xf>
    <xf numFmtId="0" fontId="13" fillId="0" borderId="0" xfId="0" applyFont="1" applyAlignment="1">
      <alignment vertical="top"/>
    </xf>
    <xf numFmtId="4" fontId="9" fillId="0" borderId="7" xfId="0" applyNumberFormat="1" applyFont="1" applyBorder="1" applyAlignment="1">
      <alignment vertical="center"/>
    </xf>
    <xf numFmtId="2" fontId="9" fillId="0" borderId="16" xfId="0" applyNumberFormat="1" applyFont="1" applyBorder="1" applyAlignment="1">
      <alignment vertical="center"/>
    </xf>
    <xf numFmtId="3" fontId="11" fillId="0" borderId="16" xfId="0" applyNumberFormat="1" applyFont="1" applyBorder="1" applyAlignment="1" applyProtection="1">
      <alignment vertical="center"/>
      <protection locked="0"/>
    </xf>
    <xf numFmtId="0" fontId="8" fillId="0" borderId="16" xfId="0" applyFont="1" applyBorder="1" applyAlignment="1" applyProtection="1">
      <alignment vertical="center"/>
      <protection locked="0"/>
    </xf>
    <xf numFmtId="3" fontId="11" fillId="0" borderId="7" xfId="0" applyNumberFormat="1" applyFont="1" applyBorder="1" applyAlignment="1">
      <alignment vertical="center"/>
    </xf>
    <xf numFmtId="4" fontId="11" fillId="0" borderId="16" xfId="0" applyNumberFormat="1" applyFont="1" applyBorder="1" applyAlignment="1">
      <alignment vertical="center"/>
    </xf>
    <xf numFmtId="0" fontId="9" fillId="0" borderId="37" xfId="0" applyFont="1" applyBorder="1" applyAlignment="1">
      <alignment horizontal="center" vertical="center"/>
    </xf>
    <xf numFmtId="0" fontId="8" fillId="0" borderId="38" xfId="0" applyFont="1" applyBorder="1" applyAlignment="1">
      <alignment vertical="center"/>
    </xf>
    <xf numFmtId="3" fontId="0" fillId="0" borderId="38" xfId="0" applyNumberFormat="1" applyBorder="1" applyAlignment="1">
      <alignment vertical="center"/>
    </xf>
    <xf numFmtId="3" fontId="0" fillId="0" borderId="10" xfId="0" applyNumberFormat="1" applyBorder="1" applyAlignment="1">
      <alignment vertical="center"/>
    </xf>
    <xf numFmtId="0" fontId="6" fillId="7" borderId="8" xfId="0" applyFont="1" applyFill="1" applyBorder="1" applyAlignment="1">
      <alignment horizontal="center"/>
    </xf>
    <xf numFmtId="0" fontId="10" fillId="7" borderId="14" xfId="0" applyFont="1" applyFill="1" applyBorder="1" applyAlignment="1">
      <alignment horizontal="center" vertical="center"/>
    </xf>
    <xf numFmtId="3" fontId="10" fillId="7" borderId="8" xfId="0" applyNumberFormat="1" applyFont="1" applyFill="1" applyBorder="1" applyAlignment="1">
      <alignment vertical="center"/>
    </xf>
    <xf numFmtId="3" fontId="10" fillId="7" borderId="14" xfId="0" applyNumberFormat="1" applyFont="1" applyFill="1" applyBorder="1" applyAlignment="1">
      <alignment vertical="center"/>
    </xf>
    <xf numFmtId="3" fontId="10" fillId="7" borderId="9" xfId="0" applyNumberFormat="1" applyFont="1" applyFill="1" applyBorder="1" applyAlignment="1">
      <alignment vertical="center"/>
    </xf>
    <xf numFmtId="4" fontId="7" fillId="7" borderId="14" xfId="0" applyNumberFormat="1" applyFont="1" applyFill="1" applyBorder="1" applyAlignment="1">
      <alignment vertical="center"/>
    </xf>
    <xf numFmtId="0" fontId="0" fillId="0" borderId="19" xfId="0" applyFill="1" applyBorder="1"/>
    <xf numFmtId="15" fontId="0" fillId="0" borderId="0" xfId="0" applyNumberFormat="1"/>
    <xf numFmtId="1" fontId="0" fillId="0" borderId="1" xfId="0" applyNumberFormat="1" applyBorder="1" applyAlignment="1">
      <alignment horizontal="center" vertical="center"/>
    </xf>
    <xf numFmtId="0" fontId="0" fillId="0" borderId="0" xfId="0" applyFont="1"/>
    <xf numFmtId="0" fontId="0" fillId="0" borderId="0" xfId="0" applyFont="1" applyAlignment="1">
      <alignment vertical="center"/>
    </xf>
    <xf numFmtId="0" fontId="0" fillId="0" borderId="0" xfId="0" applyFont="1" applyBorder="1" applyAlignment="1">
      <alignment horizontal="center"/>
    </xf>
    <xf numFmtId="165" fontId="0" fillId="0" borderId="0" xfId="0" applyNumberFormat="1" applyFont="1" applyBorder="1" applyAlignment="1">
      <alignment vertical="center"/>
    </xf>
    <xf numFmtId="0" fontId="0" fillId="0" borderId="0" xfId="0" applyFont="1" applyBorder="1" applyAlignment="1">
      <alignment vertical="center"/>
    </xf>
    <xf numFmtId="0" fontId="0" fillId="0" borderId="0" xfId="0" applyFont="1" applyBorder="1"/>
    <xf numFmtId="167" fontId="0" fillId="0" borderId="0" xfId="0" applyNumberFormat="1" applyFont="1"/>
    <xf numFmtId="0" fontId="15" fillId="0" borderId="0" xfId="0" applyFont="1" applyBorder="1" applyAlignment="1">
      <alignment horizontal="center" vertical="center"/>
    </xf>
    <xf numFmtId="165" fontId="15" fillId="0" borderId="0" xfId="0" applyNumberFormat="1" applyFont="1" applyBorder="1" applyAlignment="1">
      <alignment vertical="center"/>
    </xf>
    <xf numFmtId="0" fontId="15" fillId="0" borderId="0" xfId="0" applyFont="1" applyAlignment="1">
      <alignment horizontal="center"/>
    </xf>
    <xf numFmtId="0" fontId="15" fillId="0" borderId="1" xfId="0" applyFont="1" applyBorder="1" applyAlignment="1">
      <alignment vertical="center"/>
    </xf>
    <xf numFmtId="0" fontId="16" fillId="0" borderId="0" xfId="0" applyFont="1"/>
    <xf numFmtId="0" fontId="1" fillId="0" borderId="0" xfId="0" applyFont="1" applyAlignment="1">
      <alignment vertical="center"/>
    </xf>
    <xf numFmtId="0" fontId="1" fillId="0" borderId="0" xfId="0" applyFont="1" applyBorder="1" applyAlignment="1">
      <alignment horizontal="center"/>
    </xf>
    <xf numFmtId="0" fontId="1" fillId="0" borderId="0" xfId="0" applyFont="1" applyBorder="1" applyAlignment="1">
      <alignment vertical="center"/>
    </xf>
    <xf numFmtId="0" fontId="15" fillId="0" borderId="1" xfId="0" applyFont="1" applyBorder="1" applyAlignment="1">
      <alignment horizontal="center" vertical="center"/>
    </xf>
    <xf numFmtId="0" fontId="16" fillId="0" borderId="1" xfId="0" applyFont="1" applyBorder="1" applyAlignment="1">
      <alignment horizontal="center" vertical="center"/>
    </xf>
    <xf numFmtId="0" fontId="15" fillId="0" borderId="1" xfId="0" applyFont="1" applyBorder="1" applyAlignment="1">
      <alignment horizontal="justify" vertical="center"/>
    </xf>
    <xf numFmtId="165" fontId="16" fillId="0" borderId="1" xfId="0" applyNumberFormat="1" applyFont="1" applyBorder="1" applyAlignment="1">
      <alignment vertical="center"/>
    </xf>
    <xf numFmtId="0" fontId="16" fillId="0" borderId="1" xfId="0" applyFont="1" applyBorder="1" applyAlignment="1">
      <alignment horizontal="justify" vertical="center"/>
    </xf>
    <xf numFmtId="0" fontId="16" fillId="0" borderId="1" xfId="0" applyFont="1" applyBorder="1" applyAlignment="1">
      <alignment vertical="center"/>
    </xf>
    <xf numFmtId="170" fontId="16" fillId="0" borderId="1" xfId="0" applyNumberFormat="1" applyFont="1" applyFill="1" applyBorder="1" applyAlignment="1">
      <alignment vertical="center"/>
    </xf>
    <xf numFmtId="0" fontId="15" fillId="9" borderId="1" xfId="0" applyFont="1" applyFill="1" applyBorder="1" applyAlignment="1">
      <alignment horizontal="center" vertical="center"/>
    </xf>
    <xf numFmtId="0" fontId="15" fillId="9" borderId="1" xfId="0" applyFont="1" applyFill="1" applyBorder="1" applyAlignment="1">
      <alignment vertical="center"/>
    </xf>
    <xf numFmtId="165" fontId="15" fillId="9" borderId="1" xfId="0" applyNumberFormat="1" applyFont="1" applyFill="1" applyBorder="1" applyAlignment="1">
      <alignment vertical="center"/>
    </xf>
    <xf numFmtId="0" fontId="15" fillId="0" borderId="1" xfId="0" applyFont="1" applyFill="1" applyBorder="1" applyAlignment="1">
      <alignment vertical="center"/>
    </xf>
    <xf numFmtId="0" fontId="16" fillId="0" borderId="1" xfId="0" applyFont="1" applyFill="1" applyBorder="1" applyAlignment="1">
      <alignment vertical="center"/>
    </xf>
    <xf numFmtId="0" fontId="15" fillId="8" borderId="1" xfId="0" applyFont="1" applyFill="1" applyBorder="1" applyAlignment="1">
      <alignment horizontal="center" vertical="center"/>
    </xf>
    <xf numFmtId="0" fontId="15" fillId="8" borderId="1" xfId="0" applyFont="1" applyFill="1" applyBorder="1" applyAlignment="1">
      <alignment vertical="center"/>
    </xf>
    <xf numFmtId="165" fontId="15" fillId="8" borderId="1" xfId="0" applyNumberFormat="1" applyFont="1" applyFill="1" applyBorder="1" applyAlignment="1">
      <alignment vertical="center"/>
    </xf>
    <xf numFmtId="0" fontId="15" fillId="0" borderId="1" xfId="0" applyFont="1" applyBorder="1" applyAlignment="1">
      <alignment horizontal="center"/>
    </xf>
    <xf numFmtId="0" fontId="0" fillId="0" borderId="1" xfId="0" applyFont="1" applyFill="1" applyBorder="1"/>
    <xf numFmtId="166" fontId="16" fillId="0" borderId="1" xfId="0" applyNumberFormat="1" applyFont="1" applyBorder="1"/>
    <xf numFmtId="167" fontId="16" fillId="0" borderId="1" xfId="0" applyNumberFormat="1" applyFont="1" applyBorder="1"/>
    <xf numFmtId="0" fontId="15" fillId="0" borderId="1" xfId="0" applyFont="1" applyBorder="1"/>
    <xf numFmtId="168" fontId="15" fillId="4" borderId="1" xfId="0" applyNumberFormat="1" applyFont="1" applyFill="1" applyBorder="1"/>
    <xf numFmtId="0" fontId="0" fillId="0" borderId="1" xfId="0" applyFont="1" applyBorder="1"/>
    <xf numFmtId="0" fontId="1" fillId="8" borderId="1" xfId="0" applyFont="1" applyFill="1" applyBorder="1"/>
    <xf numFmtId="173" fontId="1" fillId="5" borderId="1" xfId="2" applyNumberFormat="1" applyFont="1" applyFill="1" applyBorder="1" applyAlignment="1" applyProtection="1">
      <alignment horizontal="center"/>
      <protection locked="0"/>
    </xf>
    <xf numFmtId="174" fontId="16" fillId="0" borderId="1" xfId="0" applyNumberFormat="1" applyFont="1" applyBorder="1"/>
    <xf numFmtId="0" fontId="5" fillId="0" borderId="16" xfId="0" applyFont="1" applyBorder="1" applyAlignment="1" applyProtection="1">
      <alignment horizontal="justify" vertical="center"/>
      <protection locked="0"/>
    </xf>
    <xf numFmtId="0" fontId="9" fillId="0" borderId="27" xfId="0" applyFont="1" applyBorder="1" applyAlignment="1" applyProtection="1">
      <alignment horizontal="left" vertical="center"/>
      <protection locked="0"/>
    </xf>
    <xf numFmtId="0" fontId="14" fillId="0" borderId="0" xfId="0" applyFont="1" applyAlignment="1">
      <alignment horizontal="right" vertical="top" indent="1"/>
    </xf>
    <xf numFmtId="0" fontId="17" fillId="14" borderId="1" xfId="0" applyFont="1" applyFill="1" applyBorder="1" applyAlignment="1">
      <alignment vertical="center"/>
    </xf>
    <xf numFmtId="17" fontId="17" fillId="14" borderId="1" xfId="0" applyNumberFormat="1" applyFont="1" applyFill="1" applyBorder="1" applyAlignment="1">
      <alignment horizontal="right" vertical="center"/>
    </xf>
    <xf numFmtId="0" fontId="17" fillId="0" borderId="1" xfId="0" applyFont="1" applyBorder="1" applyAlignment="1">
      <alignment vertical="center" wrapText="1"/>
    </xf>
    <xf numFmtId="175" fontId="18" fillId="15" borderId="1" xfId="0" applyNumberFormat="1" applyFont="1" applyFill="1" applyBorder="1" applyAlignment="1">
      <alignment vertical="center"/>
    </xf>
    <xf numFmtId="175" fontId="1" fillId="0" borderId="1" xfId="0" applyNumberFormat="1" applyFont="1" applyBorder="1"/>
    <xf numFmtId="0" fontId="1" fillId="16" borderId="1" xfId="0" applyFont="1" applyFill="1" applyBorder="1"/>
    <xf numFmtId="0" fontId="17" fillId="0" borderId="0" xfId="0" applyFont="1" applyFill="1" applyBorder="1" applyAlignment="1">
      <alignment vertical="center" wrapText="1"/>
    </xf>
    <xf numFmtId="0" fontId="17" fillId="0" borderId="1" xfId="0" applyFont="1" applyFill="1" applyBorder="1" applyAlignment="1">
      <alignment vertical="center" wrapText="1"/>
    </xf>
    <xf numFmtId="176" fontId="0" fillId="0" borderId="1" xfId="0" applyNumberFormat="1" applyBorder="1"/>
    <xf numFmtId="176" fontId="0" fillId="0" borderId="1" xfId="1" applyNumberFormat="1" applyFont="1" applyBorder="1" applyAlignment="1">
      <alignment horizontal="right" vertical="top"/>
    </xf>
    <xf numFmtId="177" fontId="0" fillId="0" borderId="1" xfId="3" applyNumberFormat="1" applyFont="1" applyBorder="1" applyAlignment="1">
      <alignment horizontal="right" vertical="top"/>
    </xf>
    <xf numFmtId="3" fontId="0" fillId="0" borderId="0" xfId="0" applyNumberFormat="1" applyAlignment="1">
      <alignment horizontal="center"/>
    </xf>
    <xf numFmtId="176" fontId="18" fillId="15" borderId="1" xfId="0" applyNumberFormat="1" applyFont="1" applyFill="1" applyBorder="1" applyAlignment="1">
      <alignment vertical="center"/>
    </xf>
    <xf numFmtId="176" fontId="1" fillId="0" borderId="1" xfId="0" applyNumberFormat="1" applyFont="1" applyBorder="1"/>
    <xf numFmtId="177" fontId="0" fillId="0" borderId="1" xfId="1" applyNumberFormat="1" applyFont="1" applyFill="1" applyBorder="1"/>
    <xf numFmtId="171" fontId="0" fillId="0" borderId="0" xfId="0" applyNumberFormat="1" applyAlignment="1">
      <alignment vertical="center"/>
    </xf>
    <xf numFmtId="175" fontId="0" fillId="0" borderId="0" xfId="0" applyNumberFormat="1" applyBorder="1"/>
    <xf numFmtId="0" fontId="19" fillId="0" borderId="1" xfId="4" applyNumberFormat="1" applyBorder="1"/>
    <xf numFmtId="176" fontId="0" fillId="0" borderId="0" xfId="0" applyNumberFormat="1"/>
    <xf numFmtId="9" fontId="0" fillId="0" borderId="0" xfId="2" applyFont="1"/>
    <xf numFmtId="9" fontId="0" fillId="0" borderId="0" xfId="0" applyNumberFormat="1"/>
    <xf numFmtId="17" fontId="17" fillId="14" borderId="48" xfId="0" applyNumberFormat="1" applyFont="1" applyFill="1" applyBorder="1" applyAlignment="1">
      <alignment horizontal="right" vertical="center"/>
    </xf>
    <xf numFmtId="0" fontId="0" fillId="0" borderId="1" xfId="0" applyBorder="1" applyAlignment="1">
      <alignment vertical="top"/>
    </xf>
    <xf numFmtId="1" fontId="0" fillId="0" borderId="1" xfId="0" applyNumberFormat="1" applyBorder="1" applyAlignment="1">
      <alignment vertical="top"/>
    </xf>
    <xf numFmtId="1" fontId="0" fillId="0" borderId="1" xfId="0" applyNumberFormat="1" applyBorder="1"/>
    <xf numFmtId="0" fontId="1" fillId="0" borderId="1" xfId="0" applyFont="1" applyBorder="1" applyAlignment="1">
      <alignment vertical="top"/>
    </xf>
    <xf numFmtId="0" fontId="21" fillId="0" borderId="1" xfId="0" applyFont="1" applyBorder="1" applyAlignment="1">
      <alignment horizontal="justify" vertical="center"/>
    </xf>
    <xf numFmtId="2" fontId="1" fillId="8" borderId="1" xfId="0" applyNumberFormat="1" applyFont="1" applyFill="1" applyBorder="1" applyAlignment="1">
      <alignment horizontal="center"/>
    </xf>
    <xf numFmtId="0" fontId="0" fillId="0" borderId="1" xfId="0" applyBorder="1" applyAlignment="1">
      <alignment wrapText="1"/>
    </xf>
    <xf numFmtId="0" fontId="1" fillId="0" borderId="1" xfId="0" applyFont="1" applyBorder="1" applyAlignment="1">
      <alignment wrapText="1"/>
    </xf>
    <xf numFmtId="1" fontId="1" fillId="0" borderId="1" xfId="0" applyNumberFormat="1" applyFont="1" applyBorder="1" applyAlignment="1">
      <alignment horizontal="center"/>
    </xf>
    <xf numFmtId="170" fontId="9" fillId="0" borderId="16" xfId="0" applyNumberFormat="1" applyFont="1" applyBorder="1" applyAlignment="1">
      <alignment vertical="center"/>
    </xf>
    <xf numFmtId="170" fontId="5" fillId="0" borderId="17" xfId="0" applyNumberFormat="1" applyFont="1" applyBorder="1" applyAlignment="1">
      <alignment vertical="center"/>
    </xf>
    <xf numFmtId="4" fontId="9" fillId="0" borderId="16" xfId="0" applyNumberFormat="1" applyFont="1" applyBorder="1" applyAlignment="1">
      <alignment horizontal="right" vertical="center"/>
    </xf>
    <xf numFmtId="4" fontId="5" fillId="4" borderId="17" xfId="0" applyNumberFormat="1" applyFont="1" applyFill="1" applyBorder="1" applyAlignment="1">
      <alignment vertical="center"/>
    </xf>
    <xf numFmtId="170" fontId="5" fillId="7" borderId="14" xfId="0" applyNumberFormat="1" applyFont="1" applyFill="1" applyBorder="1" applyAlignment="1">
      <alignment vertical="center"/>
    </xf>
    <xf numFmtId="0" fontId="22" fillId="0" borderId="0" xfId="0" applyFont="1" applyAlignment="1">
      <alignment vertical="top"/>
    </xf>
    <xf numFmtId="0" fontId="22" fillId="0" borderId="0" xfId="0" applyFont="1" applyAlignment="1">
      <alignment vertical="top" wrapText="1"/>
    </xf>
    <xf numFmtId="1" fontId="22" fillId="0" borderId="0" xfId="0" applyNumberFormat="1" applyFont="1" applyBorder="1" applyAlignment="1">
      <alignment horizontal="center" vertical="center"/>
    </xf>
    <xf numFmtId="1" fontId="22" fillId="0" borderId="1" xfId="0" applyNumberFormat="1" applyFont="1" applyBorder="1" applyAlignment="1">
      <alignment horizontal="center" vertical="center"/>
    </xf>
    <xf numFmtId="0" fontId="24" fillId="6" borderId="1" xfId="5" applyFont="1" applyFill="1" applyBorder="1" applyAlignment="1">
      <alignment horizontal="center" vertical="top"/>
    </xf>
    <xf numFmtId="0" fontId="24" fillId="0" borderId="1" xfId="0" applyFont="1" applyBorder="1" applyAlignment="1">
      <alignment horizontal="center" vertical="center"/>
    </xf>
    <xf numFmtId="178" fontId="22" fillId="0" borderId="1" xfId="0" applyNumberFormat="1" applyFont="1" applyBorder="1" applyAlignment="1">
      <alignment horizontal="center" vertical="center"/>
    </xf>
    <xf numFmtId="0" fontId="25" fillId="0" borderId="0" xfId="0" applyFont="1" applyAlignment="1">
      <alignment vertical="top"/>
    </xf>
    <xf numFmtId="17" fontId="25" fillId="0" borderId="1" xfId="0" applyNumberFormat="1" applyFont="1" applyBorder="1" applyAlignment="1">
      <alignment horizontal="center" wrapText="1"/>
    </xf>
    <xf numFmtId="17" fontId="25" fillId="0" borderId="1" xfId="0" applyNumberFormat="1" applyFont="1" applyBorder="1" applyAlignment="1">
      <alignment horizontal="center" vertical="center"/>
    </xf>
    <xf numFmtId="0" fontId="25" fillId="0" borderId="1" xfId="0" applyFont="1" applyBorder="1" applyAlignment="1">
      <alignment horizontal="center" vertical="center"/>
    </xf>
    <xf numFmtId="0" fontId="22" fillId="0" borderId="1" xfId="0" applyFont="1" applyBorder="1" applyAlignment="1">
      <alignment horizontal="center" vertical="center"/>
    </xf>
    <xf numFmtId="0" fontId="22" fillId="0" borderId="0" xfId="0" applyFont="1" applyBorder="1" applyAlignment="1">
      <alignment vertical="top"/>
    </xf>
    <xf numFmtId="178" fontId="16" fillId="0" borderId="1" xfId="0" applyNumberFormat="1" applyFont="1" applyBorder="1" applyAlignment="1">
      <alignment horizontal="center"/>
    </xf>
    <xf numFmtId="178" fontId="0" fillId="0" borderId="1" xfId="0" applyNumberFormat="1" applyBorder="1" applyAlignment="1">
      <alignment horizontal="center"/>
    </xf>
    <xf numFmtId="178" fontId="0" fillId="0" borderId="41" xfId="0" applyNumberFormat="1" applyBorder="1" applyAlignment="1">
      <alignment horizontal="center"/>
    </xf>
    <xf numFmtId="0" fontId="16" fillId="0" borderId="1" xfId="0" applyFont="1" applyBorder="1" applyAlignment="1">
      <alignment horizontal="center"/>
    </xf>
    <xf numFmtId="0" fontId="16" fillId="0" borderId="41" xfId="0" applyFont="1" applyBorder="1" applyAlignment="1">
      <alignment horizontal="center"/>
    </xf>
    <xf numFmtId="17" fontId="1" fillId="0" borderId="1" xfId="0" applyNumberFormat="1" applyFont="1" applyBorder="1" applyAlignment="1">
      <alignment horizontal="center"/>
    </xf>
    <xf numFmtId="17" fontId="1" fillId="0" borderId="41" xfId="0" applyNumberFormat="1" applyFont="1" applyBorder="1" applyAlignment="1">
      <alignment horizontal="center"/>
    </xf>
    <xf numFmtId="0" fontId="26" fillId="0" borderId="0" xfId="0" applyFont="1"/>
    <xf numFmtId="0" fontId="22" fillId="6" borderId="0" xfId="0" applyFont="1" applyFill="1" applyAlignment="1">
      <alignment vertical="top"/>
    </xf>
    <xf numFmtId="0" fontId="22" fillId="6" borderId="1" xfId="0" applyFont="1" applyFill="1" applyBorder="1" applyAlignment="1">
      <alignment horizontal="center" vertical="center"/>
    </xf>
    <xf numFmtId="0" fontId="22" fillId="6" borderId="1" xfId="0" applyFont="1" applyFill="1" applyBorder="1" applyAlignment="1">
      <alignment vertical="top"/>
    </xf>
    <xf numFmtId="0" fontId="22" fillId="12" borderId="1" xfId="0" applyFont="1" applyFill="1" applyBorder="1" applyAlignment="1">
      <alignment horizontal="center" vertical="center"/>
    </xf>
    <xf numFmtId="0" fontId="22" fillId="6" borderId="1" xfId="0" applyFont="1" applyFill="1" applyBorder="1" applyAlignment="1">
      <alignment vertical="top" wrapText="1"/>
    </xf>
    <xf numFmtId="0" fontId="22" fillId="17" borderId="1" xfId="0" applyFont="1" applyFill="1" applyBorder="1" applyAlignment="1">
      <alignment horizontal="center" vertical="center"/>
    </xf>
    <xf numFmtId="0" fontId="22" fillId="17"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17" fontId="25" fillId="6" borderId="1" xfId="0" applyNumberFormat="1" applyFont="1" applyFill="1" applyBorder="1" applyAlignment="1">
      <alignment horizontal="center" vertical="center"/>
    </xf>
    <xf numFmtId="0" fontId="25" fillId="6" borderId="1" xfId="0" applyFont="1" applyFill="1" applyBorder="1" applyAlignment="1">
      <alignment vertical="top"/>
    </xf>
    <xf numFmtId="0" fontId="25" fillId="6" borderId="1" xfId="0" applyFont="1" applyFill="1" applyBorder="1" applyAlignment="1">
      <alignment horizontal="center" vertical="center" wrapText="1"/>
    </xf>
    <xf numFmtId="0" fontId="27" fillId="0" borderId="2" xfId="0" applyFont="1" applyBorder="1" applyAlignment="1">
      <alignment vertical="center"/>
    </xf>
    <xf numFmtId="0" fontId="27" fillId="0" borderId="2" xfId="0" applyFont="1" applyBorder="1" applyAlignment="1">
      <alignment horizontal="left" vertical="center"/>
    </xf>
    <xf numFmtId="0" fontId="22" fillId="17" borderId="1" xfId="0" applyFont="1" applyFill="1" applyBorder="1" applyAlignment="1">
      <alignment vertical="top" wrapText="1"/>
    </xf>
    <xf numFmtId="2" fontId="22" fillId="6" borderId="1" xfId="0" applyNumberFormat="1" applyFont="1" applyFill="1" applyBorder="1" applyAlignment="1">
      <alignment horizontal="center" vertical="center"/>
    </xf>
    <xf numFmtId="0" fontId="22" fillId="0" borderId="1" xfId="0" applyFont="1" applyBorder="1" applyAlignment="1">
      <alignment vertical="top"/>
    </xf>
    <xf numFmtId="0" fontId="24" fillId="0" borderId="1" xfId="0" applyFont="1" applyBorder="1" applyAlignment="1">
      <alignment vertical="top"/>
    </xf>
    <xf numFmtId="0" fontId="25" fillId="6" borderId="1" xfId="0" applyFont="1" applyFill="1" applyBorder="1" applyAlignment="1">
      <alignment horizontal="center" vertical="center"/>
    </xf>
    <xf numFmtId="0" fontId="25" fillId="0" borderId="1" xfId="0" applyFont="1" applyBorder="1" applyAlignment="1">
      <alignment vertical="top"/>
    </xf>
    <xf numFmtId="1" fontId="25" fillId="0" borderId="0" xfId="0" applyNumberFormat="1" applyFont="1" applyBorder="1" applyAlignment="1">
      <alignment horizontal="center" vertical="center"/>
    </xf>
    <xf numFmtId="1" fontId="25" fillId="0" borderId="1" xfId="0" applyNumberFormat="1" applyFont="1" applyBorder="1" applyAlignment="1">
      <alignment horizontal="center" vertical="center"/>
    </xf>
    <xf numFmtId="0" fontId="25" fillId="0" borderId="1" xfId="0" applyFont="1" applyFill="1" applyBorder="1" applyAlignment="1">
      <alignment horizontal="center" vertical="center"/>
    </xf>
    <xf numFmtId="0" fontId="22" fillId="17" borderId="1" xfId="0" applyFont="1" applyFill="1" applyBorder="1" applyAlignment="1">
      <alignment vertical="top"/>
    </xf>
    <xf numFmtId="0" fontId="22" fillId="0" borderId="1" xfId="0" applyFont="1" applyFill="1" applyBorder="1" applyAlignment="1">
      <alignment horizontal="center" vertical="center"/>
    </xf>
    <xf numFmtId="0" fontId="22" fillId="0" borderId="1" xfId="0" applyFont="1" applyFill="1" applyBorder="1" applyAlignment="1">
      <alignment vertical="top"/>
    </xf>
    <xf numFmtId="17" fontId="25" fillId="0" borderId="1" xfId="0" applyNumberFormat="1" applyFont="1" applyBorder="1" applyAlignment="1">
      <alignment horizontal="center" vertical="center" wrapText="1"/>
    </xf>
    <xf numFmtId="0" fontId="27" fillId="0" borderId="0" xfId="0" applyFont="1" applyAlignment="1">
      <alignment vertical="top"/>
    </xf>
    <xf numFmtId="178" fontId="22" fillId="0" borderId="0" xfId="0" applyNumberFormat="1" applyFont="1" applyBorder="1" applyAlignment="1">
      <alignment horizontal="center" vertical="center"/>
    </xf>
    <xf numFmtId="0" fontId="22" fillId="0" borderId="0" xfId="0" applyFont="1" applyFill="1" applyBorder="1" applyAlignment="1">
      <alignment horizontal="center" vertical="center"/>
    </xf>
    <xf numFmtId="173" fontId="22" fillId="0" borderId="1" xfId="0" applyNumberFormat="1" applyFont="1" applyBorder="1" applyAlignment="1">
      <alignment horizontal="center" vertical="center"/>
    </xf>
    <xf numFmtId="0" fontId="22" fillId="0" borderId="0" xfId="0" applyFont="1" applyFill="1" applyBorder="1" applyAlignment="1">
      <alignment vertical="top"/>
    </xf>
    <xf numFmtId="2" fontId="0" fillId="0" borderId="1" xfId="0" applyNumberFormat="1" applyFill="1" applyBorder="1" applyAlignment="1">
      <alignment horizontal="center"/>
    </xf>
    <xf numFmtId="0" fontId="29" fillId="0" borderId="0" xfId="0" applyFont="1" applyAlignment="1">
      <alignment vertical="top"/>
    </xf>
    <xf numFmtId="0" fontId="29" fillId="0" borderId="0" xfId="0" applyFont="1" applyFill="1"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vertical="center"/>
    </xf>
    <xf numFmtId="0" fontId="22" fillId="0" borderId="1" xfId="0" applyFont="1" applyBorder="1" applyAlignment="1">
      <alignment horizontal="center" wrapText="1"/>
    </xf>
    <xf numFmtId="0" fontId="22" fillId="0" borderId="1" xfId="0" applyFont="1" applyBorder="1" applyAlignment="1">
      <alignment horizontal="center" vertical="center" wrapText="1"/>
    </xf>
    <xf numFmtId="0" fontId="31" fillId="6" borderId="0" xfId="0" applyFont="1" applyFill="1" applyAlignment="1">
      <alignment vertical="top"/>
    </xf>
    <xf numFmtId="0" fontId="31" fillId="6" borderId="0" xfId="0" applyFont="1" applyFill="1" applyAlignment="1">
      <alignment horizontal="center" vertical="top"/>
    </xf>
    <xf numFmtId="0" fontId="31" fillId="6" borderId="1" xfId="0" applyFont="1" applyFill="1" applyBorder="1" applyAlignment="1">
      <alignment horizontal="center" vertical="top"/>
    </xf>
    <xf numFmtId="0" fontId="33" fillId="6" borderId="1" xfId="0" applyFont="1" applyFill="1" applyBorder="1" applyAlignment="1">
      <alignment horizontal="center" vertical="top"/>
    </xf>
    <xf numFmtId="43" fontId="31" fillId="6" borderId="0" xfId="0" applyNumberFormat="1" applyFont="1" applyFill="1" applyAlignment="1">
      <alignment vertical="top"/>
    </xf>
    <xf numFmtId="0" fontId="33" fillId="6" borderId="53" xfId="0" applyFont="1" applyFill="1" applyBorder="1" applyAlignment="1">
      <alignment vertical="top"/>
    </xf>
    <xf numFmtId="0" fontId="33" fillId="6" borderId="54" xfId="0" applyFont="1" applyFill="1" applyBorder="1" applyAlignment="1">
      <alignment vertical="top"/>
    </xf>
    <xf numFmtId="0" fontId="33" fillId="6" borderId="55" xfId="0" applyFont="1" applyFill="1" applyBorder="1" applyAlignment="1">
      <alignment vertical="top"/>
    </xf>
    <xf numFmtId="0" fontId="33" fillId="6" borderId="0" xfId="0" applyFont="1" applyFill="1" applyBorder="1" applyAlignment="1">
      <alignment vertical="top"/>
    </xf>
    <xf numFmtId="0" fontId="33" fillId="6" borderId="56" xfId="0" applyFont="1" applyFill="1" applyBorder="1" applyAlignment="1">
      <alignment vertical="top"/>
    </xf>
    <xf numFmtId="0" fontId="33" fillId="6" borderId="57" xfId="0" applyFont="1" applyFill="1" applyBorder="1" applyAlignment="1">
      <alignment vertical="top"/>
    </xf>
    <xf numFmtId="0" fontId="9" fillId="6" borderId="58" xfId="0" applyFont="1" applyFill="1" applyBorder="1" applyAlignment="1">
      <alignment vertical="top"/>
    </xf>
    <xf numFmtId="0" fontId="33" fillId="6" borderId="0" xfId="0" applyFont="1" applyFill="1" applyAlignment="1">
      <alignment horizontal="center" vertical="top"/>
    </xf>
    <xf numFmtId="0" fontId="33" fillId="6" borderId="0" xfId="0" applyFont="1" applyFill="1" applyBorder="1" applyAlignment="1">
      <alignment horizontal="center" vertical="top"/>
    </xf>
    <xf numFmtId="0" fontId="31" fillId="6" borderId="1" xfId="0" applyFont="1" applyFill="1" applyBorder="1" applyAlignment="1">
      <alignment vertical="top"/>
    </xf>
    <xf numFmtId="0" fontId="33" fillId="6" borderId="1" xfId="0" applyFont="1" applyFill="1" applyBorder="1" applyAlignment="1">
      <alignment vertical="top"/>
    </xf>
    <xf numFmtId="0" fontId="34" fillId="6" borderId="0" xfId="0" applyFont="1" applyFill="1" applyAlignment="1">
      <alignment vertical="top"/>
    </xf>
    <xf numFmtId="43" fontId="32" fillId="0" borderId="1" xfId="1" applyFont="1" applyFill="1" applyBorder="1" applyAlignment="1">
      <alignment vertical="top"/>
    </xf>
    <xf numFmtId="0" fontId="32" fillId="0" borderId="1" xfId="0" applyFont="1" applyFill="1" applyBorder="1" applyAlignment="1">
      <alignment vertical="top"/>
    </xf>
    <xf numFmtId="0" fontId="32" fillId="0" borderId="1" xfId="0" applyFont="1" applyBorder="1" applyAlignment="1">
      <alignment vertical="top"/>
    </xf>
    <xf numFmtId="0" fontId="32" fillId="0" borderId="1" xfId="0" applyFont="1" applyBorder="1" applyAlignment="1">
      <alignment horizontal="center" vertical="top"/>
    </xf>
    <xf numFmtId="0" fontId="33" fillId="0" borderId="1" xfId="0" applyFont="1" applyBorder="1"/>
    <xf numFmtId="43" fontId="33" fillId="12" borderId="1" xfId="1" applyFont="1" applyFill="1" applyBorder="1" applyAlignment="1">
      <alignment vertical="top"/>
    </xf>
    <xf numFmtId="43" fontId="33" fillId="0" borderId="1" xfId="1" applyFont="1" applyBorder="1" applyAlignment="1">
      <alignment vertical="top"/>
    </xf>
    <xf numFmtId="43" fontId="33" fillId="0" borderId="1" xfId="1" applyFont="1" applyFill="1" applyBorder="1" applyAlignment="1">
      <alignment vertical="top"/>
    </xf>
    <xf numFmtId="0" fontId="33" fillId="0" borderId="1" xfId="0" applyFont="1" applyFill="1" applyBorder="1" applyAlignment="1">
      <alignment vertical="top"/>
    </xf>
    <xf numFmtId="0" fontId="9" fillId="0" borderId="1" xfId="0" applyFont="1" applyFill="1" applyBorder="1" applyAlignment="1">
      <alignment vertical="top"/>
    </xf>
    <xf numFmtId="0" fontId="33" fillId="0" borderId="1" xfId="0" applyFont="1" applyBorder="1" applyAlignment="1">
      <alignment vertical="top"/>
    </xf>
    <xf numFmtId="0" fontId="33" fillId="0" borderId="1" xfId="0" applyFont="1" applyBorder="1" applyAlignment="1">
      <alignment horizontal="center" vertical="top"/>
    </xf>
    <xf numFmtId="177" fontId="33" fillId="0" borderId="1" xfId="1" applyNumberFormat="1" applyFont="1" applyFill="1" applyBorder="1" applyAlignment="1">
      <alignment vertical="top"/>
    </xf>
    <xf numFmtId="0" fontId="33" fillId="0" borderId="1" xfId="0" applyFont="1" applyFill="1" applyBorder="1" applyAlignment="1">
      <alignment vertical="top" wrapText="1"/>
    </xf>
    <xf numFmtId="0" fontId="9" fillId="0" borderId="1" xfId="0" applyFont="1" applyFill="1" applyBorder="1" applyAlignment="1">
      <alignment vertical="center" wrapText="1"/>
    </xf>
    <xf numFmtId="43" fontId="33" fillId="0" borderId="1" xfId="0" applyNumberFormat="1" applyFont="1" applyFill="1" applyBorder="1" applyAlignment="1">
      <alignment vertical="top"/>
    </xf>
    <xf numFmtId="0" fontId="34" fillId="6" borderId="0" xfId="0" applyFont="1" applyFill="1" applyAlignment="1">
      <alignment horizontal="center" vertical="top"/>
    </xf>
    <xf numFmtId="43" fontId="5" fillId="18" borderId="48" xfId="1" applyFont="1" applyFill="1" applyBorder="1" applyAlignment="1">
      <alignment horizontal="center" vertical="top" wrapText="1"/>
    </xf>
    <xf numFmtId="0" fontId="32" fillId="18" borderId="1" xfId="0" applyFont="1" applyFill="1" applyBorder="1" applyAlignment="1">
      <alignment horizontal="center" vertical="top"/>
    </xf>
    <xf numFmtId="0" fontId="32" fillId="18" borderId="1" xfId="0" applyFont="1" applyFill="1" applyBorder="1" applyAlignment="1">
      <alignment horizontal="center" vertical="top" wrapText="1"/>
    </xf>
    <xf numFmtId="0" fontId="33" fillId="6" borderId="0" xfId="0" applyFont="1" applyFill="1" applyAlignment="1">
      <alignment vertical="top"/>
    </xf>
    <xf numFmtId="43" fontId="33" fillId="6" borderId="1" xfId="0" applyNumberFormat="1" applyFont="1" applyFill="1" applyBorder="1" applyAlignment="1">
      <alignment vertical="top"/>
    </xf>
    <xf numFmtId="43" fontId="33" fillId="0" borderId="1" xfId="1" applyFont="1" applyFill="1" applyBorder="1" applyAlignment="1">
      <alignment horizontal="right" vertical="top"/>
    </xf>
    <xf numFmtId="0" fontId="9" fillId="0" borderId="1" xfId="6" applyFont="1" applyFill="1" applyBorder="1" applyAlignment="1">
      <alignment vertical="top"/>
    </xf>
    <xf numFmtId="0" fontId="32" fillId="6" borderId="0" xfId="0" applyFont="1" applyFill="1" applyAlignment="1">
      <alignment horizontal="center" vertical="top"/>
    </xf>
    <xf numFmtId="0" fontId="32" fillId="6" borderId="0" xfId="0" applyFont="1" applyFill="1" applyAlignment="1">
      <alignment vertical="top"/>
    </xf>
    <xf numFmtId="0" fontId="31" fillId="17" borderId="0" xfId="0" applyFont="1" applyFill="1" applyAlignment="1">
      <alignment vertical="top"/>
    </xf>
    <xf numFmtId="0" fontId="35" fillId="6" borderId="0" xfId="0" applyFont="1" applyFill="1" applyAlignment="1">
      <alignment vertical="top"/>
    </xf>
    <xf numFmtId="0" fontId="35" fillId="6" borderId="0" xfId="0" applyFont="1" applyFill="1" applyAlignment="1">
      <alignment horizontal="left" vertical="top"/>
    </xf>
    <xf numFmtId="178" fontId="25" fillId="0" borderId="41" xfId="0" applyNumberFormat="1" applyFont="1" applyBorder="1" applyAlignment="1">
      <alignment horizontal="center" vertical="center"/>
    </xf>
    <xf numFmtId="1" fontId="25" fillId="12" borderId="1" xfId="0" applyNumberFormat="1" applyFont="1" applyFill="1" applyBorder="1" applyAlignment="1">
      <alignment horizontal="center" vertical="center"/>
    </xf>
    <xf numFmtId="1" fontId="25" fillId="0" borderId="41" xfId="0" applyNumberFormat="1" applyFont="1" applyBorder="1" applyAlignment="1">
      <alignment horizontal="center" vertical="center"/>
    </xf>
    <xf numFmtId="1" fontId="22" fillId="0" borderId="41" xfId="0" applyNumberFormat="1" applyFont="1" applyBorder="1" applyAlignment="1">
      <alignment horizontal="center" vertical="center"/>
    </xf>
    <xf numFmtId="1" fontId="16" fillId="0" borderId="1" xfId="0" applyNumberFormat="1" applyFont="1" applyBorder="1" applyAlignment="1">
      <alignment horizontal="center"/>
    </xf>
    <xf numFmtId="0" fontId="25" fillId="0" borderId="0" xfId="0" applyFont="1" applyFill="1" applyBorder="1" applyAlignment="1">
      <alignment horizontal="center" vertical="center"/>
    </xf>
    <xf numFmtId="0" fontId="25" fillId="0" borderId="1" xfId="0" applyFont="1" applyFill="1" applyBorder="1" applyAlignment="1">
      <alignment vertical="top"/>
    </xf>
    <xf numFmtId="17" fontId="25" fillId="0" borderId="40" xfId="0" applyNumberFormat="1" applyFont="1" applyBorder="1" applyAlignment="1">
      <alignment horizontal="center" vertical="center" wrapText="1"/>
    </xf>
    <xf numFmtId="0" fontId="36" fillId="0" borderId="0" xfId="0" applyFont="1"/>
    <xf numFmtId="0" fontId="0" fillId="19" borderId="1" xfId="0" applyFill="1" applyBorder="1" applyAlignment="1">
      <alignment horizontal="left"/>
    </xf>
    <xf numFmtId="0" fontId="22" fillId="19" borderId="1" xfId="0" applyFont="1" applyFill="1" applyBorder="1" applyAlignment="1">
      <alignment vertical="top"/>
    </xf>
    <xf numFmtId="0" fontId="0" fillId="19" borderId="1" xfId="0" applyFill="1" applyBorder="1"/>
    <xf numFmtId="0" fontId="1" fillId="19" borderId="1" xfId="0" applyFont="1" applyFill="1" applyBorder="1"/>
    <xf numFmtId="0" fontId="0" fillId="8" borderId="1" xfId="0" applyFill="1" applyBorder="1" applyAlignment="1">
      <alignment horizontal="left"/>
    </xf>
    <xf numFmtId="0" fontId="0" fillId="8" borderId="1" xfId="0" applyFill="1" applyBorder="1"/>
    <xf numFmtId="0" fontId="1" fillId="0" borderId="0" xfId="0" applyFont="1" applyAlignment="1">
      <alignment horizontal="left" indent="1"/>
    </xf>
    <xf numFmtId="179" fontId="1" fillId="0" borderId="0" xfId="0" applyNumberFormat="1" applyFont="1"/>
    <xf numFmtId="0" fontId="0" fillId="0" borderId="1" xfId="0" applyFont="1" applyBorder="1" applyAlignment="1">
      <alignment horizontal="center"/>
    </xf>
    <xf numFmtId="167" fontId="0" fillId="0" borderId="1" xfId="0" applyNumberFormat="1" applyFont="1" applyBorder="1"/>
    <xf numFmtId="1" fontId="0" fillId="0" borderId="1" xfId="0" applyNumberFormat="1" applyFont="1" applyBorder="1"/>
    <xf numFmtId="172" fontId="0" fillId="0" borderId="1" xfId="0" applyNumberFormat="1" applyFont="1" applyBorder="1"/>
    <xf numFmtId="0" fontId="1" fillId="12" borderId="1" xfId="0" applyFont="1" applyFill="1" applyBorder="1" applyAlignment="1" applyProtection="1">
      <alignment horizontal="center"/>
      <protection locked="0"/>
    </xf>
    <xf numFmtId="0" fontId="15" fillId="0" borderId="1" xfId="0" applyFont="1" applyBorder="1" applyAlignment="1">
      <alignment horizontal="left" vertical="center"/>
    </xf>
    <xf numFmtId="17" fontId="5" fillId="0" borderId="1" xfId="0" applyNumberFormat="1" applyFont="1" applyBorder="1" applyAlignment="1">
      <alignment vertical="top"/>
    </xf>
    <xf numFmtId="0" fontId="16" fillId="0" borderId="1" xfId="0" applyFont="1" applyFill="1" applyBorder="1" applyAlignment="1">
      <alignment horizontal="center" vertical="center"/>
    </xf>
    <xf numFmtId="173" fontId="1" fillId="12" borderId="1" xfId="0" applyNumberFormat="1" applyFont="1" applyFill="1" applyBorder="1" applyAlignment="1" applyProtection="1">
      <alignment horizontal="center"/>
      <protection locked="0"/>
    </xf>
    <xf numFmtId="173" fontId="1" fillId="12" borderId="1" xfId="0" applyNumberFormat="1" applyFont="1" applyFill="1" applyBorder="1" applyProtection="1">
      <protection locked="0"/>
    </xf>
    <xf numFmtId="176" fontId="0" fillId="0" borderId="0" xfId="0" applyNumberFormat="1" applyBorder="1"/>
    <xf numFmtId="0" fontId="38" fillId="0" borderId="1" xfId="0" applyFont="1" applyBorder="1" applyAlignment="1">
      <alignment horizontal="right" vertical="center"/>
    </xf>
    <xf numFmtId="0" fontId="15" fillId="0" borderId="42" xfId="0" applyFont="1" applyBorder="1" applyAlignment="1"/>
    <xf numFmtId="0" fontId="15" fillId="0" borderId="39" xfId="0" applyFont="1" applyBorder="1" applyAlignment="1">
      <alignment horizontal="right"/>
    </xf>
    <xf numFmtId="0" fontId="15" fillId="0" borderId="39" xfId="0" applyFont="1" applyBorder="1" applyAlignment="1"/>
    <xf numFmtId="0" fontId="15" fillId="0" borderId="41" xfId="0" applyFont="1" applyBorder="1" applyAlignment="1"/>
    <xf numFmtId="0" fontId="15" fillId="0" borderId="45" xfId="0" applyFont="1" applyBorder="1" applyAlignment="1"/>
    <xf numFmtId="0" fontId="38" fillId="0" borderId="0" xfId="0" applyFont="1" applyBorder="1" applyAlignment="1">
      <alignment horizontal="center"/>
    </xf>
    <xf numFmtId="0" fontId="38" fillId="0" borderId="0" xfId="0" applyFont="1" applyAlignment="1">
      <alignment vertical="center"/>
    </xf>
    <xf numFmtId="0" fontId="38" fillId="0" borderId="0" xfId="0" applyFont="1" applyBorder="1" applyAlignment="1">
      <alignment vertical="center"/>
    </xf>
    <xf numFmtId="0" fontId="38" fillId="0" borderId="0" xfId="0" applyFont="1" applyBorder="1" applyAlignment="1">
      <alignment horizontal="center" vertical="center"/>
    </xf>
    <xf numFmtId="165" fontId="38" fillId="0" borderId="0" xfId="0" applyNumberFormat="1" applyFont="1" applyBorder="1" applyAlignment="1">
      <alignment vertical="center"/>
    </xf>
    <xf numFmtId="0" fontId="38" fillId="0" borderId="1" xfId="0" applyFont="1" applyBorder="1" applyAlignment="1">
      <alignment horizontal="center" vertical="center"/>
    </xf>
    <xf numFmtId="9" fontId="38" fillId="12" borderId="1" xfId="0" applyNumberFormat="1" applyFont="1" applyFill="1" applyBorder="1" applyAlignment="1" applyProtection="1">
      <alignment horizontal="center" vertical="center"/>
      <protection locked="0"/>
    </xf>
    <xf numFmtId="0" fontId="38" fillId="0" borderId="0" xfId="0" applyFont="1" applyAlignment="1">
      <alignment horizontal="center"/>
    </xf>
    <xf numFmtId="166" fontId="0" fillId="0" borderId="1" xfId="0" applyNumberFormat="1" applyFont="1" applyBorder="1"/>
    <xf numFmtId="8" fontId="0" fillId="0" borderId="0" xfId="0" applyNumberFormat="1"/>
    <xf numFmtId="177" fontId="0" fillId="0" borderId="0" xfId="1" applyNumberFormat="1" applyFont="1"/>
    <xf numFmtId="177" fontId="0" fillId="0" borderId="0" xfId="0" applyNumberFormat="1"/>
    <xf numFmtId="0" fontId="15" fillId="0" borderId="0" xfId="0" applyFont="1" applyBorder="1" applyAlignment="1">
      <alignment horizontal="center"/>
    </xf>
    <xf numFmtId="0" fontId="1" fillId="0" borderId="0" xfId="0" applyFont="1" applyBorder="1"/>
    <xf numFmtId="174" fontId="16" fillId="0" borderId="0" xfId="0" applyNumberFormat="1" applyFont="1" applyBorder="1"/>
    <xf numFmtId="174" fontId="16" fillId="0" borderId="1" xfId="0" applyNumberFormat="1" applyFont="1" applyFill="1" applyBorder="1" applyAlignment="1">
      <alignment vertical="center"/>
    </xf>
    <xf numFmtId="174" fontId="16" fillId="0" borderId="1" xfId="0" applyNumberFormat="1" applyFont="1" applyFill="1" applyBorder="1" applyAlignment="1">
      <alignment horizontal="center" vertical="center"/>
    </xf>
    <xf numFmtId="9" fontId="38" fillId="12" borderId="1" xfId="0" applyNumberFormat="1" applyFont="1" applyFill="1" applyBorder="1" applyAlignment="1">
      <alignment horizontal="center" vertical="center"/>
    </xf>
    <xf numFmtId="0" fontId="38" fillId="10" borderId="49" xfId="0" applyFont="1" applyFill="1" applyBorder="1" applyAlignment="1">
      <alignment horizontal="center" vertical="center"/>
    </xf>
    <xf numFmtId="0" fontId="38" fillId="10" borderId="0" xfId="0" applyFont="1" applyFill="1" applyBorder="1" applyAlignment="1">
      <alignment horizontal="center" vertical="center"/>
    </xf>
    <xf numFmtId="0" fontId="0" fillId="0" borderId="0" xfId="0"/>
    <xf numFmtId="0" fontId="1" fillId="0" borderId="0" xfId="0" applyFont="1"/>
    <xf numFmtId="165" fontId="16" fillId="0" borderId="1" xfId="0" applyNumberFormat="1" applyFont="1" applyFill="1" applyBorder="1" applyAlignment="1">
      <alignment vertical="center"/>
    </xf>
    <xf numFmtId="0" fontId="0" fillId="0" borderId="1" xfId="0" applyBorder="1" applyAlignment="1">
      <alignment wrapText="1"/>
    </xf>
    <xf numFmtId="0" fontId="1" fillId="0" borderId="1" xfId="0" applyFont="1" applyBorder="1" applyAlignment="1">
      <alignment wrapText="1"/>
    </xf>
    <xf numFmtId="1" fontId="0" fillId="0" borderId="1" xfId="0" applyNumberFormat="1" applyFont="1" applyBorder="1"/>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top" wrapText="1"/>
    </xf>
    <xf numFmtId="165" fontId="16" fillId="0" borderId="1" xfId="0" applyNumberFormat="1" applyFont="1" applyFill="1" applyBorder="1"/>
    <xf numFmtId="172" fontId="40" fillId="10" borderId="1" xfId="0" applyNumberFormat="1" applyFont="1" applyFill="1" applyBorder="1" applyAlignment="1">
      <alignment horizontal="left" vertical="center"/>
    </xf>
    <xf numFmtId="165" fontId="40" fillId="11" borderId="1" xfId="0" applyNumberFormat="1" applyFont="1" applyFill="1" applyBorder="1" applyAlignment="1">
      <alignment horizontal="left" vertical="center"/>
    </xf>
    <xf numFmtId="0" fontId="39" fillId="13" borderId="0" xfId="0" applyFont="1" applyFill="1" applyBorder="1" applyAlignment="1">
      <alignment horizontal="left" vertical="center"/>
    </xf>
    <xf numFmtId="0" fontId="39" fillId="13" borderId="59" xfId="0" applyFont="1" applyFill="1" applyBorder="1" applyAlignment="1">
      <alignment horizontal="left" vertical="center"/>
    </xf>
    <xf numFmtId="0" fontId="41" fillId="20" borderId="1" xfId="0" applyFont="1" applyFill="1" applyBorder="1" applyAlignment="1">
      <alignment horizontal="left" vertical="center" indent="3"/>
    </xf>
    <xf numFmtId="0" fontId="9" fillId="0" borderId="5" xfId="0" applyFont="1" applyBorder="1" applyAlignment="1" applyProtection="1">
      <alignment horizontal="left" vertical="center"/>
      <protection locked="0"/>
    </xf>
    <xf numFmtId="3" fontId="9" fillId="0" borderId="18" xfId="0" applyNumberFormat="1" applyFont="1" applyBorder="1" applyAlignment="1" applyProtection="1">
      <alignment horizontal="center" vertical="center"/>
      <protection locked="0"/>
    </xf>
    <xf numFmtId="3" fontId="9" fillId="0" borderId="20" xfId="0" applyNumberFormat="1" applyFont="1" applyBorder="1" applyAlignment="1">
      <alignment horizontal="center" vertical="center"/>
    </xf>
    <xf numFmtId="167" fontId="9" fillId="0" borderId="18" xfId="0" applyNumberFormat="1" applyFont="1" applyFill="1" applyBorder="1" applyAlignment="1" applyProtection="1">
      <alignment horizontal="center" vertical="center"/>
      <protection locked="0"/>
    </xf>
    <xf numFmtId="4" fontId="9" fillId="0" borderId="18" xfId="0" applyNumberFormat="1" applyFont="1" applyBorder="1" applyAlignment="1">
      <alignment horizontal="right" vertical="center"/>
    </xf>
    <xf numFmtId="0" fontId="15" fillId="21" borderId="1" xfId="0" applyFont="1" applyFill="1" applyBorder="1" applyAlignment="1">
      <alignment vertical="center"/>
    </xf>
    <xf numFmtId="165" fontId="1" fillId="21" borderId="1" xfId="0" applyNumberFormat="1" applyFont="1" applyFill="1" applyBorder="1" applyProtection="1">
      <protection locked="0"/>
    </xf>
    <xf numFmtId="0" fontId="1" fillId="21" borderId="1" xfId="0" applyFont="1" applyFill="1" applyBorder="1"/>
    <xf numFmtId="178" fontId="1" fillId="21" borderId="1" xfId="0" applyNumberFormat="1" applyFont="1" applyFill="1" applyBorder="1" applyAlignment="1">
      <alignment horizontal="center"/>
    </xf>
    <xf numFmtId="0" fontId="37" fillId="21" borderId="1" xfId="0" applyFont="1" applyFill="1" applyBorder="1"/>
    <xf numFmtId="172" fontId="40" fillId="10" borderId="1" xfId="0" applyNumberFormat="1" applyFont="1" applyFill="1" applyBorder="1" applyAlignment="1">
      <alignment horizontal="right" vertical="center"/>
    </xf>
    <xf numFmtId="174" fontId="16" fillId="0" borderId="1" xfId="0" applyNumberFormat="1" applyFont="1" applyFill="1" applyBorder="1" applyAlignment="1">
      <alignment horizontal="right" vertical="center"/>
    </xf>
    <xf numFmtId="0" fontId="1" fillId="16" borderId="41" xfId="0" applyFont="1" applyFill="1" applyBorder="1"/>
    <xf numFmtId="0" fontId="1" fillId="0" borderId="1" xfId="0" applyFont="1" applyFill="1" applyBorder="1"/>
    <xf numFmtId="0" fontId="42" fillId="0" borderId="1" xfId="0" applyFont="1" applyBorder="1" applyAlignment="1">
      <alignment horizontal="left" vertical="center" wrapText="1"/>
    </xf>
    <xf numFmtId="17" fontId="17" fillId="14" borderId="1" xfId="0" applyNumberFormat="1" applyFont="1" applyFill="1" applyBorder="1" applyAlignment="1">
      <alignment horizontal="center" vertical="center"/>
    </xf>
    <xf numFmtId="0" fontId="15" fillId="21" borderId="1" xfId="0" applyFont="1" applyFill="1" applyBorder="1" applyAlignment="1">
      <alignment horizontal="left" vertical="center" indent="3"/>
    </xf>
    <xf numFmtId="172" fontId="15" fillId="12" borderId="1" xfId="0" applyNumberFormat="1" applyFont="1" applyFill="1" applyBorder="1" applyAlignment="1" applyProtection="1">
      <alignment horizontal="center" vertical="center"/>
      <protection locked="0"/>
    </xf>
    <xf numFmtId="1" fontId="0" fillId="0" borderId="1" xfId="0" applyNumberFormat="1" applyBorder="1" applyAlignment="1">
      <alignment horizontal="center" vertical="center"/>
    </xf>
    <xf numFmtId="0" fontId="17" fillId="0" borderId="43" xfId="0" applyFont="1" applyBorder="1" applyAlignment="1">
      <alignment vertical="center" wrapText="1"/>
    </xf>
    <xf numFmtId="175" fontId="18" fillId="15" borderId="43" xfId="0" applyNumberFormat="1" applyFont="1" applyFill="1" applyBorder="1" applyAlignment="1">
      <alignment vertical="center"/>
    </xf>
    <xf numFmtId="175" fontId="18" fillId="15" borderId="0" xfId="0" applyNumberFormat="1" applyFont="1" applyFill="1" applyBorder="1" applyAlignment="1">
      <alignment vertical="center"/>
    </xf>
    <xf numFmtId="0" fontId="17" fillId="0" borderId="42" xfId="0" applyFont="1" applyBorder="1" applyAlignment="1">
      <alignment vertical="center" wrapText="1"/>
    </xf>
    <xf numFmtId="0" fontId="17" fillId="0" borderId="46" xfId="0" applyFont="1" applyBorder="1" applyAlignment="1">
      <alignment vertical="center" wrapText="1"/>
    </xf>
    <xf numFmtId="0" fontId="17" fillId="0" borderId="0" xfId="0" applyFont="1" applyBorder="1" applyAlignment="1">
      <alignment vertical="center" wrapText="1"/>
    </xf>
    <xf numFmtId="0" fontId="0" fillId="0" borderId="60" xfId="0" applyBorder="1"/>
    <xf numFmtId="0" fontId="0" fillId="0" borderId="61" xfId="0" applyBorder="1"/>
    <xf numFmtId="1" fontId="0" fillId="0" borderId="1" xfId="0" applyNumberFormat="1" applyFont="1" applyFill="1" applyBorder="1" applyAlignment="1">
      <alignment horizontal="center" vertical="center"/>
    </xf>
    <xf numFmtId="1" fontId="16" fillId="0" borderId="1" xfId="0" applyNumberFormat="1" applyFont="1" applyBorder="1" applyAlignment="1">
      <alignment horizontal="center" vertical="center"/>
    </xf>
    <xf numFmtId="0" fontId="18" fillId="0" borderId="1" xfId="0" applyFont="1" applyBorder="1" applyAlignment="1">
      <alignment vertical="center" wrapText="1"/>
    </xf>
    <xf numFmtId="17" fontId="17" fillId="0" borderId="48" xfId="0" applyNumberFormat="1" applyFont="1" applyBorder="1" applyAlignment="1">
      <alignment vertical="center" wrapText="1"/>
    </xf>
    <xf numFmtId="0" fontId="0" fillId="0" borderId="1" xfId="0" applyFill="1" applyBorder="1" applyAlignment="1">
      <alignment horizontal="center"/>
    </xf>
    <xf numFmtId="0" fontId="17" fillId="22" borderId="1" xfId="0" applyFont="1" applyFill="1" applyBorder="1" applyAlignment="1">
      <alignment vertical="center" wrapText="1"/>
    </xf>
    <xf numFmtId="178" fontId="17" fillId="22" borderId="1" xfId="0" applyNumberFormat="1" applyFont="1" applyFill="1" applyBorder="1" applyAlignment="1">
      <alignment horizontal="right" vertical="center" wrapText="1"/>
    </xf>
    <xf numFmtId="0" fontId="18" fillId="0" borderId="1" xfId="0" applyFont="1" applyFill="1" applyBorder="1" applyAlignment="1">
      <alignment vertical="center" wrapText="1"/>
    </xf>
    <xf numFmtId="176" fontId="0" fillId="0" borderId="1" xfId="0" applyNumberFormat="1" applyFont="1" applyBorder="1"/>
    <xf numFmtId="175" fontId="0" fillId="0" borderId="1" xfId="0" applyNumberFormat="1" applyFont="1" applyBorder="1"/>
    <xf numFmtId="0" fontId="0" fillId="0" borderId="1" xfId="0" applyFont="1" applyBorder="1" applyAlignment="1"/>
    <xf numFmtId="0" fontId="0" fillId="0" borderId="1" xfId="0" applyFont="1" applyBorder="1" applyAlignment="1">
      <alignment horizontal="right"/>
    </xf>
    <xf numFmtId="0" fontId="18" fillId="0" borderId="49" xfId="0" applyFont="1" applyFill="1" applyBorder="1" applyAlignment="1">
      <alignment vertical="center" wrapText="1"/>
    </xf>
    <xf numFmtId="0" fontId="18" fillId="0" borderId="49" xfId="0" applyFont="1" applyFill="1" applyBorder="1" applyAlignment="1">
      <alignment horizontal="right" vertical="center" wrapText="1"/>
    </xf>
    <xf numFmtId="176" fontId="0" fillId="0" borderId="1" xfId="0" applyNumberFormat="1" applyFont="1" applyBorder="1" applyAlignment="1">
      <alignment vertical="center"/>
    </xf>
    <xf numFmtId="0" fontId="18" fillId="0" borderId="0" xfId="0" applyFont="1" applyFill="1" applyBorder="1" applyAlignment="1">
      <alignment vertical="center" wrapText="1"/>
    </xf>
    <xf numFmtId="0" fontId="18" fillId="0" borderId="0" xfId="0" applyFont="1" applyFill="1" applyBorder="1" applyAlignment="1">
      <alignment horizontal="right" vertical="center" wrapText="1"/>
    </xf>
    <xf numFmtId="176" fontId="0" fillId="0" borderId="0" xfId="0" applyNumberFormat="1" applyFont="1" applyBorder="1" applyAlignment="1">
      <alignment vertical="center"/>
    </xf>
    <xf numFmtId="0" fontId="18" fillId="0" borderId="1" xfId="0" applyFont="1" applyFill="1" applyBorder="1" applyAlignment="1">
      <alignment horizontal="right" vertical="center" wrapText="1"/>
    </xf>
    <xf numFmtId="1" fontId="18" fillId="22" borderId="1" xfId="0" applyNumberFormat="1" applyFont="1" applyFill="1" applyBorder="1" applyAlignment="1">
      <alignment horizontal="right" vertical="center" wrapText="1"/>
    </xf>
    <xf numFmtId="43" fontId="0" fillId="0" borderId="1" xfId="0" applyNumberFormat="1" applyFont="1" applyBorder="1"/>
    <xf numFmtId="0" fontId="0" fillId="9" borderId="0" xfId="0" applyFill="1"/>
    <xf numFmtId="0" fontId="0" fillId="9" borderId="0" xfId="0" applyFill="1" applyAlignment="1">
      <alignment horizontal="center"/>
    </xf>
    <xf numFmtId="0" fontId="0" fillId="23" borderId="0" xfId="0" applyFill="1" applyAlignment="1">
      <alignment wrapText="1"/>
    </xf>
    <xf numFmtId="0" fontId="36" fillId="23" borderId="62" xfId="4" applyFont="1" applyFill="1" applyBorder="1"/>
    <xf numFmtId="0" fontId="45" fillId="11" borderId="62" xfId="4" applyFont="1" applyFill="1" applyBorder="1"/>
    <xf numFmtId="0" fontId="36" fillId="0" borderId="63" xfId="4" applyFont="1" applyBorder="1"/>
    <xf numFmtId="0" fontId="45" fillId="0" borderId="63" xfId="4" applyFont="1" applyBorder="1"/>
    <xf numFmtId="0" fontId="46" fillId="0" borderId="0" xfId="0" applyFont="1"/>
    <xf numFmtId="0" fontId="0" fillId="24" borderId="0" xfId="0" applyFill="1"/>
    <xf numFmtId="181" fontId="0" fillId="0" borderId="0" xfId="0" applyNumberFormat="1"/>
    <xf numFmtId="0" fontId="0" fillId="11" borderId="0" xfId="0" applyFill="1"/>
    <xf numFmtId="181" fontId="0" fillId="11" borderId="0" xfId="0" applyNumberFormat="1" applyFill="1"/>
    <xf numFmtId="0" fontId="0" fillId="25" borderId="0" xfId="0" applyFill="1"/>
    <xf numFmtId="182" fontId="46" fillId="0" borderId="0" xfId="0" applyNumberFormat="1" applyFont="1"/>
    <xf numFmtId="0" fontId="0" fillId="24" borderId="43" xfId="0" applyFill="1" applyBorder="1"/>
    <xf numFmtId="0" fontId="48" fillId="0" borderId="0" xfId="0" applyFont="1"/>
    <xf numFmtId="0" fontId="0" fillId="0" borderId="0" xfId="0" applyAlignment="1">
      <alignment horizontal="left" vertical="center"/>
    </xf>
    <xf numFmtId="183" fontId="0" fillId="0" borderId="0" xfId="0" applyNumberFormat="1"/>
    <xf numFmtId="183" fontId="0" fillId="0" borderId="0" xfId="0" applyNumberFormat="1" applyAlignment="1">
      <alignment horizontal="center"/>
    </xf>
    <xf numFmtId="0" fontId="0" fillId="0" borderId="0" xfId="0" applyAlignment="1">
      <alignment horizontal="center"/>
    </xf>
    <xf numFmtId="184" fontId="0" fillId="0" borderId="1" xfId="0" applyNumberFormat="1" applyBorder="1"/>
    <xf numFmtId="185" fontId="0" fillId="0" borderId="1" xfId="0" applyNumberFormat="1" applyBorder="1"/>
    <xf numFmtId="0" fontId="0" fillId="23" borderId="0" xfId="0" applyFill="1"/>
    <xf numFmtId="0" fontId="1" fillId="26" borderId="1" xfId="0" applyFont="1" applyFill="1" applyBorder="1" applyAlignment="1">
      <alignment horizontal="center" vertical="center" wrapText="1"/>
    </xf>
    <xf numFmtId="0" fontId="1" fillId="26" borderId="1" xfId="0" applyFont="1" applyFill="1" applyBorder="1" applyAlignment="1">
      <alignment horizontal="center" vertical="center"/>
    </xf>
    <xf numFmtId="178" fontId="0" fillId="0" borderId="1" xfId="0" applyNumberFormat="1" applyBorder="1" applyAlignment="1">
      <alignment horizontal="center" vertical="center"/>
    </xf>
    <xf numFmtId="178" fontId="16" fillId="0" borderId="1" xfId="0" applyNumberFormat="1" applyFont="1" applyBorder="1" applyAlignment="1">
      <alignment horizontal="center" vertical="center"/>
    </xf>
    <xf numFmtId="173" fontId="50" fillId="0" borderId="0" xfId="2" applyNumberFormat="1" applyFont="1" applyAlignment="1">
      <alignment horizontal="center" vertical="center"/>
    </xf>
    <xf numFmtId="178" fontId="16" fillId="0" borderId="19" xfId="0" applyNumberFormat="1" applyFont="1" applyBorder="1" applyAlignment="1">
      <alignment horizontal="center" vertical="center"/>
    </xf>
    <xf numFmtId="178" fontId="0" fillId="0" borderId="0" xfId="0" applyNumberFormat="1"/>
    <xf numFmtId="178" fontId="1" fillId="0" borderId="1" xfId="0" applyNumberFormat="1" applyFont="1" applyBorder="1" applyAlignment="1">
      <alignment horizontal="center" vertical="center"/>
    </xf>
    <xf numFmtId="1" fontId="0" fillId="0" borderId="0" xfId="0" applyNumberFormat="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50" fillId="0" borderId="0" xfId="0" applyFont="1" applyAlignment="1">
      <alignment horizontal="center" vertical="center"/>
    </xf>
    <xf numFmtId="186" fontId="0" fillId="0" borderId="1" xfId="0" applyNumberFormat="1" applyBorder="1" applyAlignment="1">
      <alignment horizontal="center" vertical="center"/>
    </xf>
    <xf numFmtId="186" fontId="50" fillId="0" borderId="0" xfId="0" applyNumberFormat="1" applyFont="1" applyAlignment="1">
      <alignment horizontal="center" vertical="center"/>
    </xf>
    <xf numFmtId="178" fontId="0" fillId="0" borderId="0" xfId="0" applyNumberFormat="1" applyAlignment="1">
      <alignment horizontal="center" vertical="center"/>
    </xf>
    <xf numFmtId="0" fontId="1" fillId="26" borderId="49" xfId="0" applyFont="1" applyFill="1" applyBorder="1" applyAlignment="1">
      <alignment horizontal="center" vertical="center"/>
    </xf>
    <xf numFmtId="0" fontId="1" fillId="9" borderId="1" xfId="0" applyFont="1" applyFill="1" applyBorder="1" applyAlignment="1">
      <alignment horizontal="center" vertical="center"/>
    </xf>
    <xf numFmtId="0" fontId="0" fillId="0" borderId="49" xfId="0" applyBorder="1" applyAlignment="1">
      <alignment horizontal="center" vertical="center"/>
    </xf>
    <xf numFmtId="1" fontId="0" fillId="0" borderId="49" xfId="0" applyNumberFormat="1" applyBorder="1" applyAlignment="1">
      <alignment horizontal="center" vertical="center"/>
    </xf>
    <xf numFmtId="178" fontId="0" fillId="0" borderId="1" xfId="0" applyNumberFormat="1" applyBorder="1" applyAlignment="1">
      <alignment horizontal="center" vertical="center" wrapText="1"/>
    </xf>
    <xf numFmtId="1" fontId="0" fillId="0" borderId="1" xfId="2" applyNumberFormat="1" applyFont="1" applyBorder="1" applyAlignment="1">
      <alignment horizontal="center" vertical="center"/>
    </xf>
    <xf numFmtId="0" fontId="1" fillId="18" borderId="1" xfId="0" applyFont="1" applyFill="1" applyBorder="1" applyAlignment="1">
      <alignment horizontal="center" vertical="center"/>
    </xf>
    <xf numFmtId="1" fontId="1" fillId="18" borderId="1" xfId="2" applyNumberFormat="1" applyFont="1" applyFill="1" applyBorder="1" applyAlignment="1">
      <alignment horizontal="center" vertical="center"/>
    </xf>
    <xf numFmtId="1" fontId="1" fillId="18" borderId="1" xfId="0" applyNumberFormat="1" applyFont="1" applyFill="1" applyBorder="1" applyAlignment="1">
      <alignment horizontal="center" vertical="center"/>
    </xf>
    <xf numFmtId="0" fontId="1" fillId="12" borderId="1" xfId="0" applyFont="1" applyFill="1" applyBorder="1" applyAlignment="1">
      <alignment horizontal="center" vertical="center"/>
    </xf>
    <xf numFmtId="1" fontId="1" fillId="12" borderId="1" xfId="2" applyNumberFormat="1" applyFont="1" applyFill="1" applyBorder="1" applyAlignment="1">
      <alignment horizontal="center" vertical="center"/>
    </xf>
    <xf numFmtId="0" fontId="52" fillId="0" borderId="0" xfId="0" applyFont="1" applyAlignment="1">
      <alignment horizontal="center" vertical="center"/>
    </xf>
    <xf numFmtId="1" fontId="0" fillId="0" borderId="1" xfId="0" applyNumberFormat="1" applyBorder="1" applyAlignment="1">
      <alignment horizontal="center" vertical="center" wrapText="1"/>
    </xf>
    <xf numFmtId="178" fontId="52" fillId="0" borderId="0" xfId="0" applyNumberFormat="1" applyFont="1" applyAlignment="1">
      <alignment horizontal="center" vertical="center"/>
    </xf>
    <xf numFmtId="0" fontId="0" fillId="0" borderId="41" xfId="0" applyBorder="1" applyAlignment="1">
      <alignment horizontal="center" vertical="center"/>
    </xf>
    <xf numFmtId="0" fontId="1" fillId="18" borderId="1" xfId="0" applyFont="1" applyFill="1" applyBorder="1" applyAlignment="1">
      <alignment horizontal="center"/>
    </xf>
    <xf numFmtId="178" fontId="50" fillId="0" borderId="0" xfId="0" applyNumberFormat="1" applyFont="1" applyAlignment="1">
      <alignment horizontal="center" vertical="center"/>
    </xf>
    <xf numFmtId="1" fontId="1" fillId="0" borderId="0" xfId="0" applyNumberFormat="1" applyFont="1" applyAlignment="1">
      <alignment horizontal="center" vertical="center"/>
    </xf>
    <xf numFmtId="178" fontId="0" fillId="0" borderId="0" xfId="0" applyNumberFormat="1" applyAlignment="1">
      <alignment horizontal="center"/>
    </xf>
    <xf numFmtId="0" fontId="52" fillId="0" borderId="0" xfId="0" applyFont="1"/>
    <xf numFmtId="0" fontId="53" fillId="0" borderId="1" xfId="0" applyFont="1" applyBorder="1" applyAlignment="1">
      <alignment horizontal="center" vertical="center"/>
    </xf>
    <xf numFmtId="0" fontId="0" fillId="0" borderId="41" xfId="0" applyBorder="1" applyAlignment="1">
      <alignment horizontal="center" vertical="center" wrapText="1"/>
    </xf>
    <xf numFmtId="1" fontId="44" fillId="0" borderId="1" xfId="2" applyNumberFormat="1" applyFont="1" applyBorder="1" applyAlignment="1">
      <alignment horizontal="center" vertical="center"/>
    </xf>
    <xf numFmtId="0" fontId="16" fillId="0" borderId="41" xfId="0" applyFont="1" applyBorder="1" applyAlignment="1">
      <alignment horizontal="center" vertical="center" wrapText="1"/>
    </xf>
    <xf numFmtId="1" fontId="1" fillId="18" borderId="41" xfId="0" applyNumberFormat="1" applyFont="1" applyFill="1" applyBorder="1" applyAlignment="1">
      <alignment horizontal="center" vertical="center"/>
    </xf>
    <xf numFmtId="178" fontId="0" fillId="0" borderId="1" xfId="2" applyNumberFormat="1" applyFont="1" applyBorder="1" applyAlignment="1">
      <alignment horizontal="center" vertical="center"/>
    </xf>
    <xf numFmtId="0" fontId="0" fillId="0" borderId="43" xfId="0" applyBorder="1" applyAlignment="1">
      <alignment horizontal="center" vertical="center"/>
    </xf>
    <xf numFmtId="1" fontId="0" fillId="0" borderId="43" xfId="0" applyNumberFormat="1" applyBorder="1" applyAlignment="1">
      <alignment horizontal="center" vertical="center"/>
    </xf>
    <xf numFmtId="178" fontId="0" fillId="0" borderId="43" xfId="2" applyNumberFormat="1" applyFont="1" applyBorder="1" applyAlignment="1">
      <alignment horizontal="center" vertical="center"/>
    </xf>
    <xf numFmtId="1" fontId="0" fillId="0" borderId="0" xfId="2" applyNumberFormat="1" applyFont="1" applyBorder="1" applyAlignment="1">
      <alignment horizontal="center" vertical="center"/>
    </xf>
    <xf numFmtId="0" fontId="54" fillId="26" borderId="1" xfId="0" applyFont="1" applyFill="1" applyBorder="1" applyAlignment="1">
      <alignment horizontal="center" vertical="center" wrapText="1"/>
    </xf>
    <xf numFmtId="0" fontId="54" fillId="26" borderId="1" xfId="0" applyFont="1" applyFill="1" applyBorder="1" applyAlignment="1">
      <alignment horizontal="center" vertical="center"/>
    </xf>
    <xf numFmtId="0" fontId="55" fillId="26" borderId="1" xfId="0" applyFont="1" applyFill="1" applyBorder="1" applyAlignment="1">
      <alignment horizontal="center" vertical="center"/>
    </xf>
    <xf numFmtId="3" fontId="18" fillId="0" borderId="1" xfId="0" applyNumberFormat="1" applyFont="1" applyBorder="1" applyAlignment="1">
      <alignment horizontal="center" vertical="center" wrapText="1" readingOrder="1"/>
    </xf>
    <xf numFmtId="3" fontId="17" fillId="27" borderId="1" xfId="0" applyNumberFormat="1" applyFont="1" applyFill="1" applyBorder="1" applyAlignment="1">
      <alignment horizontal="center" vertical="center" wrapText="1" readingOrder="1"/>
    </xf>
    <xf numFmtId="0" fontId="16" fillId="0" borderId="0" xfId="0" applyFont="1" applyAlignment="1">
      <alignment horizontal="center"/>
    </xf>
    <xf numFmtId="0" fontId="1" fillId="20" borderId="48" xfId="0" applyFont="1" applyFill="1" applyBorder="1" applyAlignment="1">
      <alignment horizontal="center" vertical="center"/>
    </xf>
    <xf numFmtId="0" fontId="1" fillId="20" borderId="1" xfId="0" applyFont="1" applyFill="1" applyBorder="1" applyAlignment="1">
      <alignment horizontal="center" vertical="center"/>
    </xf>
    <xf numFmtId="0" fontId="44" fillId="9" borderId="1" xfId="0" applyFont="1" applyFill="1" applyBorder="1" applyAlignment="1">
      <alignment horizontal="center" vertical="center"/>
    </xf>
    <xf numFmtId="187" fontId="44" fillId="9" borderId="1" xfId="0" applyNumberFormat="1" applyFont="1" applyFill="1" applyBorder="1" applyAlignment="1">
      <alignment horizontal="center" vertical="center"/>
    </xf>
    <xf numFmtId="178" fontId="44" fillId="9" borderId="1" xfId="0" applyNumberFormat="1" applyFont="1" applyFill="1" applyBorder="1" applyAlignment="1">
      <alignment horizontal="center" vertical="center"/>
    </xf>
    <xf numFmtId="0" fontId="0" fillId="28" borderId="1" xfId="0" applyFill="1" applyBorder="1" applyAlignment="1">
      <alignment horizontal="center"/>
    </xf>
    <xf numFmtId="179" fontId="0" fillId="28" borderId="1" xfId="0" applyNumberFormat="1" applyFill="1" applyBorder="1" applyAlignment="1">
      <alignment horizontal="center"/>
    </xf>
    <xf numFmtId="179" fontId="0" fillId="28" borderId="1" xfId="0" applyNumberFormat="1" applyFill="1" applyBorder="1" applyAlignment="1">
      <alignment horizontal="center" vertical="center"/>
    </xf>
    <xf numFmtId="178" fontId="0" fillId="28" borderId="1" xfId="0" applyNumberFormat="1" applyFill="1" applyBorder="1" applyAlignment="1">
      <alignment horizontal="center" vertical="center"/>
    </xf>
    <xf numFmtId="0" fontId="44" fillId="24" borderId="1" xfId="0" applyFont="1" applyFill="1" applyBorder="1" applyAlignment="1">
      <alignment horizontal="center" vertical="center"/>
    </xf>
    <xf numFmtId="179" fontId="44" fillId="24" borderId="1" xfId="0" applyNumberFormat="1" applyFont="1" applyFill="1" applyBorder="1" applyAlignment="1">
      <alignment horizontal="center" vertical="center"/>
    </xf>
    <xf numFmtId="178" fontId="44" fillId="24" borderId="1" xfId="0" applyNumberFormat="1" applyFont="1" applyFill="1" applyBorder="1" applyAlignment="1">
      <alignment horizontal="center" vertical="center"/>
    </xf>
    <xf numFmtId="178" fontId="0" fillId="24" borderId="1" xfId="0" applyNumberFormat="1" applyFill="1" applyBorder="1" applyAlignment="1">
      <alignment horizontal="center" vertical="center"/>
    </xf>
    <xf numFmtId="0" fontId="0" fillId="29" borderId="1" xfId="0" applyFill="1" applyBorder="1" applyAlignment="1">
      <alignment horizontal="center"/>
    </xf>
    <xf numFmtId="179" fontId="0" fillId="29" borderId="1" xfId="0" applyNumberFormat="1" applyFill="1" applyBorder="1" applyAlignment="1">
      <alignment horizontal="center"/>
    </xf>
    <xf numFmtId="187" fontId="0" fillId="29" borderId="1" xfId="0" applyNumberFormat="1" applyFill="1" applyBorder="1" applyAlignment="1">
      <alignment horizontal="center"/>
    </xf>
    <xf numFmtId="0" fontId="0" fillId="18" borderId="1" xfId="0" applyFill="1" applyBorder="1" applyAlignment="1">
      <alignment horizontal="center" vertical="center"/>
    </xf>
    <xf numFmtId="0" fontId="0" fillId="9" borderId="1" xfId="0" applyFill="1" applyBorder="1" applyAlignment="1">
      <alignment horizontal="center" vertical="center"/>
    </xf>
    <xf numFmtId="187" fontId="0" fillId="9" borderId="1" xfId="0" applyNumberFormat="1" applyFill="1" applyBorder="1" applyAlignment="1">
      <alignment horizontal="center" vertical="center"/>
    </xf>
    <xf numFmtId="178" fontId="0" fillId="9" borderId="1" xfId="0" applyNumberFormat="1" applyFill="1" applyBorder="1" applyAlignment="1">
      <alignment horizontal="center" vertical="center"/>
    </xf>
    <xf numFmtId="0" fontId="0" fillId="24" borderId="1" xfId="0" applyFill="1" applyBorder="1" applyAlignment="1">
      <alignment horizontal="center" vertical="center"/>
    </xf>
    <xf numFmtId="179" fontId="0" fillId="24" borderId="1" xfId="0" applyNumberFormat="1" applyFill="1" applyBorder="1" applyAlignment="1">
      <alignment horizontal="center" vertical="center"/>
    </xf>
    <xf numFmtId="179" fontId="0" fillId="9" borderId="1" xfId="0" applyNumberFormat="1" applyFill="1" applyBorder="1" applyAlignment="1">
      <alignment horizontal="center" vertical="center"/>
    </xf>
    <xf numFmtId="0" fontId="0" fillId="11" borderId="1" xfId="0" applyFill="1" applyBorder="1" applyAlignment="1">
      <alignment horizontal="center" vertical="center"/>
    </xf>
    <xf numFmtId="187" fontId="0" fillId="11" borderId="1" xfId="0" applyNumberFormat="1" applyFill="1" applyBorder="1" applyAlignment="1">
      <alignment horizontal="center" vertical="center"/>
    </xf>
    <xf numFmtId="178" fontId="0" fillId="11" borderId="1" xfId="0" applyNumberFormat="1" applyFill="1" applyBorder="1" applyAlignment="1">
      <alignment horizontal="center" vertical="center"/>
    </xf>
    <xf numFmtId="179" fontId="0" fillId="11" borderId="1" xfId="0" applyNumberFormat="1" applyFill="1" applyBorder="1" applyAlignment="1">
      <alignment horizontal="center" vertical="center"/>
    </xf>
    <xf numFmtId="1" fontId="0" fillId="11" borderId="1" xfId="0" applyNumberFormat="1" applyFill="1" applyBorder="1" applyAlignment="1">
      <alignment horizontal="center" vertical="center"/>
    </xf>
    <xf numFmtId="187" fontId="0" fillId="18" borderId="1" xfId="0" applyNumberFormat="1" applyFill="1" applyBorder="1" applyAlignment="1">
      <alignment horizontal="center" vertical="center"/>
    </xf>
    <xf numFmtId="178" fontId="0" fillId="18" borderId="1" xfId="0" applyNumberFormat="1" applyFill="1" applyBorder="1" applyAlignment="1">
      <alignment horizontal="center" vertical="center"/>
    </xf>
    <xf numFmtId="179" fontId="0" fillId="0" borderId="0" xfId="0" applyNumberFormat="1"/>
    <xf numFmtId="0" fontId="15" fillId="12" borderId="0" xfId="0" applyFont="1" applyFill="1" applyBorder="1" applyAlignment="1">
      <alignment horizontal="center"/>
    </xf>
    <xf numFmtId="0" fontId="1" fillId="20" borderId="0" xfId="0" applyFont="1" applyFill="1" applyBorder="1" applyAlignment="1">
      <alignment horizontal="center" vertical="center"/>
    </xf>
    <xf numFmtId="187" fontId="44" fillId="9" borderId="0" xfId="0" applyNumberFormat="1" applyFont="1" applyFill="1" applyBorder="1" applyAlignment="1">
      <alignment horizontal="center" vertical="center"/>
    </xf>
    <xf numFmtId="188" fontId="0" fillId="28" borderId="0" xfId="0" applyNumberFormat="1" applyFill="1" applyBorder="1" applyAlignment="1">
      <alignment horizontal="center" vertical="center"/>
    </xf>
    <xf numFmtId="178" fontId="0" fillId="24" borderId="0" xfId="0" applyNumberFormat="1" applyFill="1" applyBorder="1" applyAlignment="1">
      <alignment horizontal="center" vertical="center"/>
    </xf>
    <xf numFmtId="178" fontId="44" fillId="24" borderId="0" xfId="0" applyNumberFormat="1" applyFont="1" applyFill="1" applyBorder="1" applyAlignment="1">
      <alignment horizontal="center" vertical="center"/>
    </xf>
    <xf numFmtId="0" fontId="0" fillId="24" borderId="0" xfId="0" applyFill="1" applyBorder="1" applyAlignment="1">
      <alignment horizontal="center" vertical="center"/>
    </xf>
    <xf numFmtId="188" fontId="0" fillId="0" borderId="0" xfId="0" applyNumberFormat="1"/>
    <xf numFmtId="2" fontId="0" fillId="0" borderId="0" xfId="0" applyNumberFormat="1"/>
    <xf numFmtId="2" fontId="1" fillId="0" borderId="0" xfId="0" applyNumberFormat="1" applyFont="1"/>
    <xf numFmtId="0" fontId="1" fillId="0" borderId="0" xfId="0" applyFont="1" applyAlignment="1">
      <alignment horizontal="center" vertical="center"/>
    </xf>
    <xf numFmtId="0" fontId="0" fillId="0" borderId="1" xfId="0" applyFill="1" applyBorder="1"/>
    <xf numFmtId="1" fontId="1" fillId="0" borderId="1" xfId="0" applyNumberFormat="1" applyFont="1" applyBorder="1"/>
    <xf numFmtId="1" fontId="0" fillId="0" borderId="1" xfId="0" applyNumberFormat="1" applyFill="1" applyBorder="1"/>
    <xf numFmtId="14" fontId="0" fillId="0" borderId="0" xfId="0" applyNumberFormat="1"/>
    <xf numFmtId="0" fontId="0" fillId="30" borderId="1" xfId="0" applyFill="1" applyBorder="1" applyAlignment="1">
      <alignment vertical="top" wrapText="1"/>
    </xf>
    <xf numFmtId="0" fontId="0" fillId="30" borderId="1" xfId="0" applyFill="1" applyBorder="1" applyAlignment="1">
      <alignment vertical="top"/>
    </xf>
    <xf numFmtId="0" fontId="56" fillId="0" borderId="52" xfId="0" applyFont="1" applyBorder="1" applyAlignment="1">
      <alignment vertical="center"/>
    </xf>
    <xf numFmtId="0" fontId="56" fillId="0" borderId="64" xfId="0" applyFont="1" applyBorder="1" applyAlignment="1">
      <alignment vertical="center"/>
    </xf>
    <xf numFmtId="0" fontId="0" fillId="30" borderId="19" xfId="0" applyFill="1" applyBorder="1" applyAlignment="1">
      <alignment vertical="top"/>
    </xf>
    <xf numFmtId="0" fontId="0" fillId="30" borderId="40" xfId="0" applyFill="1" applyBorder="1" applyAlignment="1">
      <alignment vertical="top"/>
    </xf>
    <xf numFmtId="0" fontId="41" fillId="0" borderId="65" xfId="0" applyFont="1" applyBorder="1" applyAlignment="1">
      <alignment horizontal="left" vertical="center" indent="1"/>
    </xf>
    <xf numFmtId="0" fontId="41" fillId="0" borderId="65" xfId="0" applyFont="1" applyBorder="1" applyAlignment="1">
      <alignment horizontal="center" vertical="center"/>
    </xf>
    <xf numFmtId="0" fontId="57" fillId="31" borderId="65" xfId="0" applyFont="1" applyFill="1" applyBorder="1" applyAlignment="1">
      <alignment horizontal="left" vertical="center" indent="1"/>
    </xf>
    <xf numFmtId="0" fontId="57" fillId="31" borderId="65" xfId="0" applyFont="1" applyFill="1" applyBorder="1" applyAlignment="1">
      <alignment horizontal="right" vertical="center" indent="1"/>
    </xf>
    <xf numFmtId="0" fontId="57" fillId="0" borderId="65" xfId="0" applyFont="1" applyBorder="1" applyAlignment="1">
      <alignment horizontal="left" vertical="center" indent="1"/>
    </xf>
    <xf numFmtId="0" fontId="57" fillId="0" borderId="65" xfId="0" applyFont="1" applyBorder="1" applyAlignment="1">
      <alignment horizontal="right" vertical="center" indent="1"/>
    </xf>
    <xf numFmtId="189" fontId="57" fillId="0" borderId="0" xfId="0" applyNumberFormat="1" applyFont="1" applyBorder="1" applyAlignment="1">
      <alignment horizontal="left" vertical="center" indent="1"/>
    </xf>
    <xf numFmtId="0" fontId="57" fillId="0" borderId="0" xfId="0" applyFont="1" applyBorder="1" applyAlignment="1">
      <alignment horizontal="left" vertical="center" indent="1"/>
    </xf>
    <xf numFmtId="0" fontId="57" fillId="0" borderId="0" xfId="0" applyFont="1" applyBorder="1" applyAlignment="1">
      <alignment horizontal="right" vertical="center" indent="1"/>
    </xf>
    <xf numFmtId="4" fontId="0" fillId="0" borderId="1" xfId="0" applyNumberFormat="1" applyBorder="1" applyAlignment="1">
      <alignment horizontal="right" vertical="top"/>
    </xf>
    <xf numFmtId="3" fontId="0" fillId="0" borderId="1" xfId="0" applyNumberFormat="1" applyBorder="1" applyAlignment="1">
      <alignment horizontal="right" vertical="top"/>
    </xf>
    <xf numFmtId="14" fontId="0" fillId="0" borderId="1" xfId="0" applyNumberFormat="1" applyBorder="1" applyAlignment="1">
      <alignment horizontal="right" vertical="top"/>
    </xf>
    <xf numFmtId="190" fontId="0" fillId="0" borderId="0" xfId="0" applyNumberFormat="1"/>
    <xf numFmtId="0" fontId="0" fillId="0" borderId="0" xfId="0" pivotButton="1"/>
    <xf numFmtId="0" fontId="0" fillId="0" borderId="0" xfId="0" applyAlignment="1">
      <alignment horizontal="left"/>
    </xf>
    <xf numFmtId="17" fontId="0" fillId="0" borderId="1" xfId="0" applyNumberFormat="1" applyBorder="1"/>
    <xf numFmtId="0" fontId="1" fillId="32" borderId="1" xfId="0" applyFont="1" applyFill="1" applyBorder="1"/>
    <xf numFmtId="14" fontId="1" fillId="32" borderId="1" xfId="0" applyNumberFormat="1" applyFont="1" applyFill="1" applyBorder="1"/>
    <xf numFmtId="0" fontId="0" fillId="0" borderId="1" xfId="0" applyBorder="1" applyAlignment="1">
      <alignment horizontal="left"/>
    </xf>
    <xf numFmtId="0" fontId="0" fillId="0" borderId="1" xfId="0" applyNumberFormat="1" applyBorder="1"/>
    <xf numFmtId="2" fontId="0" fillId="0" borderId="1" xfId="0" applyNumberFormat="1" applyBorder="1"/>
    <xf numFmtId="17" fontId="1" fillId="0" borderId="1" xfId="0" applyNumberFormat="1" applyFont="1" applyBorder="1"/>
    <xf numFmtId="0" fontId="0" fillId="0" borderId="1" xfId="0" applyBorder="1" applyAlignment="1">
      <alignment horizontal="center" vertical="center"/>
    </xf>
    <xf numFmtId="0" fontId="1" fillId="0" borderId="1" xfId="0" applyFont="1" applyBorder="1" applyAlignment="1">
      <alignment horizontal="center" vertical="center"/>
    </xf>
    <xf numFmtId="0" fontId="1" fillId="20" borderId="1" xfId="0" applyFont="1" applyFill="1" applyBorder="1" applyAlignment="1">
      <alignment horizontal="center" vertical="center"/>
    </xf>
    <xf numFmtId="172" fontId="16" fillId="0" borderId="40" xfId="0" applyNumberFormat="1" applyFont="1" applyFill="1" applyBorder="1" applyAlignment="1">
      <alignment horizontal="center" vertical="center"/>
    </xf>
    <xf numFmtId="172" fontId="16" fillId="0" borderId="39" xfId="0" applyNumberFormat="1" applyFont="1" applyFill="1" applyBorder="1" applyAlignment="1">
      <alignment horizontal="center" vertical="center"/>
    </xf>
    <xf numFmtId="172" fontId="16" fillId="0" borderId="41" xfId="0" applyNumberFormat="1" applyFont="1" applyFill="1" applyBorder="1" applyAlignment="1">
      <alignment horizontal="center" vertical="center"/>
    </xf>
    <xf numFmtId="0" fontId="1" fillId="32" borderId="0" xfId="0" applyFont="1" applyFill="1" applyBorder="1"/>
    <xf numFmtId="2" fontId="0" fillId="0" borderId="0" xfId="0" applyNumberFormat="1" applyBorder="1"/>
    <xf numFmtId="191" fontId="1" fillId="0" borderId="1" xfId="0" applyNumberFormat="1" applyFont="1" applyBorder="1"/>
    <xf numFmtId="17" fontId="1" fillId="20" borderId="1" xfId="0" applyNumberFormat="1" applyFont="1" applyFill="1" applyBorder="1" applyAlignment="1">
      <alignment horizontal="center" vertical="center"/>
    </xf>
    <xf numFmtId="177" fontId="0" fillId="0" borderId="1" xfId="1" applyNumberFormat="1" applyFont="1" applyBorder="1" applyAlignment="1">
      <alignment horizontal="center" vertical="center"/>
    </xf>
    <xf numFmtId="177" fontId="0" fillId="0" borderId="1" xfId="0" applyNumberFormat="1" applyBorder="1" applyAlignment="1">
      <alignment horizontal="center" vertical="center"/>
    </xf>
    <xf numFmtId="0" fontId="1" fillId="0" borderId="1" xfId="0" applyFont="1" applyFill="1" applyBorder="1" applyAlignment="1">
      <alignment horizontal="center" vertical="center"/>
    </xf>
    <xf numFmtId="177" fontId="1" fillId="0" borderId="1" xfId="0" applyNumberFormat="1" applyFont="1" applyBorder="1" applyAlignment="1">
      <alignment vertical="center"/>
    </xf>
    <xf numFmtId="177" fontId="0" fillId="0" borderId="1" xfId="1" applyNumberFormat="1" applyFont="1" applyBorder="1" applyAlignment="1">
      <alignment vertical="center"/>
    </xf>
    <xf numFmtId="177" fontId="0" fillId="0" borderId="1" xfId="0" applyNumberFormat="1" applyBorder="1" applyAlignment="1">
      <alignment vertical="center"/>
    </xf>
    <xf numFmtId="0" fontId="0" fillId="0" borderId="1" xfId="0" applyBorder="1" applyAlignment="1">
      <alignment vertical="center"/>
    </xf>
    <xf numFmtId="177" fontId="0" fillId="0" borderId="0" xfId="0" applyNumberFormat="1" applyAlignment="1">
      <alignment vertical="center"/>
    </xf>
    <xf numFmtId="192" fontId="0" fillId="0" borderId="1" xfId="0" applyNumberFormat="1" applyBorder="1" applyAlignment="1">
      <alignment vertical="center"/>
    </xf>
    <xf numFmtId="0" fontId="18" fillId="0" borderId="1" xfId="0" applyFont="1" applyFill="1" applyBorder="1" applyAlignment="1">
      <alignment horizontal="center" vertical="center" wrapText="1"/>
    </xf>
    <xf numFmtId="2" fontId="18" fillId="0" borderId="1" xfId="0" applyNumberFormat="1" applyFont="1" applyFill="1" applyBorder="1" applyAlignment="1">
      <alignment horizontal="center" vertical="center" wrapText="1"/>
    </xf>
    <xf numFmtId="1" fontId="18" fillId="0" borderId="1" xfId="0" applyNumberFormat="1" applyFont="1" applyFill="1" applyBorder="1" applyAlignment="1">
      <alignment horizontal="center" vertical="center" wrapText="1"/>
    </xf>
    <xf numFmtId="17" fontId="17" fillId="14" borderId="41" xfId="0" applyNumberFormat="1" applyFont="1" applyFill="1" applyBorder="1" applyAlignment="1">
      <alignment horizontal="right" vertical="center"/>
    </xf>
    <xf numFmtId="176" fontId="18" fillId="15" borderId="41" xfId="0" applyNumberFormat="1" applyFont="1" applyFill="1" applyBorder="1" applyAlignment="1">
      <alignment vertical="center"/>
    </xf>
    <xf numFmtId="17" fontId="17" fillId="0" borderId="44" xfId="0" applyNumberFormat="1" applyFont="1" applyBorder="1" applyAlignment="1">
      <alignment vertical="center" wrapText="1"/>
    </xf>
    <xf numFmtId="1" fontId="0" fillId="0" borderId="41" xfId="0" applyNumberFormat="1" applyFont="1" applyFill="1" applyBorder="1" applyAlignment="1">
      <alignment horizontal="center" vertical="center"/>
    </xf>
    <xf numFmtId="0" fontId="18" fillId="0" borderId="41" xfId="0" applyFont="1" applyFill="1" applyBorder="1" applyAlignment="1">
      <alignment horizontal="right" vertical="center" wrapText="1"/>
    </xf>
    <xf numFmtId="0" fontId="18" fillId="0" borderId="41" xfId="0" applyFont="1" applyFill="1" applyBorder="1" applyAlignment="1">
      <alignment vertical="center" wrapText="1"/>
    </xf>
    <xf numFmtId="178" fontId="17" fillId="22" borderId="41" xfId="0" applyNumberFormat="1" applyFont="1" applyFill="1" applyBorder="1" applyAlignment="1">
      <alignment horizontal="right" vertical="center" wrapText="1"/>
    </xf>
    <xf numFmtId="1" fontId="18" fillId="22" borderId="41" xfId="0" applyNumberFormat="1" applyFont="1" applyFill="1" applyBorder="1" applyAlignment="1">
      <alignment horizontal="right" vertical="center" wrapText="1"/>
    </xf>
    <xf numFmtId="0" fontId="0" fillId="0" borderId="41" xfId="0" applyFont="1" applyBorder="1" applyAlignment="1">
      <alignment horizontal="right"/>
    </xf>
    <xf numFmtId="0" fontId="18" fillId="0" borderId="47" xfId="0" applyFont="1" applyFill="1" applyBorder="1" applyAlignment="1">
      <alignment horizontal="right" vertical="center" wrapText="1"/>
    </xf>
    <xf numFmtId="0" fontId="0" fillId="0" borderId="41" xfId="0" applyBorder="1"/>
    <xf numFmtId="0" fontId="19" fillId="0" borderId="41" xfId="4" applyNumberFormat="1" applyBorder="1"/>
    <xf numFmtId="17" fontId="17" fillId="14" borderId="41" xfId="0" applyNumberFormat="1" applyFont="1" applyFill="1" applyBorder="1" applyAlignment="1">
      <alignment horizontal="center" vertical="center"/>
    </xf>
    <xf numFmtId="1" fontId="1" fillId="0" borderId="41" xfId="0" applyNumberFormat="1" applyFont="1" applyBorder="1"/>
    <xf numFmtId="1" fontId="0" fillId="0" borderId="41" xfId="0" applyNumberFormat="1" applyBorder="1"/>
    <xf numFmtId="1" fontId="0" fillId="0" borderId="41" xfId="0" applyNumberFormat="1" applyFill="1" applyBorder="1"/>
    <xf numFmtId="1" fontId="0" fillId="12" borderId="41" xfId="0" applyNumberFormat="1" applyFont="1" applyFill="1" applyBorder="1" applyAlignment="1">
      <alignment horizontal="center" vertical="center"/>
    </xf>
    <xf numFmtId="176" fontId="18" fillId="0" borderId="41" xfId="0" applyNumberFormat="1" applyFont="1" applyFill="1" applyBorder="1" applyAlignment="1">
      <alignment horizontal="right" vertical="center" wrapText="1"/>
    </xf>
    <xf numFmtId="193" fontId="0" fillId="0" borderId="1" xfId="0" applyNumberFormat="1" applyFont="1" applyBorder="1"/>
    <xf numFmtId="17" fontId="17" fillId="0" borderId="1" xfId="0" applyNumberFormat="1" applyFont="1" applyBorder="1" applyAlignment="1">
      <alignment vertical="center" wrapText="1"/>
    </xf>
    <xf numFmtId="1" fontId="0" fillId="12" borderId="1" xfId="0" applyNumberFormat="1" applyFont="1" applyFill="1" applyBorder="1" applyAlignment="1">
      <alignment horizontal="center" vertical="center"/>
    </xf>
    <xf numFmtId="175" fontId="18" fillId="0" borderId="1" xfId="0" applyNumberFormat="1" applyFont="1" applyFill="1" applyBorder="1" applyAlignment="1">
      <alignment horizontal="right" vertical="center" wrapText="1"/>
    </xf>
    <xf numFmtId="175" fontId="0" fillId="0" borderId="0" xfId="0" applyNumberFormat="1" applyAlignment="1">
      <alignment vertical="center"/>
    </xf>
    <xf numFmtId="0" fontId="1" fillId="0" borderId="0" xfId="0" applyFont="1" applyBorder="1" applyAlignment="1">
      <alignment wrapText="1"/>
    </xf>
    <xf numFmtId="0" fontId="0" fillId="0" borderId="48" xfId="0" applyBorder="1" applyAlignment="1">
      <alignment wrapText="1"/>
    </xf>
    <xf numFmtId="1" fontId="17" fillId="22" borderId="41" xfId="0" applyNumberFormat="1" applyFont="1" applyFill="1" applyBorder="1" applyAlignment="1">
      <alignment horizontal="right" vertical="center" wrapText="1"/>
    </xf>
    <xf numFmtId="0" fontId="16" fillId="0" borderId="1" xfId="4" applyFont="1" applyBorder="1" applyAlignment="1">
      <alignment horizontal="left" vertical="center" wrapText="1"/>
    </xf>
    <xf numFmtId="187" fontId="0" fillId="0" borderId="1" xfId="0" applyNumberFormat="1" applyBorder="1"/>
    <xf numFmtId="0" fontId="40" fillId="16" borderId="1" xfId="0" applyFont="1" applyFill="1" applyBorder="1"/>
    <xf numFmtId="1" fontId="1" fillId="22" borderId="1" xfId="0" applyNumberFormat="1" applyFont="1" applyFill="1" applyBorder="1"/>
    <xf numFmtId="176" fontId="1" fillId="22" borderId="1" xfId="0" applyNumberFormat="1" applyFont="1" applyFill="1" applyBorder="1"/>
    <xf numFmtId="1" fontId="0" fillId="0" borderId="0" xfId="0" applyNumberFormat="1" applyFont="1" applyFill="1" applyBorder="1" applyAlignment="1">
      <alignment horizontal="center" vertical="center"/>
    </xf>
    <xf numFmtId="1" fontId="0" fillId="12" borderId="0" xfId="0" applyNumberFormat="1" applyFont="1" applyFill="1" applyBorder="1" applyAlignment="1">
      <alignment horizontal="center" vertical="center"/>
    </xf>
    <xf numFmtId="0" fontId="0" fillId="0" borderId="45" xfId="0" applyBorder="1" applyAlignment="1">
      <alignment wrapText="1"/>
    </xf>
    <xf numFmtId="0" fontId="17" fillId="0" borderId="40" xfId="0" applyFont="1" applyBorder="1" applyAlignment="1">
      <alignment vertical="center" wrapText="1"/>
    </xf>
    <xf numFmtId="1" fontId="0" fillId="0" borderId="43" xfId="0" applyNumberFormat="1" applyFont="1" applyFill="1" applyBorder="1" applyAlignment="1">
      <alignment horizontal="center" vertical="center"/>
    </xf>
    <xf numFmtId="1" fontId="0" fillId="0" borderId="19" xfId="0" applyNumberFormat="1" applyFill="1" applyBorder="1"/>
    <xf numFmtId="0" fontId="1" fillId="0" borderId="45" xfId="0" applyFont="1" applyBorder="1" applyAlignment="1">
      <alignment wrapText="1"/>
    </xf>
    <xf numFmtId="0" fontId="1" fillId="0" borderId="40" xfId="0" applyFont="1" applyBorder="1" applyAlignment="1">
      <alignment horizontal="center" wrapText="1"/>
    </xf>
    <xf numFmtId="176" fontId="1" fillId="0" borderId="40" xfId="0" applyNumberFormat="1" applyFont="1" applyBorder="1"/>
    <xf numFmtId="17" fontId="17" fillId="14" borderId="39" xfId="0" applyNumberFormat="1" applyFont="1" applyFill="1" applyBorder="1" applyAlignment="1">
      <alignment horizontal="center" vertical="center"/>
    </xf>
    <xf numFmtId="17" fontId="17" fillId="14" borderId="39" xfId="0" applyNumberFormat="1" applyFont="1" applyFill="1" applyBorder="1" applyAlignment="1">
      <alignment horizontal="right" vertical="center"/>
    </xf>
    <xf numFmtId="176" fontId="18" fillId="15" borderId="39" xfId="0" applyNumberFormat="1" applyFont="1" applyFill="1" applyBorder="1" applyAlignment="1">
      <alignment vertical="center"/>
    </xf>
    <xf numFmtId="17" fontId="17" fillId="0" borderId="43" xfId="0" applyNumberFormat="1" applyFont="1" applyBorder="1" applyAlignment="1">
      <alignment vertical="center" wrapText="1"/>
    </xf>
    <xf numFmtId="1" fontId="0" fillId="12" borderId="39" xfId="0" applyNumberFormat="1" applyFont="1" applyFill="1" applyBorder="1" applyAlignment="1">
      <alignment horizontal="center" vertical="center"/>
    </xf>
    <xf numFmtId="1" fontId="0" fillId="0" borderId="39" xfId="0" applyNumberFormat="1" applyFont="1" applyFill="1" applyBorder="1" applyAlignment="1">
      <alignment horizontal="center" vertical="center"/>
    </xf>
    <xf numFmtId="176" fontId="0" fillId="0" borderId="40" xfId="0" applyNumberFormat="1" applyFont="1" applyBorder="1"/>
    <xf numFmtId="175" fontId="0" fillId="0" borderId="40" xfId="0" applyNumberFormat="1" applyFont="1" applyBorder="1"/>
    <xf numFmtId="1" fontId="18" fillId="22" borderId="40" xfId="0" applyNumberFormat="1" applyFont="1" applyFill="1" applyBorder="1" applyAlignment="1">
      <alignment horizontal="right" vertical="center" wrapText="1"/>
    </xf>
    <xf numFmtId="0" fontId="0" fillId="0" borderId="39" xfId="0" applyBorder="1"/>
    <xf numFmtId="1" fontId="0" fillId="0" borderId="39" xfId="0" applyNumberFormat="1" applyBorder="1"/>
    <xf numFmtId="1" fontId="0" fillId="0" borderId="40" xfId="0" applyNumberFormat="1" applyBorder="1"/>
    <xf numFmtId="1" fontId="1" fillId="0" borderId="40" xfId="0" applyNumberFormat="1" applyFont="1" applyBorder="1"/>
    <xf numFmtId="1" fontId="1" fillId="22" borderId="40" xfId="0" applyNumberFormat="1" applyFont="1" applyFill="1" applyBorder="1"/>
    <xf numFmtId="1" fontId="0" fillId="0" borderId="40" xfId="0" applyNumberFormat="1" applyFill="1" applyBorder="1"/>
    <xf numFmtId="0" fontId="1" fillId="0" borderId="41" xfId="0" applyFont="1" applyBorder="1" applyAlignment="1">
      <alignment horizontal="center" wrapText="1"/>
    </xf>
    <xf numFmtId="176" fontId="1" fillId="0" borderId="41" xfId="0" applyNumberFormat="1" applyFont="1" applyBorder="1"/>
    <xf numFmtId="17" fontId="17" fillId="0" borderId="41" xfId="0" applyNumberFormat="1" applyFont="1" applyBorder="1" applyAlignment="1">
      <alignment vertical="center" wrapText="1"/>
    </xf>
    <xf numFmtId="176" fontId="0" fillId="0" borderId="41" xfId="0" applyNumberFormat="1" applyFont="1" applyBorder="1"/>
    <xf numFmtId="193" fontId="0" fillId="0" borderId="41" xfId="0" applyNumberFormat="1" applyFont="1" applyBorder="1"/>
    <xf numFmtId="1" fontId="1" fillId="22" borderId="41" xfId="0" applyNumberFormat="1" applyFont="1" applyFill="1" applyBorder="1"/>
    <xf numFmtId="170" fontId="5" fillId="0" borderId="15" xfId="0" applyNumberFormat="1" applyFont="1" applyBorder="1" applyAlignment="1">
      <alignment vertical="center"/>
    </xf>
    <xf numFmtId="194" fontId="36" fillId="0" borderId="0" xfId="11"/>
    <xf numFmtId="194" fontId="36" fillId="33" borderId="0" xfId="11" applyFill="1"/>
    <xf numFmtId="194" fontId="25" fillId="34" borderId="0" xfId="11" applyFont="1" applyFill="1"/>
    <xf numFmtId="194" fontId="36" fillId="34" borderId="0" xfId="11" applyFill="1" applyAlignment="1">
      <alignment horizontal="center" vertical="center"/>
    </xf>
    <xf numFmtId="194" fontId="36" fillId="34" borderId="0" xfId="11" applyFill="1"/>
    <xf numFmtId="194" fontId="36" fillId="24" borderId="0" xfId="11" applyFill="1"/>
    <xf numFmtId="185" fontId="36" fillId="0" borderId="0" xfId="11" applyNumberFormat="1"/>
    <xf numFmtId="194" fontId="48" fillId="24" borderId="0" xfId="11" applyFont="1" applyFill="1"/>
    <xf numFmtId="194" fontId="48" fillId="0" borderId="0" xfId="11" applyFont="1"/>
    <xf numFmtId="195" fontId="36" fillId="0" borderId="0" xfId="11" applyNumberFormat="1"/>
    <xf numFmtId="43" fontId="36" fillId="0" borderId="0" xfId="11" applyNumberFormat="1"/>
    <xf numFmtId="194" fontId="48" fillId="0" borderId="0" xfId="11" applyFont="1" applyAlignment="1">
      <alignment horizontal="center"/>
    </xf>
    <xf numFmtId="194" fontId="48" fillId="34" borderId="0" xfId="11" applyFont="1" applyFill="1"/>
    <xf numFmtId="194" fontId="48" fillId="34" borderId="0" xfId="11" applyFont="1" applyFill="1" applyAlignment="1">
      <alignment horizontal="center" vertical="center"/>
    </xf>
    <xf numFmtId="194" fontId="48" fillId="23" borderId="0" xfId="11" applyFont="1" applyFill="1" applyAlignment="1">
      <alignment horizontal="center" vertical="center"/>
    </xf>
    <xf numFmtId="194" fontId="36" fillId="0" borderId="0" xfId="11" applyAlignment="1">
      <alignment horizontal="center" vertical="center"/>
    </xf>
    <xf numFmtId="184" fontId="36" fillId="0" borderId="0" xfId="11" applyNumberFormat="1"/>
    <xf numFmtId="177" fontId="36" fillId="0" borderId="0" xfId="11" applyNumberFormat="1"/>
    <xf numFmtId="194" fontId="48" fillId="10" borderId="66" xfId="11" applyFont="1" applyFill="1" applyBorder="1"/>
    <xf numFmtId="194" fontId="48" fillId="25" borderId="67" xfId="11" applyFont="1" applyFill="1" applyBorder="1" applyAlignment="1">
      <alignment vertical="center" wrapText="1"/>
    </xf>
    <xf numFmtId="184" fontId="48" fillId="25" borderId="67" xfId="11" applyNumberFormat="1" applyFont="1" applyFill="1" applyBorder="1" applyAlignment="1">
      <alignment vertical="center" wrapText="1"/>
    </xf>
    <xf numFmtId="194" fontId="48" fillId="25" borderId="68" xfId="11" applyFont="1" applyFill="1" applyBorder="1" applyAlignment="1">
      <alignment vertical="center" wrapText="1"/>
    </xf>
    <xf numFmtId="194" fontId="48" fillId="0" borderId="69" xfId="11" applyFont="1" applyBorder="1"/>
    <xf numFmtId="194" fontId="48" fillId="0" borderId="1" xfId="11" applyFont="1" applyBorder="1"/>
    <xf numFmtId="194" fontId="48" fillId="0" borderId="70" xfId="11" applyFont="1" applyBorder="1"/>
    <xf numFmtId="194" fontId="48" fillId="28" borderId="71" xfId="11" applyFont="1" applyFill="1" applyBorder="1"/>
    <xf numFmtId="194" fontId="48" fillId="10" borderId="0" xfId="11" applyFont="1" applyFill="1"/>
    <xf numFmtId="194" fontId="48" fillId="25" borderId="1" xfId="11" applyFont="1" applyFill="1" applyBorder="1" applyAlignment="1">
      <alignment vertical="center" wrapText="1"/>
    </xf>
    <xf numFmtId="184" fontId="48" fillId="25" borderId="1" xfId="11" applyNumberFormat="1" applyFont="1" applyFill="1" applyBorder="1" applyAlignment="1">
      <alignment vertical="center" wrapText="1"/>
    </xf>
    <xf numFmtId="194" fontId="48" fillId="10" borderId="1" xfId="11" applyFont="1" applyFill="1" applyBorder="1"/>
    <xf numFmtId="184" fontId="36" fillId="10" borderId="45" xfId="11" applyNumberFormat="1" applyFill="1" applyBorder="1"/>
    <xf numFmtId="184" fontId="36" fillId="10" borderId="19" xfId="11" applyNumberFormat="1" applyFill="1" applyBorder="1"/>
    <xf numFmtId="195" fontId="48" fillId="10" borderId="1" xfId="11" applyNumberFormat="1" applyFont="1" applyFill="1" applyBorder="1"/>
    <xf numFmtId="183" fontId="48" fillId="10" borderId="1" xfId="11" applyNumberFormat="1" applyFont="1" applyFill="1" applyBorder="1"/>
    <xf numFmtId="181" fontId="48" fillId="10" borderId="1" xfId="11" applyNumberFormat="1" applyFont="1" applyFill="1" applyBorder="1"/>
    <xf numFmtId="184" fontId="48" fillId="10" borderId="1" xfId="11" applyNumberFormat="1" applyFont="1" applyFill="1" applyBorder="1"/>
    <xf numFmtId="194" fontId="36" fillId="0" borderId="1" xfId="11" applyBorder="1"/>
    <xf numFmtId="182" fontId="36" fillId="0" borderId="1" xfId="11" applyNumberFormat="1" applyBorder="1"/>
    <xf numFmtId="194" fontId="36" fillId="10" borderId="0" xfId="11" applyFill="1"/>
    <xf numFmtId="184" fontId="36" fillId="0" borderId="48" xfId="11" applyNumberFormat="1" applyBorder="1"/>
    <xf numFmtId="184" fontId="36" fillId="0" borderId="44" xfId="11" applyNumberFormat="1" applyBorder="1"/>
    <xf numFmtId="184" fontId="36" fillId="0" borderId="43" xfId="11" applyNumberFormat="1" applyBorder="1"/>
    <xf numFmtId="194" fontId="36" fillId="0" borderId="19" xfId="11" applyBorder="1"/>
    <xf numFmtId="194" fontId="36" fillId="0" borderId="59" xfId="11" applyBorder="1"/>
    <xf numFmtId="181" fontId="36" fillId="0" borderId="0" xfId="11" applyNumberFormat="1"/>
    <xf numFmtId="196" fontId="0" fillId="0" borderId="49" xfId="12" applyNumberFormat="1" applyFont="1" applyBorder="1"/>
    <xf numFmtId="197" fontId="0" fillId="0" borderId="49" xfId="12" applyNumberFormat="1" applyFont="1" applyBorder="1"/>
    <xf numFmtId="197" fontId="0" fillId="0" borderId="47" xfId="12" applyNumberFormat="1" applyFont="1" applyBorder="1"/>
    <xf numFmtId="181" fontId="48" fillId="0" borderId="1" xfId="11" applyNumberFormat="1" applyFont="1" applyBorder="1"/>
    <xf numFmtId="194" fontId="36" fillId="10" borderId="1" xfId="11" applyFill="1" applyBorder="1"/>
    <xf numFmtId="185" fontId="36" fillId="0" borderId="1" xfId="11" applyNumberFormat="1" applyBorder="1"/>
    <xf numFmtId="197" fontId="0" fillId="0" borderId="1" xfId="12" applyNumberFormat="1" applyFont="1" applyBorder="1"/>
    <xf numFmtId="196" fontId="0" fillId="0" borderId="1" xfId="12" applyNumberFormat="1" applyFont="1" applyFill="1" applyBorder="1"/>
    <xf numFmtId="194" fontId="48" fillId="28" borderId="1" xfId="11" applyFont="1" applyFill="1" applyBorder="1"/>
    <xf numFmtId="185" fontId="48" fillId="28" borderId="73" xfId="11" applyNumberFormat="1" applyFont="1" applyFill="1" applyBorder="1"/>
    <xf numFmtId="185" fontId="48" fillId="28" borderId="74" xfId="11" applyNumberFormat="1" applyFont="1" applyFill="1" applyBorder="1"/>
    <xf numFmtId="197" fontId="0" fillId="0" borderId="49" xfId="12" applyNumberFormat="1" applyFont="1" applyFill="1" applyBorder="1"/>
    <xf numFmtId="195" fontId="48" fillId="0" borderId="1" xfId="11" applyNumberFormat="1" applyFont="1" applyBorder="1"/>
    <xf numFmtId="184" fontId="48" fillId="0" borderId="1" xfId="11" applyNumberFormat="1" applyFont="1" applyBorder="1"/>
    <xf numFmtId="181" fontId="36" fillId="0" borderId="1" xfId="11" applyNumberFormat="1" applyBorder="1"/>
    <xf numFmtId="197" fontId="0" fillId="0" borderId="1" xfId="12" applyNumberFormat="1" applyFont="1" applyFill="1" applyBorder="1"/>
    <xf numFmtId="194" fontId="36" fillId="9" borderId="0" xfId="11" applyFill="1"/>
    <xf numFmtId="194" fontId="36" fillId="9" borderId="0" xfId="11" applyFill="1" applyAlignment="1">
      <alignment horizontal="center"/>
    </xf>
    <xf numFmtId="194" fontId="36" fillId="23" borderId="0" xfId="11" applyFill="1" applyAlignment="1">
      <alignment wrapText="1"/>
    </xf>
    <xf numFmtId="0" fontId="36" fillId="23" borderId="62" xfId="13" applyFont="1" applyFill="1" applyBorder="1"/>
    <xf numFmtId="0" fontId="45" fillId="11" borderId="62" xfId="13" applyFont="1" applyFill="1" applyBorder="1"/>
    <xf numFmtId="0" fontId="36" fillId="0" borderId="63" xfId="13" applyFont="1" applyBorder="1"/>
    <xf numFmtId="0" fontId="45" fillId="0" borderId="63" xfId="13" applyFont="1" applyBorder="1"/>
    <xf numFmtId="194" fontId="46" fillId="0" borderId="0" xfId="11" applyFont="1"/>
    <xf numFmtId="194" fontId="36" fillId="11" borderId="0" xfId="11" applyFill="1"/>
    <xf numFmtId="181" fontId="36" fillId="11" borderId="0" xfId="11" applyNumberFormat="1" applyFill="1"/>
    <xf numFmtId="194" fontId="36" fillId="25" borderId="0" xfId="11" applyFill="1"/>
    <xf numFmtId="182" fontId="46" fillId="0" borderId="0" xfId="11" applyNumberFormat="1" applyFont="1"/>
    <xf numFmtId="194" fontId="36" fillId="24" borderId="43" xfId="11" applyFill="1" applyBorder="1"/>
    <xf numFmtId="194" fontId="36" fillId="0" borderId="0" xfId="11" applyAlignment="1">
      <alignment horizontal="left" vertical="center"/>
    </xf>
    <xf numFmtId="183" fontId="36" fillId="0" borderId="0" xfId="11" applyNumberFormat="1"/>
    <xf numFmtId="183" fontId="36" fillId="0" borderId="0" xfId="11" applyNumberFormat="1" applyAlignment="1">
      <alignment horizontal="center"/>
    </xf>
    <xf numFmtId="194" fontId="36" fillId="0" borderId="0" xfId="11" applyAlignment="1">
      <alignment horizontal="center"/>
    </xf>
    <xf numFmtId="184" fontId="36" fillId="0" borderId="1" xfId="11" applyNumberFormat="1" applyBorder="1"/>
    <xf numFmtId="194" fontId="36" fillId="23" borderId="0" xfId="11" applyFill="1"/>
    <xf numFmtId="0" fontId="36" fillId="0" borderId="0" xfId="11" applyNumberFormat="1"/>
    <xf numFmtId="0" fontId="22" fillId="0" borderId="0" xfId="14" applyFont="1" applyAlignment="1">
      <alignment vertical="top"/>
    </xf>
    <xf numFmtId="0" fontId="25" fillId="23" borderId="1" xfId="14" applyFont="1" applyFill="1" applyBorder="1" applyAlignment="1">
      <alignment vertical="top"/>
    </xf>
    <xf numFmtId="0" fontId="25" fillId="23" borderId="1" xfId="14" applyFont="1" applyFill="1" applyBorder="1" applyAlignment="1">
      <alignment horizontal="center" vertical="center"/>
    </xf>
    <xf numFmtId="0" fontId="24" fillId="0" borderId="1" xfId="14" applyFont="1" applyBorder="1" applyAlignment="1">
      <alignment vertical="top"/>
    </xf>
    <xf numFmtId="187" fontId="22" fillId="0" borderId="1" xfId="14" applyNumberFormat="1" applyFont="1" applyBorder="1" applyAlignment="1">
      <alignment horizontal="center" vertical="center"/>
    </xf>
    <xf numFmtId="0" fontId="22" fillId="0" borderId="1" xfId="14" applyFont="1" applyBorder="1" applyAlignment="1">
      <alignment vertical="top"/>
    </xf>
    <xf numFmtId="0" fontId="38" fillId="0" borderId="0" xfId="5" applyFont="1" applyAlignment="1">
      <alignment vertical="top"/>
    </xf>
    <xf numFmtId="0" fontId="38" fillId="23" borderId="1" xfId="5" applyFont="1" applyFill="1" applyBorder="1" applyAlignment="1">
      <alignment horizontal="center" vertical="center"/>
    </xf>
    <xf numFmtId="0" fontId="38" fillId="23" borderId="1" xfId="5" applyFont="1" applyFill="1" applyBorder="1" applyAlignment="1">
      <alignment horizontal="center" vertical="center" wrapText="1"/>
    </xf>
    <xf numFmtId="0" fontId="25" fillId="0" borderId="0" xfId="14" applyFont="1" applyAlignment="1">
      <alignment vertical="center"/>
    </xf>
    <xf numFmtId="0" fontId="24" fillId="6" borderId="69" xfId="5" applyFont="1" applyFill="1" applyBorder="1" applyAlignment="1">
      <alignment horizontal="center" vertical="top"/>
    </xf>
    <xf numFmtId="0" fontId="38" fillId="6" borderId="1" xfId="5" applyFont="1" applyFill="1" applyBorder="1" applyAlignment="1">
      <alignment vertical="top" wrapText="1"/>
    </xf>
    <xf numFmtId="2" fontId="24" fillId="0" borderId="1" xfId="5" applyNumberFormat="1" applyFont="1" applyBorder="1" applyAlignment="1">
      <alignment horizontal="center" vertical="center"/>
    </xf>
    <xf numFmtId="0" fontId="25" fillId="0" borderId="0" xfId="14" applyFont="1" applyAlignment="1">
      <alignment vertical="top"/>
    </xf>
    <xf numFmtId="0" fontId="0" fillId="0" borderId="49" xfId="0" applyBorder="1" applyAlignment="1">
      <alignment wrapText="1"/>
    </xf>
    <xf numFmtId="0" fontId="0" fillId="0" borderId="1" xfId="0" applyBorder="1" applyAlignment="1">
      <alignment horizontal="left" wrapText="1"/>
    </xf>
    <xf numFmtId="194" fontId="16" fillId="0" borderId="1" xfId="11" applyFont="1" applyBorder="1" applyAlignment="1">
      <alignment horizontal="left" vertical="center"/>
    </xf>
    <xf numFmtId="194" fontId="15" fillId="0" borderId="1" xfId="11" applyFont="1" applyBorder="1" applyAlignment="1">
      <alignment vertical="center" wrapText="1"/>
    </xf>
    <xf numFmtId="175" fontId="18" fillId="0" borderId="0" xfId="0" applyNumberFormat="1" applyFont="1" applyFill="1" applyBorder="1" applyAlignment="1">
      <alignment horizontal="right" vertical="center" wrapText="1"/>
    </xf>
    <xf numFmtId="0" fontId="0" fillId="0" borderId="0" xfId="0" applyFill="1"/>
    <xf numFmtId="0" fontId="0" fillId="0" borderId="1" xfId="0" applyFill="1" applyBorder="1" applyAlignment="1">
      <alignment wrapText="1"/>
    </xf>
    <xf numFmtId="175" fontId="0" fillId="0" borderId="1" xfId="0" applyNumberFormat="1" applyFont="1" applyFill="1" applyBorder="1"/>
    <xf numFmtId="175" fontId="18" fillId="35" borderId="0" xfId="0" applyNumberFormat="1" applyFont="1" applyFill="1" applyBorder="1" applyAlignment="1">
      <alignment horizontal="right" vertical="center" wrapText="1"/>
    </xf>
    <xf numFmtId="0" fontId="0" fillId="35" borderId="1" xfId="0" applyFill="1" applyBorder="1"/>
    <xf numFmtId="1" fontId="0" fillId="0" borderId="40" xfId="0" applyNumberFormat="1" applyFont="1" applyFill="1" applyBorder="1" applyAlignment="1">
      <alignment horizontal="center" vertical="center"/>
    </xf>
    <xf numFmtId="2" fontId="1" fillId="0" borderId="1" xfId="1" applyNumberFormat="1" applyFont="1" applyFill="1" applyBorder="1" applyAlignment="1">
      <alignment horizontal="center"/>
    </xf>
    <xf numFmtId="194" fontId="16" fillId="0" borderId="1" xfId="11" applyFont="1" applyFill="1" applyBorder="1" applyAlignment="1">
      <alignment horizontal="left" vertical="center" indent="1"/>
    </xf>
    <xf numFmtId="198" fontId="0" fillId="0" borderId="1" xfId="1" applyNumberFormat="1" applyFont="1" applyFill="1" applyBorder="1"/>
    <xf numFmtId="194" fontId="16" fillId="0" borderId="1" xfId="11" applyFont="1" applyFill="1" applyBorder="1" applyAlignment="1">
      <alignment horizontal="left" vertical="center"/>
    </xf>
    <xf numFmtId="194" fontId="16" fillId="0" borderId="1" xfId="11" applyFont="1" applyFill="1" applyBorder="1" applyAlignment="1">
      <alignment horizontal="left" vertical="center" wrapText="1"/>
    </xf>
    <xf numFmtId="194" fontId="15" fillId="0" borderId="1" xfId="11" applyFont="1" applyFill="1" applyBorder="1" applyAlignment="1">
      <alignment vertical="center" wrapText="1"/>
    </xf>
    <xf numFmtId="194" fontId="15" fillId="0" borderId="1" xfId="11" applyFont="1" applyFill="1" applyBorder="1" applyAlignment="1">
      <alignment horizontal="left" vertical="center"/>
    </xf>
    <xf numFmtId="194" fontId="15" fillId="0" borderId="1" xfId="11" applyFont="1" applyFill="1" applyBorder="1" applyAlignment="1">
      <alignment horizontal="left" vertical="center" wrapText="1"/>
    </xf>
    <xf numFmtId="0" fontId="1" fillId="0" borderId="1" xfId="0" applyFont="1" applyFill="1" applyBorder="1" applyAlignment="1">
      <alignment wrapText="1"/>
    </xf>
    <xf numFmtId="1" fontId="0" fillId="0" borderId="40" xfId="0" applyNumberFormat="1" applyFont="1" applyBorder="1"/>
    <xf numFmtId="1" fontId="18" fillId="0" borderId="39" xfId="0" applyNumberFormat="1" applyFont="1" applyFill="1" applyBorder="1" applyAlignment="1">
      <alignment horizontal="right" vertical="center" wrapText="1"/>
    </xf>
    <xf numFmtId="1" fontId="18" fillId="0" borderId="39" xfId="0" applyNumberFormat="1" applyFont="1" applyFill="1" applyBorder="1" applyAlignment="1">
      <alignment vertical="center" wrapText="1"/>
    </xf>
    <xf numFmtId="1" fontId="18" fillId="0" borderId="40" xfId="0" applyNumberFormat="1" applyFont="1" applyFill="1" applyBorder="1" applyAlignment="1">
      <alignment horizontal="right" vertical="center" wrapText="1"/>
    </xf>
    <xf numFmtId="1" fontId="17" fillId="22" borderId="40" xfId="0" applyNumberFormat="1" applyFont="1" applyFill="1" applyBorder="1" applyAlignment="1">
      <alignment horizontal="right" vertical="center" wrapText="1"/>
    </xf>
    <xf numFmtId="1" fontId="18" fillId="0" borderId="1" xfId="0" applyNumberFormat="1" applyFont="1" applyFill="1" applyBorder="1" applyAlignment="1">
      <alignment horizontal="right" vertical="center" wrapText="1"/>
    </xf>
    <xf numFmtId="1" fontId="18" fillId="0" borderId="1" xfId="0" applyNumberFormat="1" applyFont="1" applyFill="1" applyBorder="1" applyAlignment="1">
      <alignment vertical="center" wrapText="1"/>
    </xf>
    <xf numFmtId="199" fontId="18" fillId="0" borderId="1" xfId="0" applyNumberFormat="1" applyFont="1" applyFill="1" applyBorder="1" applyAlignment="1">
      <alignment vertical="center" wrapText="1"/>
    </xf>
    <xf numFmtId="1" fontId="17" fillId="22" borderId="1" xfId="0" applyNumberFormat="1" applyFont="1" applyFill="1" applyBorder="1" applyAlignment="1">
      <alignment horizontal="right" vertical="center" wrapText="1"/>
    </xf>
    <xf numFmtId="200" fontId="18" fillId="0" borderId="39" xfId="0" applyNumberFormat="1" applyFont="1" applyFill="1" applyBorder="1" applyAlignment="1">
      <alignment vertical="center" wrapText="1"/>
    </xf>
    <xf numFmtId="200" fontId="18" fillId="0" borderId="1" xfId="0" applyNumberFormat="1" applyFont="1" applyFill="1" applyBorder="1" applyAlignment="1">
      <alignment vertical="center" wrapText="1"/>
    </xf>
    <xf numFmtId="43" fontId="16" fillId="0" borderId="1" xfId="11" applyNumberFormat="1" applyFont="1" applyFill="1" applyBorder="1" applyAlignment="1">
      <alignment horizontal="left" vertical="center" indent="1"/>
    </xf>
    <xf numFmtId="176" fontId="0" fillId="0" borderId="39" xfId="0" applyNumberFormat="1" applyFont="1" applyBorder="1" applyAlignment="1">
      <alignment horizontal="right"/>
    </xf>
    <xf numFmtId="176" fontId="0" fillId="0" borderId="41" xfId="0" applyNumberFormat="1" applyFont="1" applyBorder="1" applyAlignment="1">
      <alignment horizontal="right"/>
    </xf>
    <xf numFmtId="176" fontId="0" fillId="0" borderId="39" xfId="0" applyNumberFormat="1" applyBorder="1"/>
    <xf numFmtId="176" fontId="19" fillId="0" borderId="39" xfId="4" applyNumberFormat="1" applyBorder="1"/>
    <xf numFmtId="176" fontId="0" fillId="0" borderId="41" xfId="0" applyNumberFormat="1" applyBorder="1"/>
    <xf numFmtId="0" fontId="1" fillId="0" borderId="0" xfId="0" applyFont="1" applyFill="1" applyBorder="1" applyAlignment="1">
      <alignment horizontal="right"/>
    </xf>
    <xf numFmtId="194" fontId="48" fillId="12" borderId="0" xfId="11" applyFont="1" applyFill="1"/>
    <xf numFmtId="194" fontId="48" fillId="0" borderId="0" xfId="11" applyFont="1" applyFill="1"/>
    <xf numFmtId="194" fontId="36" fillId="0" borderId="0" xfId="11" applyFill="1"/>
    <xf numFmtId="194" fontId="36" fillId="0" borderId="0" xfId="11" applyFont="1" applyFill="1" applyBorder="1" applyAlignment="1">
      <alignment vertical="center"/>
    </xf>
    <xf numFmtId="0" fontId="48" fillId="25" borderId="1" xfId="11" applyNumberFormat="1" applyFont="1" applyFill="1" applyBorder="1" applyAlignment="1">
      <alignment horizontal="center" vertical="center" wrapText="1"/>
    </xf>
    <xf numFmtId="194" fontId="48" fillId="0" borderId="0" xfId="11" applyFont="1" applyAlignment="1">
      <alignment wrapText="1"/>
    </xf>
    <xf numFmtId="194" fontId="48" fillId="25" borderId="42" xfId="11" applyFont="1" applyFill="1" applyBorder="1" applyAlignment="1">
      <alignment vertical="center"/>
    </xf>
    <xf numFmtId="194" fontId="36" fillId="25" borderId="48" xfId="11" applyFont="1" applyFill="1" applyBorder="1" applyAlignment="1">
      <alignment vertical="center"/>
    </xf>
    <xf numFmtId="194" fontId="36" fillId="25" borderId="44" xfId="11" applyFont="1" applyFill="1" applyBorder="1" applyAlignment="1">
      <alignment vertical="center"/>
    </xf>
    <xf numFmtId="169" fontId="0" fillId="6" borderId="0" xfId="15" applyNumberFormat="1" applyFont="1" applyFill="1" applyBorder="1" applyAlignment="1">
      <alignment vertical="center"/>
    </xf>
    <xf numFmtId="9" fontId="0" fillId="0" borderId="0" xfId="12" applyFont="1"/>
    <xf numFmtId="1" fontId="36" fillId="0" borderId="0" xfId="11" applyNumberFormat="1" applyAlignment="1">
      <alignment vertical="center"/>
    </xf>
    <xf numFmtId="0" fontId="36" fillId="10" borderId="45" xfId="11" applyNumberFormat="1" applyFont="1" applyFill="1" applyBorder="1" applyAlignment="1">
      <alignment vertical="center"/>
    </xf>
    <xf numFmtId="169" fontId="0" fillId="6" borderId="19" xfId="15" applyNumberFormat="1" applyFont="1" applyFill="1" applyBorder="1" applyAlignment="1">
      <alignment vertical="center"/>
    </xf>
    <xf numFmtId="169" fontId="0" fillId="6" borderId="59" xfId="15" applyNumberFormat="1" applyFont="1" applyFill="1" applyBorder="1" applyAlignment="1">
      <alignment vertical="center"/>
    </xf>
    <xf numFmtId="194" fontId="36" fillId="0" borderId="0" xfId="11" applyBorder="1"/>
    <xf numFmtId="194" fontId="36" fillId="0" borderId="0" xfId="11" applyBorder="1" applyAlignment="1">
      <alignment horizontal="center"/>
    </xf>
    <xf numFmtId="0" fontId="48" fillId="24" borderId="1" xfId="13" applyFont="1" applyFill="1" applyBorder="1" applyAlignment="1">
      <alignment vertical="center"/>
    </xf>
    <xf numFmtId="194" fontId="48" fillId="0" borderId="0" xfId="11" applyFont="1" applyBorder="1" applyAlignment="1">
      <alignment horizontal="center" wrapText="1"/>
    </xf>
    <xf numFmtId="194" fontId="48" fillId="0" borderId="0" xfId="11" applyFont="1" applyAlignment="1">
      <alignment horizontal="center" wrapText="1"/>
    </xf>
    <xf numFmtId="194" fontId="48" fillId="25" borderId="42" xfId="11" applyFont="1" applyFill="1" applyBorder="1" applyAlignment="1">
      <alignment horizontal="left" vertical="center"/>
    </xf>
    <xf numFmtId="194" fontId="36" fillId="25" borderId="44" xfId="11" applyFill="1" applyBorder="1" applyAlignment="1">
      <alignment horizontal="left" vertical="center"/>
    </xf>
    <xf numFmtId="194" fontId="36" fillId="0" borderId="0" xfId="11" applyNumberFormat="1" applyAlignment="1">
      <alignment vertical="center"/>
    </xf>
    <xf numFmtId="194" fontId="36" fillId="0" borderId="0" xfId="11" applyFont="1" applyBorder="1" applyAlignment="1">
      <alignment wrapText="1"/>
    </xf>
    <xf numFmtId="194" fontId="36" fillId="0" borderId="0" xfId="11" applyFont="1" applyBorder="1" applyAlignment="1">
      <alignment horizontal="center" wrapText="1"/>
    </xf>
    <xf numFmtId="194" fontId="36" fillId="0" borderId="0" xfId="11" applyFont="1" applyAlignment="1">
      <alignment wrapText="1"/>
    </xf>
    <xf numFmtId="194" fontId="36" fillId="10" borderId="45" xfId="11" applyFill="1" applyBorder="1" applyAlignment="1">
      <alignment vertical="center"/>
    </xf>
    <xf numFmtId="194" fontId="36" fillId="6" borderId="59" xfId="11" applyFill="1" applyBorder="1" applyAlignment="1">
      <alignment vertical="center"/>
    </xf>
    <xf numFmtId="1" fontId="0" fillId="0" borderId="0" xfId="12" applyNumberFormat="1" applyFont="1" applyAlignment="1">
      <alignment vertical="center"/>
    </xf>
    <xf numFmtId="169" fontId="0" fillId="6" borderId="0" xfId="15" applyNumberFormat="1" applyFont="1" applyFill="1" applyBorder="1" applyAlignment="1">
      <alignment vertical="center" wrapText="1"/>
    </xf>
    <xf numFmtId="194" fontId="36" fillId="0" borderId="0" xfId="11" applyBorder="1" applyAlignment="1">
      <alignment vertical="center"/>
    </xf>
    <xf numFmtId="194" fontId="36" fillId="0" borderId="0" xfId="11" applyFill="1" applyBorder="1"/>
    <xf numFmtId="0" fontId="36" fillId="10" borderId="75" xfId="11" applyNumberFormat="1" applyFont="1" applyFill="1" applyBorder="1" applyAlignment="1">
      <alignment vertical="center"/>
    </xf>
    <xf numFmtId="169" fontId="0" fillId="6" borderId="76" xfId="15" applyNumberFormat="1" applyFont="1" applyFill="1" applyBorder="1" applyAlignment="1">
      <alignment vertical="center"/>
    </xf>
    <xf numFmtId="169" fontId="0" fillId="6" borderId="77" xfId="15" applyNumberFormat="1" applyFont="1" applyFill="1" applyBorder="1" applyAlignment="1">
      <alignment vertical="center" wrapText="1"/>
    </xf>
    <xf numFmtId="169" fontId="0" fillId="0" borderId="0" xfId="15" applyNumberFormat="1" applyFont="1" applyBorder="1"/>
    <xf numFmtId="194" fontId="36" fillId="0" borderId="0" xfId="11" applyAlignment="1">
      <alignment wrapText="1"/>
    </xf>
    <xf numFmtId="169" fontId="0" fillId="0" borderId="19" xfId="15" applyNumberFormat="1" applyFont="1" applyBorder="1"/>
    <xf numFmtId="169" fontId="0" fillId="0" borderId="59" xfId="15" applyNumberFormat="1" applyFont="1" applyBorder="1"/>
    <xf numFmtId="194" fontId="36" fillId="0" borderId="0" xfId="11" applyAlignment="1">
      <alignment horizontal="center" wrapText="1"/>
    </xf>
    <xf numFmtId="194" fontId="48" fillId="10" borderId="46" xfId="11" applyFont="1" applyFill="1" applyBorder="1" applyAlignment="1">
      <alignment vertical="center"/>
    </xf>
    <xf numFmtId="194" fontId="48" fillId="6" borderId="47" xfId="11" applyFont="1" applyFill="1" applyBorder="1" applyAlignment="1">
      <alignment vertical="center"/>
    </xf>
    <xf numFmtId="194" fontId="36" fillId="0" borderId="0" xfId="11" applyAlignment="1">
      <alignment vertical="center"/>
    </xf>
    <xf numFmtId="194" fontId="48" fillId="25" borderId="42" xfId="11" applyFont="1" applyFill="1" applyBorder="1" applyAlignment="1">
      <alignment horizontal="left" vertical="center" wrapText="1"/>
    </xf>
    <xf numFmtId="194" fontId="36" fillId="25" borderId="43" xfId="11" applyFill="1" applyBorder="1" applyAlignment="1">
      <alignment horizontal="left" vertical="center"/>
    </xf>
    <xf numFmtId="0" fontId="36" fillId="10" borderId="45" xfId="11" applyNumberFormat="1" applyFont="1" applyFill="1" applyBorder="1" applyAlignment="1">
      <alignment vertical="center" wrapText="1"/>
    </xf>
    <xf numFmtId="173" fontId="0" fillId="6" borderId="0" xfId="12" applyNumberFormat="1" applyFont="1" applyFill="1" applyBorder="1" applyAlignment="1">
      <alignment vertical="center"/>
    </xf>
    <xf numFmtId="185" fontId="36" fillId="6" borderId="0" xfId="11" applyNumberFormat="1" applyFill="1" applyBorder="1" applyAlignment="1">
      <alignment vertical="center"/>
    </xf>
    <xf numFmtId="173" fontId="0" fillId="6" borderId="19" xfId="12" applyNumberFormat="1" applyFont="1" applyFill="1" applyBorder="1" applyAlignment="1">
      <alignment vertical="center"/>
    </xf>
    <xf numFmtId="173" fontId="0" fillId="6" borderId="59" xfId="12" applyNumberFormat="1" applyFont="1" applyFill="1" applyBorder="1" applyAlignment="1">
      <alignment vertical="center"/>
    </xf>
    <xf numFmtId="0" fontId="36" fillId="10" borderId="46" xfId="11" applyNumberFormat="1" applyFont="1" applyFill="1" applyBorder="1" applyAlignment="1">
      <alignment vertical="center" wrapText="1"/>
    </xf>
    <xf numFmtId="173" fontId="0" fillId="6" borderId="49" xfId="12" applyNumberFormat="1" applyFont="1" applyFill="1" applyBorder="1" applyAlignment="1">
      <alignment vertical="center"/>
    </xf>
    <xf numFmtId="173" fontId="0" fillId="6" borderId="47" xfId="12" applyNumberFormat="1" applyFont="1" applyFill="1" applyBorder="1" applyAlignment="1">
      <alignment vertical="center"/>
    </xf>
    <xf numFmtId="0" fontId="48" fillId="0" borderId="0" xfId="11" applyNumberFormat="1" applyFont="1" applyFill="1" applyBorder="1" applyAlignment="1">
      <alignment vertical="center" wrapText="1"/>
    </xf>
    <xf numFmtId="194" fontId="36" fillId="10" borderId="42" xfId="11" applyFill="1" applyBorder="1"/>
    <xf numFmtId="194" fontId="36" fillId="0" borderId="44" xfId="11" applyFill="1" applyBorder="1"/>
    <xf numFmtId="194" fontId="36" fillId="10" borderId="45" xfId="11" applyFill="1" applyBorder="1"/>
    <xf numFmtId="194" fontId="36" fillId="0" borderId="59" xfId="11" applyFill="1" applyBorder="1"/>
    <xf numFmtId="194" fontId="36" fillId="10" borderId="75" xfId="11" applyFill="1" applyBorder="1"/>
    <xf numFmtId="194" fontId="36" fillId="0" borderId="77" xfId="11" applyFill="1" applyBorder="1"/>
    <xf numFmtId="194" fontId="36" fillId="0" borderId="78" xfId="11" applyFill="1" applyBorder="1"/>
    <xf numFmtId="194" fontId="36" fillId="0" borderId="59" xfId="11" applyNumberFormat="1" applyFill="1" applyBorder="1"/>
    <xf numFmtId="185" fontId="36" fillId="6" borderId="2" xfId="11" applyNumberFormat="1" applyFill="1" applyBorder="1" applyAlignment="1">
      <alignment vertical="center"/>
    </xf>
    <xf numFmtId="194" fontId="48" fillId="6" borderId="47" xfId="11" applyNumberFormat="1" applyFont="1" applyFill="1" applyBorder="1" applyAlignment="1">
      <alignment vertical="center"/>
    </xf>
    <xf numFmtId="194" fontId="36" fillId="10" borderId="46" xfId="11" applyFill="1" applyBorder="1"/>
    <xf numFmtId="194" fontId="36" fillId="0" borderId="47" xfId="11" applyFill="1" applyBorder="1"/>
    <xf numFmtId="181" fontId="36" fillId="0" borderId="0" xfId="11" applyNumberFormat="1" applyFill="1"/>
    <xf numFmtId="194" fontId="36" fillId="0" borderId="0" xfId="11" applyFill="1" applyAlignment="1">
      <alignment horizontal="center"/>
    </xf>
    <xf numFmtId="194" fontId="63" fillId="33" borderId="0" xfId="11" applyFont="1" applyFill="1"/>
    <xf numFmtId="194" fontId="63" fillId="34" borderId="0" xfId="11" applyFont="1" applyFill="1" applyAlignment="1">
      <alignment horizontal="center" vertical="center"/>
    </xf>
    <xf numFmtId="194" fontId="63" fillId="34" borderId="0" xfId="11" applyFont="1" applyFill="1"/>
    <xf numFmtId="194" fontId="64" fillId="12" borderId="0" xfId="11" applyFont="1" applyFill="1"/>
    <xf numFmtId="185" fontId="63" fillId="0" borderId="0" xfId="11" applyNumberFormat="1" applyFont="1"/>
    <xf numFmtId="194" fontId="64" fillId="0" borderId="0" xfId="11" applyFont="1"/>
    <xf numFmtId="194" fontId="63" fillId="0" borderId="0" xfId="11" applyFont="1"/>
    <xf numFmtId="194" fontId="48" fillId="12" borderId="48" xfId="11" applyFont="1" applyFill="1" applyBorder="1"/>
    <xf numFmtId="194" fontId="48" fillId="12" borderId="72" xfId="11" applyFont="1" applyFill="1" applyBorder="1"/>
    <xf numFmtId="185" fontId="64" fillId="12" borderId="73" xfId="11" applyNumberFormat="1" applyFont="1" applyFill="1" applyBorder="1"/>
    <xf numFmtId="185" fontId="48" fillId="12" borderId="73" xfId="11" applyNumberFormat="1" applyFont="1" applyFill="1" applyBorder="1"/>
    <xf numFmtId="1" fontId="0" fillId="0" borderId="1" xfId="0" applyNumberFormat="1" applyBorder="1" applyAlignment="1">
      <alignment horizontal="center" vertical="center"/>
    </xf>
    <xf numFmtId="0" fontId="4" fillId="2" borderId="2" xfId="0" applyFont="1" applyFill="1" applyBorder="1" applyAlignment="1">
      <alignment horizontal="center"/>
    </xf>
    <xf numFmtId="0" fontId="4" fillId="2" borderId="39" xfId="0" applyFont="1" applyFill="1" applyBorder="1" applyAlignment="1">
      <alignment horizontal="center"/>
    </xf>
    <xf numFmtId="0" fontId="1" fillId="0" borderId="40" xfId="0" applyFont="1" applyBorder="1" applyAlignment="1">
      <alignment horizontal="left"/>
    </xf>
    <xf numFmtId="0" fontId="1" fillId="0" borderId="39" xfId="0" applyFont="1" applyBorder="1" applyAlignment="1">
      <alignment horizontal="left"/>
    </xf>
    <xf numFmtId="0" fontId="1" fillId="0" borderId="41" xfId="0" applyFont="1" applyBorder="1" applyAlignment="1">
      <alignment horizontal="left"/>
    </xf>
    <xf numFmtId="0" fontId="30" fillId="0" borderId="0" xfId="0" applyFont="1" applyAlignment="1">
      <alignment horizontal="center" vertical="top"/>
    </xf>
    <xf numFmtId="0" fontId="22" fillId="0" borderId="0" xfId="0" applyFont="1" applyBorder="1" applyAlignment="1">
      <alignment horizontal="center" vertical="top"/>
    </xf>
    <xf numFmtId="17" fontId="25" fillId="0" borderId="40" xfId="0" applyNumberFormat="1" applyFont="1" applyBorder="1" applyAlignment="1">
      <alignment horizontal="center" vertical="center" wrapText="1"/>
    </xf>
    <xf numFmtId="17" fontId="25" fillId="0" borderId="41" xfId="0" applyNumberFormat="1" applyFont="1" applyBorder="1" applyAlignment="1">
      <alignment horizontal="center" vertical="center" wrapText="1"/>
    </xf>
    <xf numFmtId="1" fontId="22" fillId="0" borderId="40" xfId="0" applyNumberFormat="1" applyFont="1" applyBorder="1" applyAlignment="1">
      <alignment horizontal="center" vertical="center"/>
    </xf>
    <xf numFmtId="1" fontId="22" fillId="0" borderId="41" xfId="0" applyNumberFormat="1" applyFont="1" applyBorder="1" applyAlignment="1">
      <alignment horizontal="center" vertical="center"/>
    </xf>
    <xf numFmtId="0" fontId="27" fillId="0" borderId="2" xfId="0" applyFont="1" applyBorder="1" applyAlignment="1">
      <alignment horizontal="left" vertical="top"/>
    </xf>
    <xf numFmtId="1" fontId="25" fillId="0" borderId="40" xfId="0" applyNumberFormat="1" applyFont="1" applyBorder="1" applyAlignment="1">
      <alignment horizontal="center" vertical="center"/>
    </xf>
    <xf numFmtId="1" fontId="25" fillId="0" borderId="41" xfId="0" applyNumberFormat="1" applyFont="1" applyBorder="1" applyAlignment="1">
      <alignment horizontal="center" vertical="center"/>
    </xf>
    <xf numFmtId="0" fontId="23" fillId="0" borderId="2" xfId="0" applyFont="1" applyBorder="1" applyAlignment="1">
      <alignment horizontal="center" vertical="center"/>
    </xf>
    <xf numFmtId="0" fontId="25" fillId="0" borderId="2" xfId="0" applyFont="1" applyBorder="1" applyAlignment="1">
      <alignment horizontal="center" vertical="center"/>
    </xf>
    <xf numFmtId="0" fontId="23" fillId="0" borderId="2" xfId="0" applyFont="1" applyBorder="1" applyAlignment="1">
      <alignment horizontal="left" vertical="center"/>
    </xf>
    <xf numFmtId="0" fontId="1" fillId="17" borderId="52" xfId="0" applyFont="1" applyFill="1" applyBorder="1" applyAlignment="1">
      <alignment horizontal="center"/>
    </xf>
    <xf numFmtId="0" fontId="1" fillId="17" borderId="51" xfId="0" applyFont="1" applyFill="1" applyBorder="1" applyAlignment="1">
      <alignment horizontal="center"/>
    </xf>
    <xf numFmtId="0" fontId="1" fillId="17" borderId="50" xfId="0" applyFont="1" applyFill="1" applyBorder="1" applyAlignment="1">
      <alignment horizontal="center"/>
    </xf>
    <xf numFmtId="0" fontId="1" fillId="0" borderId="40" xfId="0" applyFont="1" applyBorder="1" applyAlignment="1">
      <alignment horizontal="center"/>
    </xf>
    <xf numFmtId="0" fontId="1" fillId="0" borderId="41" xfId="0" applyFont="1" applyBorder="1" applyAlignment="1">
      <alignment horizontal="center"/>
    </xf>
    <xf numFmtId="0" fontId="1" fillId="0" borderId="42" xfId="0" applyFont="1" applyBorder="1" applyAlignment="1">
      <alignment horizontal="left"/>
    </xf>
    <xf numFmtId="0" fontId="1" fillId="0" borderId="43" xfId="0" applyFont="1" applyBorder="1" applyAlignment="1">
      <alignment horizontal="left"/>
    </xf>
    <xf numFmtId="0" fontId="33" fillId="6" borderId="40" xfId="0" applyFont="1" applyFill="1" applyBorder="1" applyAlignment="1">
      <alignment horizontal="left" vertical="top"/>
    </xf>
    <xf numFmtId="0" fontId="33" fillId="6" borderId="39" xfId="0" applyFont="1" applyFill="1" applyBorder="1" applyAlignment="1">
      <alignment horizontal="left" vertical="top"/>
    </xf>
    <xf numFmtId="0" fontId="33" fillId="6" borderId="41" xfId="0" applyFont="1" applyFill="1" applyBorder="1" applyAlignment="1">
      <alignment horizontal="left" vertical="top"/>
    </xf>
    <xf numFmtId="0" fontId="32" fillId="6" borderId="40" xfId="0" applyFont="1" applyFill="1" applyBorder="1" applyAlignment="1">
      <alignment horizontal="left" vertical="top"/>
    </xf>
    <xf numFmtId="0" fontId="32" fillId="6" borderId="39" xfId="0" applyFont="1" applyFill="1" applyBorder="1" applyAlignment="1">
      <alignment horizontal="left" vertical="top"/>
    </xf>
    <xf numFmtId="0" fontId="32" fillId="6" borderId="41" xfId="0" applyFont="1" applyFill="1" applyBorder="1" applyAlignment="1">
      <alignment horizontal="left" vertical="top"/>
    </xf>
    <xf numFmtId="0" fontId="9" fillId="6" borderId="1" xfId="0" applyFont="1" applyFill="1" applyBorder="1" applyAlignment="1">
      <alignment horizontal="left" vertical="top"/>
    </xf>
    <xf numFmtId="0" fontId="33" fillId="6" borderId="1" xfId="0" applyFont="1" applyFill="1" applyBorder="1" applyAlignment="1">
      <alignment horizontal="left" vertical="top"/>
    </xf>
    <xf numFmtId="0" fontId="33" fillId="6" borderId="1" xfId="0" applyFont="1" applyFill="1" applyBorder="1" applyAlignment="1">
      <alignment horizontal="left" vertical="center" wrapText="1"/>
    </xf>
    <xf numFmtId="0" fontId="9" fillId="0" borderId="1" xfId="0" applyFont="1" applyFill="1" applyBorder="1" applyAlignment="1">
      <alignment horizontal="left" vertical="top"/>
    </xf>
    <xf numFmtId="0" fontId="33" fillId="0" borderId="40" xfId="0" applyFont="1" applyFill="1" applyBorder="1" applyAlignment="1">
      <alignment horizontal="left" vertical="top"/>
    </xf>
    <xf numFmtId="0" fontId="33" fillId="0" borderId="39" xfId="0" applyFont="1" applyFill="1" applyBorder="1" applyAlignment="1">
      <alignment horizontal="left" vertical="top"/>
    </xf>
    <xf numFmtId="0" fontId="33" fillId="0" borderId="41" xfId="0" applyFont="1" applyFill="1" applyBorder="1" applyAlignment="1">
      <alignment horizontal="left" vertical="top"/>
    </xf>
    <xf numFmtId="0" fontId="1" fillId="17" borderId="58" xfId="0" applyFont="1" applyFill="1" applyBorder="1" applyAlignment="1">
      <alignment horizontal="center"/>
    </xf>
    <xf numFmtId="0" fontId="1" fillId="17" borderId="57" xfId="0" applyFont="1" applyFill="1" applyBorder="1" applyAlignment="1">
      <alignment horizontal="center"/>
    </xf>
    <xf numFmtId="0" fontId="1" fillId="17" borderId="56"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xf>
    <xf numFmtId="0" fontId="25" fillId="0" borderId="40" xfId="0" applyFont="1" applyFill="1" applyBorder="1" applyAlignment="1">
      <alignment horizontal="left" vertical="top"/>
    </xf>
    <xf numFmtId="0" fontId="25" fillId="0" borderId="41" xfId="0" applyFont="1" applyFill="1" applyBorder="1" applyAlignment="1">
      <alignment horizontal="left" vertical="top"/>
    </xf>
    <xf numFmtId="173" fontId="0" fillId="10" borderId="59" xfId="12" applyNumberFormat="1" applyFont="1" applyFill="1" applyBorder="1" applyAlignment="1">
      <alignment horizontal="center" vertical="center"/>
    </xf>
    <xf numFmtId="173" fontId="0" fillId="10" borderId="47" xfId="12" applyNumberFormat="1" applyFont="1" applyFill="1" applyBorder="1" applyAlignment="1">
      <alignment horizontal="center" vertical="center"/>
    </xf>
    <xf numFmtId="1" fontId="0" fillId="10" borderId="19" xfId="12" applyNumberFormat="1" applyFont="1" applyFill="1" applyBorder="1" applyAlignment="1">
      <alignment horizontal="center" vertical="center"/>
    </xf>
    <xf numFmtId="1" fontId="0" fillId="10" borderId="49" xfId="12" applyNumberFormat="1" applyFont="1" applyFill="1" applyBorder="1" applyAlignment="1">
      <alignment horizontal="center" vertical="center"/>
    </xf>
    <xf numFmtId="194" fontId="61" fillId="26" borderId="0" xfId="11" applyFont="1" applyFill="1" applyAlignment="1">
      <alignment horizontal="left" vertical="center"/>
    </xf>
    <xf numFmtId="184" fontId="61" fillId="37" borderId="45" xfId="11" applyNumberFormat="1" applyFont="1" applyFill="1" applyBorder="1" applyAlignment="1">
      <alignment horizontal="center" vertical="center" wrapText="1"/>
    </xf>
    <xf numFmtId="184" fontId="61" fillId="37" borderId="0" xfId="11" applyNumberFormat="1" applyFont="1" applyFill="1" applyAlignment="1">
      <alignment horizontal="center" vertical="center" wrapText="1"/>
    </xf>
    <xf numFmtId="0" fontId="60" fillId="36" borderId="0" xfId="13" applyFont="1" applyFill="1" applyAlignment="1">
      <alignment horizontal="left" vertical="center"/>
    </xf>
    <xf numFmtId="0" fontId="48" fillId="25" borderId="40" xfId="11" applyNumberFormat="1" applyFont="1" applyFill="1" applyBorder="1" applyAlignment="1">
      <alignment horizontal="center" vertical="center" wrapText="1"/>
    </xf>
    <xf numFmtId="0" fontId="48" fillId="25" borderId="39" xfId="11" applyNumberFormat="1" applyFont="1" applyFill="1" applyBorder="1" applyAlignment="1">
      <alignment horizontal="center" vertical="center" wrapText="1"/>
    </xf>
    <xf numFmtId="0" fontId="48" fillId="25" borderId="41" xfId="11" applyNumberFormat="1" applyFont="1" applyFill="1" applyBorder="1" applyAlignment="1">
      <alignment horizontal="center" vertical="center" wrapText="1"/>
    </xf>
    <xf numFmtId="0" fontId="61" fillId="26" borderId="0" xfId="13" applyFont="1" applyFill="1" applyAlignment="1">
      <alignment horizontal="left" vertical="center"/>
    </xf>
    <xf numFmtId="201" fontId="62" fillId="10" borderId="42" xfId="11" applyNumberFormat="1" applyFont="1" applyFill="1" applyBorder="1" applyAlignment="1">
      <alignment horizontal="center" vertical="center"/>
    </xf>
    <xf numFmtId="201" fontId="62" fillId="10" borderId="46" xfId="11" applyNumberFormat="1" applyFont="1" applyFill="1" applyBorder="1" applyAlignment="1">
      <alignment horizontal="center" vertical="center"/>
    </xf>
    <xf numFmtId="1" fontId="1" fillId="10" borderId="43" xfId="15" applyNumberFormat="1" applyFont="1" applyFill="1" applyBorder="1" applyAlignment="1">
      <alignment horizontal="center" vertical="center"/>
    </xf>
    <xf numFmtId="1" fontId="1" fillId="10" borderId="2" xfId="15" applyNumberFormat="1" applyFont="1" applyFill="1" applyBorder="1" applyAlignment="1">
      <alignment horizontal="center" vertical="center"/>
    </xf>
    <xf numFmtId="1" fontId="1" fillId="10" borderId="44" xfId="15" applyNumberFormat="1" applyFont="1" applyFill="1" applyBorder="1" applyAlignment="1">
      <alignment horizontal="center" vertical="center"/>
    </xf>
    <xf numFmtId="1" fontId="1" fillId="10" borderId="47" xfId="15" applyNumberFormat="1" applyFont="1" applyFill="1" applyBorder="1" applyAlignment="1">
      <alignment horizontal="center" vertical="center"/>
    </xf>
    <xf numFmtId="0" fontId="23" fillId="0" borderId="2" xfId="14" applyFont="1" applyBorder="1" applyAlignment="1">
      <alignment horizontal="left" vertical="center"/>
    </xf>
    <xf numFmtId="0" fontId="25" fillId="0" borderId="2" xfId="14" applyFont="1" applyBorder="1" applyAlignment="1">
      <alignment horizontal="left" vertical="center"/>
    </xf>
    <xf numFmtId="0" fontId="59" fillId="0" borderId="2" xfId="5" applyFont="1" applyBorder="1" applyAlignment="1">
      <alignment horizontal="left" vertical="center"/>
    </xf>
    <xf numFmtId="194" fontId="47" fillId="0" borderId="0" xfId="11" applyFont="1" applyAlignment="1">
      <alignment horizontal="center"/>
    </xf>
    <xf numFmtId="172" fontId="16" fillId="0" borderId="40" xfId="0" applyNumberFormat="1" applyFont="1" applyFill="1" applyBorder="1" applyAlignment="1">
      <alignment horizontal="center" vertical="center"/>
    </xf>
    <xf numFmtId="172" fontId="16" fillId="0" borderId="39" xfId="0" applyNumberFormat="1" applyFont="1" applyFill="1" applyBorder="1" applyAlignment="1">
      <alignment horizontal="center" vertical="center"/>
    </xf>
    <xf numFmtId="172" fontId="16" fillId="0" borderId="41" xfId="0" applyNumberFormat="1" applyFont="1" applyFill="1" applyBorder="1" applyAlignment="1">
      <alignment horizontal="center" vertical="center"/>
    </xf>
    <xf numFmtId="0" fontId="1" fillId="21" borderId="40" xfId="0" applyFont="1" applyFill="1" applyBorder="1" applyAlignment="1">
      <alignment horizontal="left" indent="5"/>
    </xf>
    <xf numFmtId="0" fontId="1" fillId="21" borderId="41" xfId="0" applyFont="1" applyFill="1" applyBorder="1" applyAlignment="1">
      <alignment horizontal="left" indent="5"/>
    </xf>
    <xf numFmtId="0" fontId="16" fillId="9" borderId="1" xfId="0" applyFont="1" applyFill="1" applyBorder="1" applyAlignment="1">
      <alignment horizontal="center" vertical="center"/>
    </xf>
    <xf numFmtId="0" fontId="16" fillId="0" borderId="1" xfId="0" applyFont="1" applyFill="1" applyBorder="1" applyAlignment="1">
      <alignment horizontal="center" vertical="center"/>
    </xf>
    <xf numFmtId="0" fontId="15" fillId="8" borderId="1" xfId="0" applyFont="1" applyFill="1" applyBorder="1" applyAlignment="1">
      <alignment horizontal="left" vertical="center"/>
    </xf>
    <xf numFmtId="0" fontId="1" fillId="0" borderId="1" xfId="0" applyFont="1" applyBorder="1" applyAlignment="1">
      <alignment horizontal="right"/>
    </xf>
    <xf numFmtId="0" fontId="39" fillId="13" borderId="42" xfId="0" applyFont="1" applyFill="1" applyBorder="1" applyAlignment="1">
      <alignment horizontal="left" vertical="center"/>
    </xf>
    <xf numFmtId="0" fontId="39" fillId="13" borderId="43" xfId="0" applyFont="1" applyFill="1" applyBorder="1" applyAlignment="1">
      <alignment horizontal="left" vertical="center"/>
    </xf>
    <xf numFmtId="0" fontId="39" fillId="13" borderId="44" xfId="0" applyFont="1" applyFill="1" applyBorder="1" applyAlignment="1">
      <alignment horizontal="left" vertical="center"/>
    </xf>
    <xf numFmtId="0" fontId="39" fillId="13" borderId="46" xfId="0" applyFont="1" applyFill="1" applyBorder="1" applyAlignment="1">
      <alignment horizontal="left" vertical="center"/>
    </xf>
    <xf numFmtId="0" fontId="39" fillId="13" borderId="2" xfId="0" applyFont="1" applyFill="1" applyBorder="1" applyAlignment="1">
      <alignment horizontal="left" vertical="center"/>
    </xf>
    <xf numFmtId="0" fontId="39" fillId="13" borderId="47" xfId="0" applyFont="1" applyFill="1" applyBorder="1" applyAlignment="1">
      <alignment horizontal="left" vertical="center"/>
    </xf>
    <xf numFmtId="0" fontId="38" fillId="0" borderId="1" xfId="0" applyFont="1" applyBorder="1" applyAlignment="1">
      <alignment horizontal="center" vertical="center"/>
    </xf>
    <xf numFmtId="0" fontId="38" fillId="0" borderId="40" xfId="0" applyFont="1" applyBorder="1" applyAlignment="1">
      <alignment horizontal="center" vertical="center"/>
    </xf>
    <xf numFmtId="0" fontId="1" fillId="0" borderId="40" xfId="0" applyFont="1" applyBorder="1" applyAlignment="1">
      <alignment horizontal="right"/>
    </xf>
    <xf numFmtId="0" fontId="1" fillId="0" borderId="41" xfId="0" applyFont="1" applyBorder="1" applyAlignment="1">
      <alignment horizontal="right"/>
    </xf>
    <xf numFmtId="0" fontId="15" fillId="0" borderId="40" xfId="0" applyFont="1" applyBorder="1" applyAlignment="1">
      <alignment horizontal="center"/>
    </xf>
    <xf numFmtId="0" fontId="15" fillId="0" borderId="39" xfId="0" applyFont="1" applyBorder="1" applyAlignment="1">
      <alignment horizont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6" fillId="0" borderId="11" xfId="0" applyFont="1" applyBorder="1" applyAlignment="1">
      <alignment horizontal="center" vertical="center"/>
    </xf>
    <xf numFmtId="0" fontId="6" fillId="0" borderId="18"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25" xfId="0" applyFont="1" applyBorder="1" applyAlignment="1">
      <alignment horizontal="justify" vertical="center"/>
    </xf>
    <xf numFmtId="0" fontId="6" fillId="0" borderId="14" xfId="0" applyFont="1" applyBorder="1" applyAlignment="1">
      <alignment horizontal="justify" vertical="center"/>
    </xf>
    <xf numFmtId="0" fontId="6" fillId="0" borderId="18" xfId="0" applyFont="1" applyBorder="1" applyAlignment="1">
      <alignment horizontal="justify" vertical="center"/>
    </xf>
    <xf numFmtId="0" fontId="0" fillId="0" borderId="1" xfId="0" applyBorder="1" applyAlignment="1">
      <alignment horizontal="center"/>
    </xf>
    <xf numFmtId="0" fontId="20" fillId="0" borderId="40" xfId="0" applyFont="1" applyFill="1" applyBorder="1" applyAlignment="1">
      <alignment horizontal="left" vertical="center" wrapText="1"/>
    </xf>
    <xf numFmtId="0" fontId="20" fillId="0" borderId="43" xfId="0" applyFont="1" applyFill="1" applyBorder="1" applyAlignment="1">
      <alignment horizontal="left" vertical="center" wrapText="1"/>
    </xf>
    <xf numFmtId="0" fontId="18" fillId="0" borderId="48"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0" fillId="35" borderId="46" xfId="0" applyFill="1" applyBorder="1" applyAlignment="1">
      <alignment horizontal="center" wrapText="1"/>
    </xf>
    <xf numFmtId="0" fontId="0" fillId="35" borderId="47" xfId="0" applyFill="1" applyBorder="1" applyAlignment="1">
      <alignment horizontal="center" wrapText="1"/>
    </xf>
    <xf numFmtId="0" fontId="0" fillId="35" borderId="1" xfId="0" applyFill="1" applyBorder="1" applyAlignment="1">
      <alignment horizontal="center"/>
    </xf>
    <xf numFmtId="0" fontId="0" fillId="0" borderId="1" xfId="0" applyBorder="1" applyAlignment="1">
      <alignment horizontal="center" vertical="center"/>
    </xf>
    <xf numFmtId="178" fontId="0" fillId="0" borderId="1" xfId="0" applyNumberFormat="1" applyBorder="1" applyAlignment="1">
      <alignment horizontal="center" vertical="center"/>
    </xf>
    <xf numFmtId="0" fontId="49" fillId="0" borderId="0" xfId="0" applyFont="1" applyAlignment="1">
      <alignment horizontal="center" vertical="top"/>
    </xf>
    <xf numFmtId="0" fontId="1" fillId="26" borderId="1" xfId="0" applyFont="1" applyFill="1" applyBorder="1" applyAlignment="1">
      <alignment horizontal="center" vertical="center"/>
    </xf>
    <xf numFmtId="0" fontId="1" fillId="0" borderId="1" xfId="0" applyFont="1" applyBorder="1" applyAlignment="1">
      <alignment horizontal="center" vertical="center"/>
    </xf>
    <xf numFmtId="178" fontId="1" fillId="0" borderId="40" xfId="0" applyNumberFormat="1" applyFont="1" applyBorder="1" applyAlignment="1">
      <alignment horizontal="center" vertical="center"/>
    </xf>
    <xf numFmtId="178" fontId="1" fillId="0" borderId="41" xfId="0" applyNumberFormat="1" applyFont="1" applyBorder="1" applyAlignment="1">
      <alignment horizontal="center" vertical="center"/>
    </xf>
    <xf numFmtId="0" fontId="51" fillId="9" borderId="1" xfId="0" applyFont="1" applyFill="1" applyBorder="1" applyAlignment="1">
      <alignment horizontal="left" vertical="center"/>
    </xf>
    <xf numFmtId="1" fontId="0" fillId="0" borderId="0" xfId="0" applyNumberFormat="1" applyAlignment="1">
      <alignment horizontal="center" vertical="center"/>
    </xf>
    <xf numFmtId="0" fontId="1" fillId="20" borderId="1" xfId="0" applyFont="1" applyFill="1" applyBorder="1" applyAlignment="1">
      <alignment horizontal="center" vertical="center"/>
    </xf>
    <xf numFmtId="0" fontId="0" fillId="0" borderId="0" xfId="0" applyAlignment="1">
      <alignment horizontal="center"/>
    </xf>
    <xf numFmtId="0" fontId="1" fillId="18" borderId="1" xfId="0" applyFont="1" applyFill="1" applyBorder="1" applyAlignment="1">
      <alignment horizontal="center" vertical="center"/>
    </xf>
    <xf numFmtId="0" fontId="53" fillId="15" borderId="1" xfId="0" applyFont="1" applyFill="1" applyBorder="1" applyAlignment="1">
      <alignment horizontal="center" vertical="center"/>
    </xf>
    <xf numFmtId="0" fontId="1" fillId="18" borderId="40" xfId="0" applyFont="1" applyFill="1" applyBorder="1" applyAlignment="1">
      <alignment horizontal="center" vertical="center"/>
    </xf>
    <xf numFmtId="0" fontId="1" fillId="18" borderId="39" xfId="0" applyFont="1" applyFill="1" applyBorder="1" applyAlignment="1">
      <alignment horizontal="center" vertical="center"/>
    </xf>
    <xf numFmtId="0" fontId="1" fillId="18" borderId="41" xfId="0" applyFont="1" applyFill="1" applyBorder="1" applyAlignment="1">
      <alignment horizontal="center" vertical="center"/>
    </xf>
    <xf numFmtId="0" fontId="54" fillId="26" borderId="1" xfId="0" applyFont="1" applyFill="1" applyBorder="1" applyAlignment="1">
      <alignment horizontal="center" vertical="center" wrapText="1"/>
    </xf>
    <xf numFmtId="0" fontId="53" fillId="15" borderId="1" xfId="0" applyFont="1" applyFill="1" applyBorder="1" applyAlignment="1">
      <alignment horizontal="center" vertical="center" wrapText="1"/>
    </xf>
    <xf numFmtId="0" fontId="54" fillId="27" borderId="1" xfId="0" applyFont="1" applyFill="1" applyBorder="1" applyAlignment="1">
      <alignment horizontal="center" vertical="center" wrapText="1"/>
    </xf>
    <xf numFmtId="0" fontId="15" fillId="27" borderId="1" xfId="0" applyFont="1" applyFill="1" applyBorder="1" applyAlignment="1">
      <alignment horizontal="center" vertical="center"/>
    </xf>
    <xf numFmtId="0" fontId="15" fillId="12" borderId="1" xfId="0" applyFont="1" applyFill="1" applyBorder="1" applyAlignment="1">
      <alignment horizontal="center"/>
    </xf>
    <xf numFmtId="0" fontId="1" fillId="12" borderId="1" xfId="0" applyFont="1" applyFill="1" applyBorder="1" applyAlignment="1">
      <alignment horizontal="center"/>
    </xf>
    <xf numFmtId="0" fontId="1" fillId="0" borderId="1" xfId="0" applyFont="1" applyBorder="1" applyAlignment="1">
      <alignment horizontal="center" vertical="center" wrapText="1"/>
    </xf>
    <xf numFmtId="0" fontId="13" fillId="0" borderId="2" xfId="0" applyFont="1" applyBorder="1" applyAlignment="1">
      <alignment horizontal="left"/>
    </xf>
    <xf numFmtId="0" fontId="1" fillId="0" borderId="45" xfId="0" applyFont="1" applyBorder="1" applyAlignment="1">
      <alignment horizontal="center" wrapText="1"/>
    </xf>
    <xf numFmtId="0" fontId="1" fillId="0" borderId="0" xfId="0" applyFont="1" applyBorder="1" applyAlignment="1">
      <alignment horizontal="center" wrapText="1"/>
    </xf>
    <xf numFmtId="0" fontId="47" fillId="0" borderId="0" xfId="0" applyFont="1" applyAlignment="1">
      <alignment horizontal="center"/>
    </xf>
    <xf numFmtId="2" fontId="0" fillId="0" borderId="1" xfId="0" applyNumberFormat="1" applyBorder="1" applyAlignment="1">
      <alignment horizontal="center"/>
    </xf>
    <xf numFmtId="17" fontId="0" fillId="0" borderId="1" xfId="0" applyNumberFormat="1" applyBorder="1" applyAlignment="1">
      <alignment horizontal="center"/>
    </xf>
    <xf numFmtId="192"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58" fillId="0" borderId="2" xfId="0" applyFont="1" applyBorder="1" applyAlignment="1">
      <alignment horizontal="right" vertical="center"/>
    </xf>
    <xf numFmtId="0" fontId="13" fillId="0" borderId="1" xfId="0" applyFont="1" applyBorder="1" applyAlignment="1">
      <alignment horizontal="center" vertical="center"/>
    </xf>
    <xf numFmtId="192" fontId="0" fillId="0" borderId="48" xfId="0" applyNumberFormat="1" applyBorder="1" applyAlignment="1">
      <alignment horizontal="center" vertical="center"/>
    </xf>
    <xf numFmtId="192" fontId="0" fillId="0" borderId="19" xfId="0" applyNumberFormat="1" applyBorder="1" applyAlignment="1">
      <alignment horizontal="center" vertical="center"/>
    </xf>
    <xf numFmtId="192" fontId="0" fillId="0" borderId="49" xfId="0" applyNumberFormat="1" applyBorder="1" applyAlignment="1">
      <alignment horizontal="center" vertical="center"/>
    </xf>
  </cellXfs>
  <cellStyles count="16">
    <cellStyle name="Comma" xfId="1" builtinId="3"/>
    <cellStyle name="Comma 2" xfId="3" xr:uid="{00000000-0005-0000-0000-000001000000}"/>
    <cellStyle name="Comma 2 2" xfId="9" xr:uid="{00000000-0005-0000-0000-000002000000}"/>
    <cellStyle name="Comma 3" xfId="7" xr:uid="{00000000-0005-0000-0000-000003000000}"/>
    <cellStyle name="Comma 3 2" xfId="10" xr:uid="{00000000-0005-0000-0000-000004000000}"/>
    <cellStyle name="Comma 4" xfId="8" xr:uid="{00000000-0005-0000-0000-000005000000}"/>
    <cellStyle name="Comma 5" xfId="15" xr:uid="{E00CCB4F-EDBD-422A-AF95-8D0F4557E60E}"/>
    <cellStyle name="Normal" xfId="0" builtinId="0"/>
    <cellStyle name="Normal 10" xfId="14" xr:uid="{00000000-0005-0000-0000-000007000000}"/>
    <cellStyle name="Normal 2" xfId="4" xr:uid="{00000000-0005-0000-0000-000008000000}"/>
    <cellStyle name="Normal 2 2" xfId="13" xr:uid="{00000000-0005-0000-0000-000009000000}"/>
    <cellStyle name="Normal 3" xfId="11" xr:uid="{00000000-0005-0000-0000-00000A000000}"/>
    <cellStyle name="Normal 31" xfId="6" xr:uid="{00000000-0005-0000-0000-00000B000000}"/>
    <cellStyle name="Normal_2010-11 Budget- MEG" xfId="5" xr:uid="{00000000-0005-0000-0000-00000C000000}"/>
    <cellStyle name="Percent" xfId="2" builtinId="5"/>
    <cellStyle name="Percent 2" xfId="12" xr:uid="{00000000-0005-0000-0000-00000E000000}"/>
  </cellStyles>
  <dxfs count="16">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none">
          <bgColor auto="1"/>
        </patternFill>
      </fill>
    </dxf>
    <dxf>
      <font>
        <color auto="1"/>
      </font>
      <fill>
        <patternFill>
          <bgColor rgb="FFCCFFFF"/>
        </patternFill>
      </fill>
    </dxf>
    <dxf>
      <fill>
        <patternFill>
          <bgColor rgb="FFCCFFFF"/>
        </patternFill>
      </fill>
    </dxf>
    <dxf>
      <fill>
        <patternFill>
          <bgColor rgb="FFCCFFFF"/>
        </patternFill>
      </fill>
    </dxf>
    <dxf>
      <font>
        <color rgb="FFCCFFFF"/>
      </font>
      <fill>
        <patternFill>
          <bgColor rgb="FFCCFFFF"/>
        </patternFill>
      </fill>
      <border>
        <top style="thin">
          <color auto="1"/>
        </top>
        <bottom style="thin">
          <color auto="1"/>
        </bottom>
      </border>
    </dxf>
    <dxf>
      <font>
        <color rgb="FFFFC000"/>
      </font>
      <fill>
        <patternFill>
          <bgColor rgb="FFFFC000"/>
        </patternFill>
      </fill>
      <border>
        <top style="thin">
          <color auto="1"/>
        </top>
        <bottom style="thin">
          <color auto="1"/>
        </bottom>
      </border>
    </dxf>
    <dxf>
      <font>
        <b/>
        <i val="0"/>
        <color auto="1"/>
      </font>
      <fill>
        <patternFill>
          <bgColor rgb="FFCCFFFF"/>
        </patternFill>
      </fill>
      <border>
        <left style="thin">
          <color auto="1"/>
        </left>
        <right style="thin">
          <color auto="1"/>
        </right>
        <top style="thin">
          <color auto="1"/>
        </top>
        <bottom style="thin">
          <color auto="1"/>
        </bottom>
      </border>
    </dxf>
    <dxf>
      <font>
        <b/>
        <i val="0"/>
        <color rgb="FFC00000"/>
      </font>
      <fill>
        <patternFill>
          <bgColor rgb="FFFFC000"/>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5.xml"/><Relationship Id="rId26" Type="http://schemas.openxmlformats.org/officeDocument/2006/relationships/worksheet" Target="worksheets/sheet22.xml"/><Relationship Id="rId39" Type="http://schemas.openxmlformats.org/officeDocument/2006/relationships/externalLink" Target="externalLinks/externalLink4.xml"/><Relationship Id="rId21" Type="http://schemas.openxmlformats.org/officeDocument/2006/relationships/chartsheet" Target="chartsheets/sheet4.xml"/><Relationship Id="rId34" Type="http://schemas.openxmlformats.org/officeDocument/2006/relationships/worksheet" Target="worksheets/sheet29.xml"/><Relationship Id="rId42" Type="http://schemas.openxmlformats.org/officeDocument/2006/relationships/connections" Target="connections.xml"/><Relationship Id="rId7" Type="http://schemas.openxmlformats.org/officeDocument/2006/relationships/worksheet" Target="worksheets/sheet5.xml"/><Relationship Id="rId2" Type="http://schemas.openxmlformats.org/officeDocument/2006/relationships/chartsheet" Target="chartsheets/sheet2.xml"/><Relationship Id="rId16" Type="http://schemas.openxmlformats.org/officeDocument/2006/relationships/chartsheet" Target="chartsheets/sheet3.xml"/><Relationship Id="rId29" Type="http://schemas.openxmlformats.org/officeDocument/2006/relationships/worksheet" Target="worksheets/sheet25.xml"/><Relationship Id="rId1" Type="http://schemas.openxmlformats.org/officeDocument/2006/relationships/chartsheet" Target="chartsheets/sheet1.xml"/><Relationship Id="rId6" Type="http://schemas.openxmlformats.org/officeDocument/2006/relationships/worksheet" Target="worksheets/sheet4.xml"/><Relationship Id="rId11" Type="http://schemas.openxmlformats.org/officeDocument/2006/relationships/worksheet" Target="worksheets/sheet9.xml"/><Relationship Id="rId24" Type="http://schemas.openxmlformats.org/officeDocument/2006/relationships/worksheet" Target="worksheets/sheet20.xml"/><Relationship Id="rId32" Type="http://schemas.openxmlformats.org/officeDocument/2006/relationships/chartsheet" Target="chartsheets/sheet5.xml"/><Relationship Id="rId37" Type="http://schemas.openxmlformats.org/officeDocument/2006/relationships/externalLink" Target="externalLinks/externalLink2.xml"/><Relationship Id="rId40" Type="http://schemas.openxmlformats.org/officeDocument/2006/relationships/pivotCacheDefinition" Target="pivotCache/pivotCacheDefinition1.xml"/><Relationship Id="rId45" Type="http://schemas.openxmlformats.org/officeDocument/2006/relationships/powerPivotData" Target="model/item.data"/><Relationship Id="rId5" Type="http://schemas.openxmlformats.org/officeDocument/2006/relationships/worksheet" Target="worksheets/sheet3.xml"/><Relationship Id="rId15" Type="http://schemas.openxmlformats.org/officeDocument/2006/relationships/worksheet" Target="worksheets/sheet13.xml"/><Relationship Id="rId23" Type="http://schemas.openxmlformats.org/officeDocument/2006/relationships/worksheet" Target="worksheets/sheet19.xml"/><Relationship Id="rId28" Type="http://schemas.openxmlformats.org/officeDocument/2006/relationships/worksheet" Target="worksheets/sheet24.xml"/><Relationship Id="rId36" Type="http://schemas.openxmlformats.org/officeDocument/2006/relationships/externalLink" Target="externalLinks/externalLink1.xml"/><Relationship Id="rId10" Type="http://schemas.openxmlformats.org/officeDocument/2006/relationships/worksheet" Target="worksheets/sheet8.xml"/><Relationship Id="rId19" Type="http://schemas.openxmlformats.org/officeDocument/2006/relationships/worksheet" Target="worksheets/sheet16.xml"/><Relationship Id="rId31" Type="http://schemas.openxmlformats.org/officeDocument/2006/relationships/worksheet" Target="worksheets/sheet27.xml"/><Relationship Id="rId44" Type="http://schemas.openxmlformats.org/officeDocument/2006/relationships/sharedStrings" Target="sharedStrings.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22" Type="http://schemas.openxmlformats.org/officeDocument/2006/relationships/worksheet" Target="worksheets/sheet18.xml"/><Relationship Id="rId27" Type="http://schemas.openxmlformats.org/officeDocument/2006/relationships/worksheet" Target="worksheets/sheet23.xml"/><Relationship Id="rId30" Type="http://schemas.openxmlformats.org/officeDocument/2006/relationships/worksheet" Target="worksheets/sheet26.xml"/><Relationship Id="rId35" Type="http://schemas.openxmlformats.org/officeDocument/2006/relationships/worksheet" Target="worksheets/sheet30.xml"/><Relationship Id="rId43" Type="http://schemas.openxmlformats.org/officeDocument/2006/relationships/styles" Target="styles.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4.xml"/><Relationship Id="rId25" Type="http://schemas.openxmlformats.org/officeDocument/2006/relationships/worksheet" Target="worksheets/sheet21.xml"/><Relationship Id="rId33" Type="http://schemas.openxmlformats.org/officeDocument/2006/relationships/worksheet" Target="worksheets/sheet28.xml"/><Relationship Id="rId38" Type="http://schemas.openxmlformats.org/officeDocument/2006/relationships/externalLink" Target="externalLinks/externalLink3.xml"/><Relationship Id="rId46" Type="http://schemas.openxmlformats.org/officeDocument/2006/relationships/calcChain" Target="calcChain.xml"/><Relationship Id="rId20" Type="http://schemas.openxmlformats.org/officeDocument/2006/relationships/worksheet" Target="worksheets/sheet17.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IN" sz="2000" b="1"/>
              <a:t>Capacity Addditions-India</a:t>
            </a:r>
          </a:p>
          <a:p>
            <a:pPr>
              <a:defRPr sz="2000" b="1"/>
            </a:pPr>
            <a:r>
              <a:rPr lang="en-IN" sz="2000" b="1"/>
              <a:t>Historic</a:t>
            </a:r>
            <a:r>
              <a:rPr lang="en-IN" sz="2000" b="1" baseline="0"/>
              <a:t> &amp; Expected</a:t>
            </a:r>
            <a:endParaRPr lang="en-IN" sz="2000" b="1"/>
          </a:p>
        </c:rich>
      </c:tx>
      <c:layout>
        <c:manualLayout>
          <c:xMode val="edge"/>
          <c:yMode val="edge"/>
          <c:x val="0.39186125245293363"/>
          <c:y val="2.2031475519040746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453574142285729E-2"/>
          <c:y val="0.14849222053472175"/>
          <c:w val="0.95114912174439714"/>
          <c:h val="0.60892622759050052"/>
        </c:manualLayout>
      </c:layout>
      <c:barChart>
        <c:barDir val="col"/>
        <c:grouping val="stack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E970-4280-818C-8E55A2EFE458}"/>
            </c:ext>
          </c:extLst>
        </c:ser>
        <c:ser>
          <c:idx val="1"/>
          <c:order val="1"/>
          <c:spPr>
            <a:solidFill>
              <a:schemeClr val="accent2"/>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1-E970-4280-818C-8E55A2EFE458}"/>
            </c:ext>
          </c:extLst>
        </c:ser>
        <c:dLbls>
          <c:showLegendKey val="0"/>
          <c:showVal val="0"/>
          <c:showCatName val="0"/>
          <c:showSerName val="0"/>
          <c:showPercent val="0"/>
          <c:showBubbleSize val="0"/>
        </c:dLbls>
        <c:gapWidth val="150"/>
        <c:overlap val="100"/>
        <c:axId val="494046072"/>
        <c:axId val="494044896"/>
      </c:barChart>
      <c:catAx>
        <c:axId val="494046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4044896"/>
        <c:crosses val="autoZero"/>
        <c:auto val="0"/>
        <c:lblAlgn val="ctr"/>
        <c:lblOffset val="100"/>
        <c:noMultiLvlLbl val="0"/>
      </c:catAx>
      <c:valAx>
        <c:axId val="49404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Capacity KTA</a:t>
                </a:r>
              </a:p>
            </c:rich>
          </c:tx>
          <c:layout>
            <c:manualLayout>
              <c:xMode val="edge"/>
              <c:yMode val="edge"/>
              <c:x val="3.6962567342962716E-2"/>
              <c:y val="0.4270614822951240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4046072"/>
        <c:crosses val="autoZero"/>
        <c:crossBetween val="between"/>
      </c:valAx>
      <c:spPr>
        <a:noFill/>
        <a:ln>
          <a:noFill/>
        </a:ln>
        <a:effectLst/>
      </c:spPr>
    </c:plotArea>
    <c:legend>
      <c:legendPos val="b"/>
      <c:layout>
        <c:manualLayout>
          <c:xMode val="edge"/>
          <c:yMode val="edge"/>
          <c:x val="0.51736825658165997"/>
          <c:y val="0.90163910048734852"/>
          <c:w val="0.13749956478166916"/>
          <c:h val="4.0489271594608627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IN" sz="2000" b="1"/>
              <a:t>Capacity Addditions-India</a:t>
            </a:r>
          </a:p>
          <a:p>
            <a:pPr>
              <a:defRPr sz="2000" b="1"/>
            </a:pPr>
            <a:r>
              <a:rPr lang="en-IN" sz="2000" b="1"/>
              <a:t>Historic</a:t>
            </a:r>
            <a:r>
              <a:rPr lang="en-IN" sz="2000" b="1" baseline="0"/>
              <a:t> &amp; Expected</a:t>
            </a:r>
            <a:endParaRPr lang="en-IN" sz="2000" b="1"/>
          </a:p>
        </c:rich>
      </c:tx>
      <c:layout>
        <c:manualLayout>
          <c:xMode val="edge"/>
          <c:yMode val="edge"/>
          <c:x val="0.39186125245293363"/>
          <c:y val="2.2031475519040746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453574142285729E-2"/>
          <c:y val="0.14849222053472175"/>
          <c:w val="0.9402089119402034"/>
          <c:h val="0.68446714063664771"/>
        </c:manualLayout>
      </c:layout>
      <c:barChart>
        <c:barDir val="col"/>
        <c:grouping val="stack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BD2D-428A-B1BD-5738169BC579}"/>
            </c:ext>
          </c:extLst>
        </c:ser>
        <c:ser>
          <c:idx val="1"/>
          <c:order val="1"/>
          <c:spPr>
            <a:solidFill>
              <a:schemeClr val="accent2"/>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1-BD2D-428A-B1BD-5738169BC579}"/>
            </c:ext>
          </c:extLst>
        </c:ser>
        <c:dLbls>
          <c:showLegendKey val="0"/>
          <c:showVal val="0"/>
          <c:showCatName val="0"/>
          <c:showSerName val="0"/>
          <c:showPercent val="0"/>
          <c:showBubbleSize val="0"/>
        </c:dLbls>
        <c:gapWidth val="150"/>
        <c:overlap val="100"/>
        <c:axId val="494048032"/>
        <c:axId val="494045288"/>
      </c:barChart>
      <c:catAx>
        <c:axId val="494048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4045288"/>
        <c:crosses val="autoZero"/>
        <c:auto val="0"/>
        <c:lblAlgn val="ctr"/>
        <c:lblOffset val="100"/>
        <c:noMultiLvlLbl val="0"/>
      </c:catAx>
      <c:valAx>
        <c:axId val="494045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Capacity KTA</a:t>
                </a:r>
              </a:p>
            </c:rich>
          </c:tx>
          <c:layout>
            <c:manualLayout>
              <c:xMode val="edge"/>
              <c:yMode val="edge"/>
              <c:x val="3.6962567342962716E-2"/>
              <c:y val="0.4270614822951240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4048032"/>
        <c:crosses val="autoZero"/>
        <c:crossBetween val="between"/>
      </c:valAx>
      <c:spPr>
        <a:noFill/>
        <a:ln>
          <a:noFill/>
        </a:ln>
        <a:effectLst/>
      </c:spPr>
    </c:plotArea>
    <c:legend>
      <c:legendPos val="b"/>
      <c:layout>
        <c:manualLayout>
          <c:xMode val="edge"/>
          <c:yMode val="edge"/>
          <c:x val="0.51736825658165997"/>
          <c:y val="0.90163910048734852"/>
          <c:w val="0.13749956478166916"/>
          <c:h val="4.0489271594608627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areaChart>
        <c:grouping val="standard"/>
        <c:varyColors val="0"/>
        <c:ser>
          <c:idx val="1"/>
          <c:order val="1"/>
          <c:tx>
            <c:strRef>
              <c:f>Sheet1!$AA$22</c:f>
              <c:strCache>
                <c:ptCount val="1"/>
                <c:pt idx="0">
                  <c:v>Capacity (India)</c:v>
                </c:pt>
              </c:strCache>
            </c:strRef>
          </c:tx>
          <c:spPr>
            <a:solidFill>
              <a:schemeClr val="accent2"/>
            </a:solidFill>
            <a:ln>
              <a:noFill/>
            </a:ln>
            <a:effectLst/>
          </c:spPr>
          <c:cat>
            <c:numRef>
              <c:f>Sheet1!$Y$23:$Y$51</c:f>
              <c:numCache>
                <c:formatCode>yyyy</c:formatCode>
                <c:ptCount val="29"/>
                <c:pt idx="0">
                  <c:v>26664</c:v>
                </c:pt>
                <c:pt idx="1">
                  <c:v>27759</c:v>
                </c:pt>
                <c:pt idx="2">
                  <c:v>29586</c:v>
                </c:pt>
                <c:pt idx="3">
                  <c:v>31412</c:v>
                </c:pt>
                <c:pt idx="4">
                  <c:v>33603</c:v>
                </c:pt>
                <c:pt idx="5">
                  <c:v>35064</c:v>
                </c:pt>
                <c:pt idx="6">
                  <c:v>36891</c:v>
                </c:pt>
                <c:pt idx="7">
                  <c:v>38717</c:v>
                </c:pt>
                <c:pt idx="8">
                  <c:v>40543</c:v>
                </c:pt>
                <c:pt idx="9">
                  <c:v>42004</c:v>
                </c:pt>
                <c:pt idx="10">
                  <c:v>42369</c:v>
                </c:pt>
                <c:pt idx="11">
                  <c:v>42735</c:v>
                </c:pt>
                <c:pt idx="12">
                  <c:v>43100</c:v>
                </c:pt>
                <c:pt idx="13">
                  <c:v>43465</c:v>
                </c:pt>
                <c:pt idx="14">
                  <c:v>43830</c:v>
                </c:pt>
                <c:pt idx="15">
                  <c:v>44196</c:v>
                </c:pt>
                <c:pt idx="16">
                  <c:v>44561</c:v>
                </c:pt>
                <c:pt idx="17">
                  <c:v>45657</c:v>
                </c:pt>
                <c:pt idx="18">
                  <c:v>45658</c:v>
                </c:pt>
                <c:pt idx="19">
                  <c:v>46024</c:v>
                </c:pt>
                <c:pt idx="20">
                  <c:v>46390</c:v>
                </c:pt>
                <c:pt idx="21">
                  <c:v>46756</c:v>
                </c:pt>
                <c:pt idx="22">
                  <c:v>47483</c:v>
                </c:pt>
                <c:pt idx="23">
                  <c:v>47848</c:v>
                </c:pt>
                <c:pt idx="24">
                  <c:v>48213</c:v>
                </c:pt>
                <c:pt idx="25">
                  <c:v>48579</c:v>
                </c:pt>
                <c:pt idx="26">
                  <c:v>48944</c:v>
                </c:pt>
                <c:pt idx="27">
                  <c:v>49309</c:v>
                </c:pt>
                <c:pt idx="28">
                  <c:v>49644</c:v>
                </c:pt>
              </c:numCache>
            </c:numRef>
          </c:cat>
          <c:val>
            <c:numRef>
              <c:f>Sheet1!$AA$23:$AA$51</c:f>
              <c:numCache>
                <c:formatCode>0</c:formatCode>
                <c:ptCount val="29"/>
                <c:pt idx="0">
                  <c:v>70.5</c:v>
                </c:pt>
                <c:pt idx="1">
                  <c:v>70.5</c:v>
                </c:pt>
                <c:pt idx="2">
                  <c:v>70.5</c:v>
                </c:pt>
                <c:pt idx="3">
                  <c:v>125.5</c:v>
                </c:pt>
                <c:pt idx="4">
                  <c:v>395.5</c:v>
                </c:pt>
                <c:pt idx="5">
                  <c:v>525.5</c:v>
                </c:pt>
                <c:pt idx="6">
                  <c:v>765.5</c:v>
                </c:pt>
                <c:pt idx="7">
                  <c:v>765.5</c:v>
                </c:pt>
                <c:pt idx="8">
                  <c:v>935.5</c:v>
                </c:pt>
                <c:pt idx="9">
                  <c:v>1055.5</c:v>
                </c:pt>
                <c:pt idx="10">
                  <c:v>1055.5</c:v>
                </c:pt>
                <c:pt idx="11">
                  <c:v>1055.5</c:v>
                </c:pt>
                <c:pt idx="12">
                  <c:v>1055.5</c:v>
                </c:pt>
                <c:pt idx="13">
                  <c:v>1275.5</c:v>
                </c:pt>
                <c:pt idx="14">
                  <c:v>1335.5</c:v>
                </c:pt>
                <c:pt idx="15">
                  <c:v>1454.5</c:v>
                </c:pt>
                <c:pt idx="16">
                  <c:v>1596.5</c:v>
                </c:pt>
                <c:pt idx="17">
                  <c:v>1670</c:v>
                </c:pt>
                <c:pt idx="18">
                  <c:v>1870</c:v>
                </c:pt>
                <c:pt idx="19">
                  <c:v>2240</c:v>
                </c:pt>
                <c:pt idx="20">
                  <c:v>3440</c:v>
                </c:pt>
                <c:pt idx="21">
                  <c:v>7940</c:v>
                </c:pt>
                <c:pt idx="22">
                  <c:v>7940</c:v>
                </c:pt>
                <c:pt idx="23">
                  <c:v>7940</c:v>
                </c:pt>
                <c:pt idx="24">
                  <c:v>7940</c:v>
                </c:pt>
                <c:pt idx="25">
                  <c:v>7940</c:v>
                </c:pt>
                <c:pt idx="26">
                  <c:v>7940</c:v>
                </c:pt>
                <c:pt idx="27">
                  <c:v>7940</c:v>
                </c:pt>
                <c:pt idx="28">
                  <c:v>7941</c:v>
                </c:pt>
              </c:numCache>
            </c:numRef>
          </c:val>
          <c:extLst>
            <c:ext xmlns:c16="http://schemas.microsoft.com/office/drawing/2014/chart" uri="{C3380CC4-5D6E-409C-BE32-E72D297353CC}">
              <c16:uniqueId val="{00000000-B470-4E4C-B444-3499C9444AAD}"/>
            </c:ext>
          </c:extLst>
        </c:ser>
        <c:dLbls>
          <c:showLegendKey val="0"/>
          <c:showVal val="0"/>
          <c:showCatName val="0"/>
          <c:showSerName val="0"/>
          <c:showPercent val="0"/>
          <c:showBubbleSize val="0"/>
        </c:dLbls>
        <c:axId val="494048424"/>
        <c:axId val="494048816"/>
      </c:areaChart>
      <c:lineChart>
        <c:grouping val="stacked"/>
        <c:varyColors val="0"/>
        <c:ser>
          <c:idx val="0"/>
          <c:order val="0"/>
          <c:tx>
            <c:strRef>
              <c:f>Sheet1!$Z$22</c:f>
              <c:strCache>
                <c:ptCount val="1"/>
                <c:pt idx="0">
                  <c:v>PVC Demand</c:v>
                </c:pt>
              </c:strCache>
            </c:strRef>
          </c:tx>
          <c:spPr>
            <a:ln w="38100" cap="rnd">
              <a:solidFill>
                <a:schemeClr val="accent1"/>
              </a:solidFill>
              <a:round/>
            </a:ln>
            <a:effectLst/>
          </c:spPr>
          <c:marker>
            <c:symbol val="circle"/>
            <c:size val="8"/>
            <c:spPr>
              <a:solidFill>
                <a:schemeClr val="accent1"/>
              </a:solidFill>
              <a:ln>
                <a:noFill/>
              </a:ln>
              <a:effectLst/>
            </c:spPr>
          </c:marker>
          <c:cat>
            <c:numRef>
              <c:f>Sheet1!$Y$23:$Y$51</c:f>
              <c:numCache>
                <c:formatCode>yyyy</c:formatCode>
                <c:ptCount val="29"/>
                <c:pt idx="0">
                  <c:v>26664</c:v>
                </c:pt>
                <c:pt idx="1">
                  <c:v>27759</c:v>
                </c:pt>
                <c:pt idx="2">
                  <c:v>29586</c:v>
                </c:pt>
                <c:pt idx="3">
                  <c:v>31412</c:v>
                </c:pt>
                <c:pt idx="4">
                  <c:v>33603</c:v>
                </c:pt>
                <c:pt idx="5">
                  <c:v>35064</c:v>
                </c:pt>
                <c:pt idx="6">
                  <c:v>36891</c:v>
                </c:pt>
                <c:pt idx="7">
                  <c:v>38717</c:v>
                </c:pt>
                <c:pt idx="8">
                  <c:v>40543</c:v>
                </c:pt>
                <c:pt idx="9">
                  <c:v>42004</c:v>
                </c:pt>
                <c:pt idx="10">
                  <c:v>42369</c:v>
                </c:pt>
                <c:pt idx="11">
                  <c:v>42735</c:v>
                </c:pt>
                <c:pt idx="12">
                  <c:v>43100</c:v>
                </c:pt>
                <c:pt idx="13">
                  <c:v>43465</c:v>
                </c:pt>
                <c:pt idx="14">
                  <c:v>43830</c:v>
                </c:pt>
                <c:pt idx="15">
                  <c:v>44196</c:v>
                </c:pt>
                <c:pt idx="16">
                  <c:v>44561</c:v>
                </c:pt>
                <c:pt idx="17">
                  <c:v>45657</c:v>
                </c:pt>
                <c:pt idx="18">
                  <c:v>45658</c:v>
                </c:pt>
                <c:pt idx="19">
                  <c:v>46024</c:v>
                </c:pt>
                <c:pt idx="20">
                  <c:v>46390</c:v>
                </c:pt>
                <c:pt idx="21">
                  <c:v>46756</c:v>
                </c:pt>
                <c:pt idx="22">
                  <c:v>47483</c:v>
                </c:pt>
                <c:pt idx="23">
                  <c:v>47848</c:v>
                </c:pt>
                <c:pt idx="24">
                  <c:v>48213</c:v>
                </c:pt>
                <c:pt idx="25">
                  <c:v>48579</c:v>
                </c:pt>
                <c:pt idx="26">
                  <c:v>48944</c:v>
                </c:pt>
                <c:pt idx="27">
                  <c:v>49309</c:v>
                </c:pt>
                <c:pt idx="28">
                  <c:v>49644</c:v>
                </c:pt>
              </c:numCache>
            </c:numRef>
          </c:cat>
          <c:val>
            <c:numRef>
              <c:f>Sheet1!$Z$23:$Z$51</c:f>
              <c:numCache>
                <c:formatCode>General</c:formatCode>
                <c:ptCount val="29"/>
                <c:pt idx="0">
                  <c:v>30</c:v>
                </c:pt>
                <c:pt idx="1">
                  <c:v>50</c:v>
                </c:pt>
                <c:pt idx="2">
                  <c:v>90</c:v>
                </c:pt>
                <c:pt idx="3">
                  <c:v>170</c:v>
                </c:pt>
                <c:pt idx="4">
                  <c:v>245</c:v>
                </c:pt>
                <c:pt idx="5">
                  <c:v>395</c:v>
                </c:pt>
                <c:pt idx="6">
                  <c:v>620</c:v>
                </c:pt>
                <c:pt idx="7">
                  <c:v>975</c:v>
                </c:pt>
                <c:pt idx="8">
                  <c:v>1860</c:v>
                </c:pt>
                <c:pt idx="9">
                  <c:v>2450</c:v>
                </c:pt>
                <c:pt idx="10">
                  <c:v>2585</c:v>
                </c:pt>
                <c:pt idx="11">
                  <c:v>2010</c:v>
                </c:pt>
                <c:pt idx="12">
                  <c:v>3008</c:v>
                </c:pt>
                <c:pt idx="13">
                  <c:v>3493</c:v>
                </c:pt>
                <c:pt idx="14">
                  <c:v>3543</c:v>
                </c:pt>
                <c:pt idx="15">
                  <c:v>3791</c:v>
                </c:pt>
                <c:pt idx="16">
                  <c:v>4057</c:v>
                </c:pt>
                <c:pt idx="17">
                  <c:v>4969</c:v>
                </c:pt>
                <c:pt idx="18" formatCode="0">
                  <c:v>5307.3888999999999</c:v>
                </c:pt>
                <c:pt idx="19" formatCode="0">
                  <c:v>5668.8220840900003</c:v>
                </c:pt>
                <c:pt idx="20" formatCode="0">
                  <c:v>6054.8688680165296</c:v>
                </c:pt>
                <c:pt idx="21" formatCode="0">
                  <c:v>6467.2054379284555</c:v>
                </c:pt>
                <c:pt idx="22" formatCode="0">
                  <c:v>6907.6221282513834</c:v>
                </c:pt>
                <c:pt idx="23" formatCode="0">
                  <c:v>7378.0311951853027</c:v>
                </c:pt>
                <c:pt idx="24" formatCode="0">
                  <c:v>7880.4751195774224</c:v>
                </c:pt>
                <c:pt idx="25" formatCode="0">
                  <c:v>8417.1354752206462</c:v>
                </c:pt>
                <c:pt idx="26" formatCode="0">
                  <c:v>8990.3424010831732</c:v>
                </c:pt>
                <c:pt idx="27" formatCode="0">
                  <c:v>9602.5847185969378</c:v>
                </c:pt>
                <c:pt idx="28" formatCode="0">
                  <c:v>10256.52073793339</c:v>
                </c:pt>
              </c:numCache>
            </c:numRef>
          </c:val>
          <c:smooth val="0"/>
          <c:extLst>
            <c:ext xmlns:c16="http://schemas.microsoft.com/office/drawing/2014/chart" uri="{C3380CC4-5D6E-409C-BE32-E72D297353CC}">
              <c16:uniqueId val="{00000001-B470-4E4C-B444-3499C9444AAD}"/>
            </c:ext>
          </c:extLst>
        </c:ser>
        <c:dLbls>
          <c:showLegendKey val="0"/>
          <c:showVal val="0"/>
          <c:showCatName val="0"/>
          <c:showSerName val="0"/>
          <c:showPercent val="0"/>
          <c:showBubbleSize val="0"/>
        </c:dLbls>
        <c:marker val="1"/>
        <c:smooth val="0"/>
        <c:axId val="494048424"/>
        <c:axId val="494048816"/>
      </c:lineChart>
      <c:dateAx>
        <c:axId val="494048424"/>
        <c:scaling>
          <c:orientation val="minMax"/>
          <c:max val="49705"/>
        </c:scaling>
        <c:delete val="0"/>
        <c:axPos val="b"/>
        <c:numFmt formatCode="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94048816"/>
        <c:crosses val="autoZero"/>
        <c:auto val="1"/>
        <c:lblOffset val="100"/>
        <c:baseTimeUnit val="days"/>
      </c:dateAx>
      <c:valAx>
        <c:axId val="49404881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48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000" b="0" i="0" u="none" strike="noStrike" baseline="0">
                <a:solidFill>
                  <a:schemeClr val="tx1"/>
                </a:solidFill>
                <a:latin typeface="Arial"/>
              </a:rPr>
              <a:t>Financial Parameters </a:t>
            </a:r>
            <a:r>
              <a:rPr lang="en-US" sz="800" b="0" i="0" u="none" strike="noStrike" baseline="0">
                <a:solidFill>
                  <a:schemeClr val="tx1"/>
                </a:solidFill>
                <a:latin typeface="Arial"/>
              </a:rPr>
              <a:t>(INR/MT)</a:t>
            </a:r>
            <a:endParaRPr lang="en-US" sz="1000" b="0" i="0" u="none" strike="noStrike" baseline="0">
              <a:solidFill>
                <a:schemeClr val="tx1"/>
              </a:solidFill>
              <a:latin typeface="Arial"/>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dk1">
                <a:tint val="88500"/>
              </a:schemeClr>
            </a:solidFill>
            <a:ln>
              <a:noFill/>
            </a:ln>
            <a:effectLst/>
          </c:spPr>
          <c:invertIfNegative val="0"/>
          <c:dPt>
            <c:idx val="5"/>
            <c:invertIfNegative val="0"/>
            <c:bubble3D val="0"/>
            <c:spPr>
              <a:solidFill>
                <a:srgbClr val="00B050"/>
              </a:solidFill>
              <a:ln>
                <a:noFill/>
              </a:ln>
              <a:effectLst/>
            </c:spPr>
            <c:extLst>
              <c:ext xmlns:c16="http://schemas.microsoft.com/office/drawing/2014/chart" uri="{C3380CC4-5D6E-409C-BE32-E72D297353CC}">
                <c16:uniqueId val="{00000001-C091-4981-B89A-0F51ABFC46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Dashboard!$E$10:$E$15</c:f>
              <c:strCache>
                <c:ptCount val="6"/>
                <c:pt idx="0">
                  <c:v>Ethylene Revenues</c:v>
                </c:pt>
                <c:pt idx="1">
                  <c:v>Ethylene Variable Cost</c:v>
                </c:pt>
                <c:pt idx="2">
                  <c:v>Contribution Margin</c:v>
                </c:pt>
                <c:pt idx="3">
                  <c:v>Ethylene Fixed Cost</c:v>
                </c:pt>
                <c:pt idx="4">
                  <c:v>Ethylene Total Cost</c:v>
                </c:pt>
                <c:pt idx="5">
                  <c:v>EBIDTA</c:v>
                </c:pt>
              </c:strCache>
            </c:strRef>
          </c:cat>
          <c:val>
            <c:numRef>
              <c:f>Dashboard!$F$10:$F$15</c:f>
              <c:numCache>
                <c:formatCode>_(* #,##0_);_(* \(#,##0\);_(* "-"??_);_(@_)</c:formatCode>
                <c:ptCount val="6"/>
                <c:pt idx="0">
                  <c:v>130002.47666684911</c:v>
                </c:pt>
                <c:pt idx="1">
                  <c:v>88344.852488482546</c:v>
                </c:pt>
                <c:pt idx="2">
                  <c:v>41657.624178366561</c:v>
                </c:pt>
                <c:pt idx="3">
                  <c:v>7527.5047849840103</c:v>
                </c:pt>
                <c:pt idx="4">
                  <c:v>95872.35727346655</c:v>
                </c:pt>
                <c:pt idx="5">
                  <c:v>34130.119393382556</c:v>
                </c:pt>
              </c:numCache>
            </c:numRef>
          </c:val>
          <c:extLst>
            <c:ext xmlns:c16="http://schemas.microsoft.com/office/drawing/2014/chart" uri="{C3380CC4-5D6E-409C-BE32-E72D297353CC}">
              <c16:uniqueId val="{00000002-C091-4981-B89A-0F51ABFC46C9}"/>
            </c:ext>
          </c:extLst>
        </c:ser>
        <c:dLbls>
          <c:showLegendKey val="0"/>
          <c:showVal val="1"/>
          <c:showCatName val="0"/>
          <c:showSerName val="0"/>
          <c:showPercent val="0"/>
          <c:showBubbleSize val="0"/>
        </c:dLbls>
        <c:gapWidth val="6"/>
        <c:axId val="491190688"/>
        <c:axId val="491195392"/>
      </c:barChart>
      <c:catAx>
        <c:axId val="491190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ysClr val="windowText" lastClr="000000"/>
                </a:solidFill>
                <a:latin typeface="+mn-lt"/>
                <a:ea typeface="+mn-ea"/>
                <a:cs typeface="+mn-cs"/>
              </a:defRPr>
            </a:pPr>
            <a:endParaRPr lang="en-US"/>
          </a:p>
        </c:txPr>
        <c:crossAx val="491195392"/>
        <c:crosses val="autoZero"/>
        <c:auto val="1"/>
        <c:lblAlgn val="ctr"/>
        <c:lblOffset val="100"/>
        <c:noMultiLvlLbl val="0"/>
      </c:catAx>
      <c:valAx>
        <c:axId val="491195392"/>
        <c:scaling>
          <c:orientation val="minMax"/>
        </c:scaling>
        <c:delete val="1"/>
        <c:axPos val="b"/>
        <c:numFmt formatCode="_(* #,##0_);_(* \(#,##0\);_(* &quot;-&quot;??_);_(@_)" sourceLinked="1"/>
        <c:majorTickMark val="none"/>
        <c:minorTickMark val="none"/>
        <c:tickLblPos val="nextTo"/>
        <c:crossAx val="49119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r>
              <a:rPr lang="en-US" sz="1000">
                <a:solidFill>
                  <a:schemeClr val="tx1"/>
                </a:solidFill>
              </a:rPr>
              <a:t>Cost components </a:t>
            </a:r>
            <a:r>
              <a:rPr lang="en-US" sz="800">
                <a:solidFill>
                  <a:schemeClr val="tx1"/>
                </a:solidFill>
              </a:rPr>
              <a:t>(INR</a:t>
            </a:r>
            <a:r>
              <a:rPr lang="en-US" sz="800" baseline="0">
                <a:solidFill>
                  <a:schemeClr val="tx1"/>
                </a:solidFill>
              </a:rPr>
              <a:t>/MT)</a:t>
            </a:r>
            <a:endParaRPr lang="en-US" sz="1000">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2.6237328562909959E-2"/>
          <c:y val="0.18476751858531645"/>
          <c:w val="0.94752534287418011"/>
          <c:h val="0.57444947873135965"/>
        </c:manualLayout>
      </c:layout>
      <c:barChart>
        <c:barDir val="col"/>
        <c:grouping val="clustered"/>
        <c:varyColors val="0"/>
        <c:ser>
          <c:idx val="0"/>
          <c:order val="0"/>
          <c:spPr>
            <a:solidFill>
              <a:schemeClr val="accent3"/>
            </a:solidFill>
            <a:ln>
              <a:noFill/>
            </a:ln>
            <a:effectLst/>
          </c:spPr>
          <c:invertIfNegative val="0"/>
          <c:dPt>
            <c:idx val="1"/>
            <c:invertIfNegative val="0"/>
            <c:bubble3D val="0"/>
            <c:spPr>
              <a:solidFill>
                <a:srgbClr val="00B050"/>
              </a:solidFill>
              <a:ln>
                <a:noFill/>
              </a:ln>
              <a:effectLst/>
            </c:spPr>
            <c:extLst>
              <c:ext xmlns:c16="http://schemas.microsoft.com/office/drawing/2014/chart" uri="{C3380CC4-5D6E-409C-BE32-E72D297353CC}">
                <c16:uniqueId val="{00000001-F526-4C47-980C-9A408B1DBC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Dashboard!$E$3:$E$8</c:f>
              <c:strCache>
                <c:ptCount val="6"/>
                <c:pt idx="0">
                  <c:v>Raw material cost</c:v>
                </c:pt>
                <c:pt idx="1">
                  <c:v>Co-product credits</c:v>
                </c:pt>
                <c:pt idx="2">
                  <c:v>Utilities</c:v>
                </c:pt>
                <c:pt idx="3">
                  <c:v>Variable cost</c:v>
                </c:pt>
                <c:pt idx="4">
                  <c:v>Direct fixed cost</c:v>
                </c:pt>
                <c:pt idx="5">
                  <c:v>Allocated fixed costs</c:v>
                </c:pt>
              </c:strCache>
            </c:strRef>
          </c:cat>
          <c:val>
            <c:numRef>
              <c:f>Dashboard!$F$3:$F$8</c:f>
              <c:numCache>
                <c:formatCode>_(* #,##0_);_(* \(#,##0\);_(* "-"??_);_(@_)</c:formatCode>
                <c:ptCount val="6"/>
                <c:pt idx="0">
                  <c:v>78339.24473848255</c:v>
                </c:pt>
                <c:pt idx="1">
                  <c:v>50952.476666849107</c:v>
                </c:pt>
                <c:pt idx="2">
                  <c:v>10005.607749999997</c:v>
                </c:pt>
                <c:pt idx="3">
                  <c:v>37392.375821633439</c:v>
                </c:pt>
                <c:pt idx="4">
                  <c:v>3344.9177633422792</c:v>
                </c:pt>
                <c:pt idx="5">
                  <c:v>4182.5870216417306</c:v>
                </c:pt>
              </c:numCache>
            </c:numRef>
          </c:val>
          <c:extLst>
            <c:ext xmlns:c16="http://schemas.microsoft.com/office/drawing/2014/chart" uri="{C3380CC4-5D6E-409C-BE32-E72D297353CC}">
              <c16:uniqueId val="{00000002-F526-4C47-980C-9A408B1DBC40}"/>
            </c:ext>
          </c:extLst>
        </c:ser>
        <c:dLbls>
          <c:dLblPos val="outEnd"/>
          <c:showLegendKey val="0"/>
          <c:showVal val="1"/>
          <c:showCatName val="0"/>
          <c:showSerName val="0"/>
          <c:showPercent val="0"/>
          <c:showBubbleSize val="0"/>
        </c:dLbls>
        <c:gapWidth val="219"/>
        <c:overlap val="-27"/>
        <c:axId val="491189512"/>
        <c:axId val="491195000"/>
      </c:barChart>
      <c:catAx>
        <c:axId val="491189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1195000"/>
        <c:crosses val="autoZero"/>
        <c:auto val="1"/>
        <c:lblAlgn val="ctr"/>
        <c:lblOffset val="100"/>
        <c:noMultiLvlLbl val="0"/>
      </c:catAx>
      <c:valAx>
        <c:axId val="491195000"/>
        <c:scaling>
          <c:orientation val="minMax"/>
          <c:max val="80000"/>
          <c:min val="0"/>
        </c:scaling>
        <c:delete val="1"/>
        <c:axPos val="l"/>
        <c:numFmt formatCode="_(* #,##0_);_(* \(#,##0\);_(* &quot;-&quot;??_);_(@_)" sourceLinked="1"/>
        <c:majorTickMark val="out"/>
        <c:minorTickMark val="none"/>
        <c:tickLblPos val="nextTo"/>
        <c:crossAx val="49118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Historic Polymer Margins -OPaL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'Ethylene-Propylene COP'!$C$153</c:f>
              <c:strCache>
                <c:ptCount val="1"/>
                <c:pt idx="0">
                  <c:v>LLDPE Margin in $/MT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'Ethylene-Propylene COP'!$D$152:$AV$152</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'Ethylene-Propylene COP'!$D$153:$AV$153</c:f>
              <c:numCache>
                <c:formatCode>0</c:formatCode>
                <c:ptCount val="45"/>
                <c:pt idx="0">
                  <c:v>335.14302220321991</c:v>
                </c:pt>
                <c:pt idx="1">
                  <c:v>353.33369178155283</c:v>
                </c:pt>
                <c:pt idx="2">
                  <c:v>317.64110174791557</c:v>
                </c:pt>
                <c:pt idx="3">
                  <c:v>449.23920258114691</c:v>
                </c:pt>
                <c:pt idx="4">
                  <c:v>328.27400690471495</c:v>
                </c:pt>
                <c:pt idx="5">
                  <c:v>347.693979511951</c:v>
                </c:pt>
                <c:pt idx="6">
                  <c:v>221.71072327295713</c:v>
                </c:pt>
                <c:pt idx="7">
                  <c:v>252.92619304703393</c:v>
                </c:pt>
                <c:pt idx="8">
                  <c:v>206.49105434592076</c:v>
                </c:pt>
                <c:pt idx="9">
                  <c:v>311.84267440091281</c:v>
                </c:pt>
                <c:pt idx="10">
                  <c:v>489.75534600569131</c:v>
                </c:pt>
                <c:pt idx="11">
                  <c:v>376.7607609840399</c:v>
                </c:pt>
                <c:pt idx="12">
                  <c:v>383.58559092265403</c:v>
                </c:pt>
                <c:pt idx="13">
                  <c:v>359.67558214191536</c:v>
                </c:pt>
                <c:pt idx="14">
                  <c:v>365.0196226597447</c:v>
                </c:pt>
                <c:pt idx="15">
                  <c:v>328.62285475703999</c:v>
                </c:pt>
                <c:pt idx="16">
                  <c:v>290.73185800732932</c:v>
                </c:pt>
                <c:pt idx="17">
                  <c:v>317.74597472745376</c:v>
                </c:pt>
                <c:pt idx="18">
                  <c:v>292.46017967775549</c:v>
                </c:pt>
                <c:pt idx="19">
                  <c:v>268.31360236755421</c:v>
                </c:pt>
                <c:pt idx="20">
                  <c:v>316.71424311128283</c:v>
                </c:pt>
                <c:pt idx="21">
                  <c:v>279.33262145493364</c:v>
                </c:pt>
                <c:pt idx="22">
                  <c:v>222.86316385895555</c:v>
                </c:pt>
                <c:pt idx="23">
                  <c:v>153.00275861803948</c:v>
                </c:pt>
                <c:pt idx="24">
                  <c:v>202.97737022194022</c:v>
                </c:pt>
                <c:pt idx="25">
                  <c:v>238.79140143218638</c:v>
                </c:pt>
                <c:pt idx="26">
                  <c:v>361.7444046591732</c:v>
                </c:pt>
                <c:pt idx="27">
                  <c:v>68.700132026525267</c:v>
                </c:pt>
                <c:pt idx="28">
                  <c:v>56.384535351158846</c:v>
                </c:pt>
                <c:pt idx="29">
                  <c:v>83.004418793129204</c:v>
                </c:pt>
                <c:pt idx="30">
                  <c:v>267.43219951777172</c:v>
                </c:pt>
                <c:pt idx="31">
                  <c:v>297.63106459539074</c:v>
                </c:pt>
                <c:pt idx="32">
                  <c:v>326.98588339625053</c:v>
                </c:pt>
                <c:pt idx="33">
                  <c:v>432.13925849374908</c:v>
                </c:pt>
                <c:pt idx="34">
                  <c:v>444.83594280542883</c:v>
                </c:pt>
                <c:pt idx="35">
                  <c:v>473.98034749546781</c:v>
                </c:pt>
                <c:pt idx="36">
                  <c:v>430.41275546334469</c:v>
                </c:pt>
                <c:pt idx="37">
                  <c:v>392.91604512099235</c:v>
                </c:pt>
                <c:pt idx="38">
                  <c:v>536.78903690991945</c:v>
                </c:pt>
                <c:pt idx="39">
                  <c:v>658.4988031219865</c:v>
                </c:pt>
                <c:pt idx="40">
                  <c:v>531.44940321814397</c:v>
                </c:pt>
                <c:pt idx="41">
                  <c:v>438.07689983933028</c:v>
                </c:pt>
                <c:pt idx="42">
                  <c:v>423.72983278250354</c:v>
                </c:pt>
                <c:pt idx="43">
                  <c:v>507.46125213595309</c:v>
                </c:pt>
                <c:pt idx="44">
                  <c:v>511.07661405840867</c:v>
                </c:pt>
              </c:numCache>
            </c:numRef>
          </c:yVal>
          <c:smooth val="1"/>
          <c:extLst>
            <c:ext xmlns:c16="http://schemas.microsoft.com/office/drawing/2014/chart" uri="{C3380CC4-5D6E-409C-BE32-E72D297353CC}">
              <c16:uniqueId val="{00000000-FDA3-4A25-9A79-AC47FADF6C98}"/>
            </c:ext>
          </c:extLst>
        </c:ser>
        <c:ser>
          <c:idx val="1"/>
          <c:order val="1"/>
          <c:tx>
            <c:strRef>
              <c:f>'Ethylene-Propylene COP'!$C$154</c:f>
              <c:strCache>
                <c:ptCount val="1"/>
                <c:pt idx="0">
                  <c:v>HDPE Margin in $/MT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'Ethylene-Propylene COP'!$D$152:$AV$152</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'Ethylene-Propylene COP'!$D$154:$AV$154</c:f>
              <c:numCache>
                <c:formatCode>0</c:formatCode>
                <c:ptCount val="45"/>
                <c:pt idx="0">
                  <c:v>307.74920680120442</c:v>
                </c:pt>
                <c:pt idx="1">
                  <c:v>407.20141324642714</c:v>
                </c:pt>
                <c:pt idx="2">
                  <c:v>406.83834352845662</c:v>
                </c:pt>
                <c:pt idx="3">
                  <c:v>547.78892483143579</c:v>
                </c:pt>
                <c:pt idx="4">
                  <c:v>463.16007939849624</c:v>
                </c:pt>
                <c:pt idx="5">
                  <c:v>501.62444222108468</c:v>
                </c:pt>
                <c:pt idx="6">
                  <c:v>379.21239821890254</c:v>
                </c:pt>
                <c:pt idx="7">
                  <c:v>419.53568002998196</c:v>
                </c:pt>
                <c:pt idx="8">
                  <c:v>342.39862394088669</c:v>
                </c:pt>
                <c:pt idx="9">
                  <c:v>419.40497259560198</c:v>
                </c:pt>
                <c:pt idx="10">
                  <c:v>572.01237536382916</c:v>
                </c:pt>
                <c:pt idx="11">
                  <c:v>419.40011533320984</c:v>
                </c:pt>
                <c:pt idx="12">
                  <c:v>390.91639557751341</c:v>
                </c:pt>
                <c:pt idx="13">
                  <c:v>351.70745301946744</c:v>
                </c:pt>
                <c:pt idx="14">
                  <c:v>337.19214543093341</c:v>
                </c:pt>
                <c:pt idx="15">
                  <c:v>299.0024715771554</c:v>
                </c:pt>
                <c:pt idx="16">
                  <c:v>282.81577565642806</c:v>
                </c:pt>
                <c:pt idx="17">
                  <c:v>294.58454732801266</c:v>
                </c:pt>
                <c:pt idx="18">
                  <c:v>248.68718376708577</c:v>
                </c:pt>
                <c:pt idx="19">
                  <c:v>223.44832261934465</c:v>
                </c:pt>
                <c:pt idx="20">
                  <c:v>302.40365016134308</c:v>
                </c:pt>
                <c:pt idx="21">
                  <c:v>235.00479062153562</c:v>
                </c:pt>
                <c:pt idx="22">
                  <c:v>178.11006138563386</c:v>
                </c:pt>
                <c:pt idx="23">
                  <c:v>118.23482435336557</c:v>
                </c:pt>
                <c:pt idx="24">
                  <c:v>161.91542147461632</c:v>
                </c:pt>
                <c:pt idx="25">
                  <c:v>197.93723765671544</c:v>
                </c:pt>
                <c:pt idx="26">
                  <c:v>328.12754259538082</c:v>
                </c:pt>
                <c:pt idx="27">
                  <c:v>48.930044605315103</c:v>
                </c:pt>
                <c:pt idx="28">
                  <c:v>35.958210506396043</c:v>
                </c:pt>
                <c:pt idx="29">
                  <c:v>49.49592347998118</c:v>
                </c:pt>
                <c:pt idx="30">
                  <c:v>249.78087294781344</c:v>
                </c:pt>
                <c:pt idx="31">
                  <c:v>302.13031319620922</c:v>
                </c:pt>
                <c:pt idx="32">
                  <c:v>337.07022702235008</c:v>
                </c:pt>
                <c:pt idx="33">
                  <c:v>435.44223374607105</c:v>
                </c:pt>
                <c:pt idx="34">
                  <c:v>433.59687512883852</c:v>
                </c:pt>
                <c:pt idx="35">
                  <c:v>436.50988709981027</c:v>
                </c:pt>
                <c:pt idx="36">
                  <c:v>404.52840375943759</c:v>
                </c:pt>
                <c:pt idx="37">
                  <c:v>376.64953804589067</c:v>
                </c:pt>
                <c:pt idx="38">
                  <c:v>480.07551894573112</c:v>
                </c:pt>
                <c:pt idx="39">
                  <c:v>629.78504436002663</c:v>
                </c:pt>
                <c:pt idx="40">
                  <c:v>533.00231854763763</c:v>
                </c:pt>
                <c:pt idx="41">
                  <c:v>423.78584386904993</c:v>
                </c:pt>
                <c:pt idx="42">
                  <c:v>384.6574396309004</c:v>
                </c:pt>
                <c:pt idx="43">
                  <c:v>445.91567830074041</c:v>
                </c:pt>
                <c:pt idx="44">
                  <c:v>430.86345626829763</c:v>
                </c:pt>
              </c:numCache>
            </c:numRef>
          </c:yVal>
          <c:smooth val="1"/>
          <c:extLst>
            <c:ext xmlns:c16="http://schemas.microsoft.com/office/drawing/2014/chart" uri="{C3380CC4-5D6E-409C-BE32-E72D297353CC}">
              <c16:uniqueId val="{00000001-FDA3-4A25-9A79-AC47FADF6C98}"/>
            </c:ext>
          </c:extLst>
        </c:ser>
        <c:ser>
          <c:idx val="2"/>
          <c:order val="2"/>
          <c:tx>
            <c:strRef>
              <c:f>'Ethylene-Propylene COP'!$C$155</c:f>
              <c:strCache>
                <c:ptCount val="1"/>
                <c:pt idx="0">
                  <c:v>PP Margin in $/MT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'Ethylene-Propylene COP'!$D$152:$AV$152</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'Ethylene-Propylene COP'!$D$155:$AV$155</c:f>
              <c:numCache>
                <c:formatCode>0</c:formatCode>
                <c:ptCount val="45"/>
                <c:pt idx="0">
                  <c:v>419.39695136547317</c:v>
                </c:pt>
                <c:pt idx="1">
                  <c:v>490.28929358343555</c:v>
                </c:pt>
                <c:pt idx="2">
                  <c:v>443.66995023080915</c:v>
                </c:pt>
                <c:pt idx="3">
                  <c:v>672.12754636498232</c:v>
                </c:pt>
                <c:pt idx="4">
                  <c:v>418.57973754702238</c:v>
                </c:pt>
                <c:pt idx="5">
                  <c:v>454.35800887488938</c:v>
                </c:pt>
                <c:pt idx="6">
                  <c:v>333.58203707560722</c:v>
                </c:pt>
                <c:pt idx="7">
                  <c:v>324.06070762994904</c:v>
                </c:pt>
                <c:pt idx="8">
                  <c:v>227.69064521372121</c:v>
                </c:pt>
                <c:pt idx="9">
                  <c:v>253.76689208501898</c:v>
                </c:pt>
                <c:pt idx="10">
                  <c:v>525.28260003673461</c:v>
                </c:pt>
                <c:pt idx="11">
                  <c:v>336.19526982980364</c:v>
                </c:pt>
                <c:pt idx="12">
                  <c:v>379.58848309191228</c:v>
                </c:pt>
                <c:pt idx="13">
                  <c:v>352.74406970833189</c:v>
                </c:pt>
                <c:pt idx="14">
                  <c:v>312.66068241540285</c:v>
                </c:pt>
                <c:pt idx="15">
                  <c:v>289.88829233083862</c:v>
                </c:pt>
                <c:pt idx="16">
                  <c:v>314.76048642706365</c:v>
                </c:pt>
                <c:pt idx="17">
                  <c:v>430.60019685009706</c:v>
                </c:pt>
                <c:pt idx="18">
                  <c:v>407.08869166813093</c:v>
                </c:pt>
                <c:pt idx="19">
                  <c:v>403.4341745982469</c:v>
                </c:pt>
                <c:pt idx="20">
                  <c:v>544.25548845687933</c:v>
                </c:pt>
                <c:pt idx="21">
                  <c:v>370.79383483265792</c:v>
                </c:pt>
                <c:pt idx="22">
                  <c:v>293.07393064327783</c:v>
                </c:pt>
                <c:pt idx="23">
                  <c:v>157.93750985007242</c:v>
                </c:pt>
                <c:pt idx="24">
                  <c:v>200.69271892008553</c:v>
                </c:pt>
                <c:pt idx="25">
                  <c:v>233.60469451682513</c:v>
                </c:pt>
                <c:pt idx="26">
                  <c:v>412.6613992071176</c:v>
                </c:pt>
                <c:pt idx="27">
                  <c:v>5.2147056709017594</c:v>
                </c:pt>
                <c:pt idx="28">
                  <c:v>74.702228630600274</c:v>
                </c:pt>
                <c:pt idx="29">
                  <c:v>10.020197687496051</c:v>
                </c:pt>
                <c:pt idx="30">
                  <c:v>284.4589996707366</c:v>
                </c:pt>
                <c:pt idx="31">
                  <c:v>311.74224127747488</c:v>
                </c:pt>
                <c:pt idx="32">
                  <c:v>314.22582158502377</c:v>
                </c:pt>
                <c:pt idx="33">
                  <c:v>468.94874170437515</c:v>
                </c:pt>
                <c:pt idx="34">
                  <c:v>451.80139703325426</c:v>
                </c:pt>
                <c:pt idx="35">
                  <c:v>468.50563833177864</c:v>
                </c:pt>
                <c:pt idx="36">
                  <c:v>494.69840494528495</c:v>
                </c:pt>
                <c:pt idx="37">
                  <c:v>435.44793273385477</c:v>
                </c:pt>
                <c:pt idx="38">
                  <c:v>604.74772722240516</c:v>
                </c:pt>
                <c:pt idx="39">
                  <c:v>709.70753267912721</c:v>
                </c:pt>
                <c:pt idx="40">
                  <c:v>575.4178190476141</c:v>
                </c:pt>
                <c:pt idx="41">
                  <c:v>446.05990621427861</c:v>
                </c:pt>
                <c:pt idx="42">
                  <c:v>343.2715765727354</c:v>
                </c:pt>
                <c:pt idx="43">
                  <c:v>466.28383867337504</c:v>
                </c:pt>
                <c:pt idx="44">
                  <c:v>472.39412874914854</c:v>
                </c:pt>
              </c:numCache>
            </c:numRef>
          </c:yVal>
          <c:smooth val="1"/>
          <c:extLst>
            <c:ext xmlns:c16="http://schemas.microsoft.com/office/drawing/2014/chart" uri="{C3380CC4-5D6E-409C-BE32-E72D297353CC}">
              <c16:uniqueId val="{00000002-FDA3-4A25-9A79-AC47FADF6C98}"/>
            </c:ext>
          </c:extLst>
        </c:ser>
        <c:dLbls>
          <c:showLegendKey val="0"/>
          <c:showVal val="0"/>
          <c:showCatName val="0"/>
          <c:showSerName val="0"/>
          <c:showPercent val="0"/>
          <c:showBubbleSize val="0"/>
        </c:dLbls>
        <c:axId val="494044112"/>
        <c:axId val="494842288"/>
      </c:scatterChart>
      <c:valAx>
        <c:axId val="494044112"/>
        <c:scaling>
          <c:orientation val="minMax"/>
          <c:max val="44500"/>
        </c:scaling>
        <c:delete val="0"/>
        <c:axPos val="b"/>
        <c:majorGridlines>
          <c:spPr>
            <a:ln w="9525" cap="flat" cmpd="sng" algn="ctr">
              <a:solidFill>
                <a:schemeClr val="tx1">
                  <a:lumMod val="15000"/>
                  <a:lumOff val="85000"/>
                </a:schemeClr>
              </a:solidFill>
              <a:round/>
            </a:ln>
            <a:effectLst/>
          </c:spPr>
        </c:majorGridlines>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42288"/>
        <c:crosses val="autoZero"/>
        <c:crossBetween val="midCat"/>
        <c:majorUnit val="90"/>
      </c:valAx>
      <c:valAx>
        <c:axId val="4948422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44112"/>
        <c:crosses val="autoZero"/>
        <c:crossBetween val="midCat"/>
      </c:valAx>
      <c:spPr>
        <a:noFill/>
        <a:ln>
          <a:noFill/>
        </a:ln>
        <a:effectLst/>
      </c:spPr>
    </c:plotArea>
    <c:legend>
      <c:legendPos val="b"/>
      <c:layout>
        <c:manualLayout>
          <c:xMode val="edge"/>
          <c:yMode val="edge"/>
          <c:x val="0.21673134629610943"/>
          <c:y val="0.19563149359022114"/>
          <c:w val="0.53126171802304856"/>
          <c:h val="3.41157637961631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'Prices and COP model'!$C$10</c:f>
              <c:strCache>
                <c:ptCount val="1"/>
                <c:pt idx="0">
                  <c:v>Naphtha Weighted Average Prices (INR/MT)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'Prices and COP model'!$D$5:$AV$5</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'Prices and COP model'!$D$10:$AV$10</c:f>
              <c:numCache>
                <c:formatCode>0.0</c:formatCode>
                <c:ptCount val="45"/>
                <c:pt idx="0">
                  <c:v>37468.917824886834</c:v>
                </c:pt>
                <c:pt idx="1">
                  <c:v>34979.7952647251</c:v>
                </c:pt>
                <c:pt idx="2">
                  <c:v>36995.226789598193</c:v>
                </c:pt>
                <c:pt idx="3">
                  <c:v>38411.434700802383</c:v>
                </c:pt>
                <c:pt idx="4">
                  <c:v>43077.696672195132</c:v>
                </c:pt>
                <c:pt idx="5">
                  <c:v>42339.113972658684</c:v>
                </c:pt>
                <c:pt idx="6">
                  <c:v>44176.800315880733</c:v>
                </c:pt>
                <c:pt idx="7">
                  <c:v>45449.873001355765</c:v>
                </c:pt>
                <c:pt idx="8">
                  <c:v>48374.835244225556</c:v>
                </c:pt>
                <c:pt idx="9">
                  <c:v>49736.488507928807</c:v>
                </c:pt>
                <c:pt idx="10">
                  <c:v>36558.702058330193</c:v>
                </c:pt>
                <c:pt idx="11">
                  <c:v>31387.522192377604</c:v>
                </c:pt>
                <c:pt idx="12">
                  <c:v>31954.700264411553</c:v>
                </c:pt>
                <c:pt idx="13">
                  <c:v>35488.590056570771</c:v>
                </c:pt>
                <c:pt idx="14">
                  <c:v>37151.720463657031</c:v>
                </c:pt>
                <c:pt idx="15">
                  <c:v>40224.487971509581</c:v>
                </c:pt>
                <c:pt idx="16">
                  <c:v>39776.808056372938</c:v>
                </c:pt>
                <c:pt idx="17">
                  <c:v>32806.091323106572</c:v>
                </c:pt>
                <c:pt idx="18">
                  <c:v>34852.034397102398</c:v>
                </c:pt>
                <c:pt idx="19">
                  <c:v>32743.412011815777</c:v>
                </c:pt>
                <c:pt idx="20">
                  <c:v>33941.49447086802</c:v>
                </c:pt>
                <c:pt idx="21">
                  <c:v>36161.070807658274</c:v>
                </c:pt>
                <c:pt idx="22">
                  <c:v>36208.29768815585</c:v>
                </c:pt>
                <c:pt idx="23">
                  <c:v>39212.402929615775</c:v>
                </c:pt>
                <c:pt idx="24">
                  <c:v>38005.50999905145</c:v>
                </c:pt>
                <c:pt idx="25">
                  <c:v>33948.919195272174</c:v>
                </c:pt>
                <c:pt idx="26">
                  <c:v>21830.230520384102</c:v>
                </c:pt>
                <c:pt idx="27">
                  <c:v>41618.000025444984</c:v>
                </c:pt>
                <c:pt idx="28">
                  <c:v>36293.110003071568</c:v>
                </c:pt>
                <c:pt idx="29">
                  <c:v>40230.560009202418</c:v>
                </c:pt>
                <c:pt idx="30">
                  <c:v>28984.506728422391</c:v>
                </c:pt>
                <c:pt idx="31">
                  <c:v>29296.224637839514</c:v>
                </c:pt>
                <c:pt idx="32">
                  <c:v>28071.268352741423</c:v>
                </c:pt>
                <c:pt idx="33">
                  <c:v>23219.340304109319</c:v>
                </c:pt>
                <c:pt idx="34">
                  <c:v>27680.138169883663</c:v>
                </c:pt>
                <c:pt idx="35">
                  <c:v>31896.526510107997</c:v>
                </c:pt>
                <c:pt idx="36">
                  <c:v>36352.617012931434</c:v>
                </c:pt>
                <c:pt idx="37">
                  <c:v>40134.773482798308</c:v>
                </c:pt>
                <c:pt idx="38">
                  <c:v>42943.647213612938</c:v>
                </c:pt>
                <c:pt idx="39">
                  <c:v>41061.486307385807</c:v>
                </c:pt>
                <c:pt idx="40">
                  <c:v>43266.069260132143</c:v>
                </c:pt>
                <c:pt idx="41">
                  <c:v>46764.427300723</c:v>
                </c:pt>
                <c:pt idx="42">
                  <c:v>49848.163616800543</c:v>
                </c:pt>
                <c:pt idx="43">
                  <c:v>47958.871071535585</c:v>
                </c:pt>
                <c:pt idx="44">
                  <c:v>49198.016422217115</c:v>
                </c:pt>
              </c:numCache>
            </c:numRef>
          </c:yVal>
          <c:smooth val="0"/>
          <c:extLst>
            <c:ext xmlns:c16="http://schemas.microsoft.com/office/drawing/2014/chart" uri="{C3380CC4-5D6E-409C-BE32-E72D297353CC}">
              <c16:uniqueId val="{00000000-BF36-4947-AF40-D50A62D3B3BA}"/>
            </c:ext>
          </c:extLst>
        </c:ser>
        <c:ser>
          <c:idx val="1"/>
          <c:order val="1"/>
          <c:tx>
            <c:strRef>
              <c:f>'Prices and COP model'!$C$9</c:f>
              <c:strCache>
                <c:ptCount val="1"/>
                <c:pt idx="0">
                  <c:v>Butane Weighted Average Prices (INR/MT)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'Prices and COP model'!$D$5:$AV$5</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'Prices and COP model'!$D$9:$AV$9</c:f>
              <c:numCache>
                <c:formatCode>0.0</c:formatCode>
                <c:ptCount val="45"/>
                <c:pt idx="0">
                  <c:v>37934.865946679616</c:v>
                </c:pt>
                <c:pt idx="1">
                  <c:v>33977.640442957862</c:v>
                </c:pt>
                <c:pt idx="2">
                  <c:v>31621.932879798373</c:v>
                </c:pt>
                <c:pt idx="3">
                  <c:v>32245.619069523007</c:v>
                </c:pt>
                <c:pt idx="4">
                  <c:v>35684.70245863789</c:v>
                </c:pt>
                <c:pt idx="5">
                  <c:v>39729.847125147098</c:v>
                </c:pt>
                <c:pt idx="6">
                  <c:v>40952.16644234657</c:v>
                </c:pt>
                <c:pt idx="7">
                  <c:v>43265.008516764698</c:v>
                </c:pt>
                <c:pt idx="8">
                  <c:v>47988.175639430039</c:v>
                </c:pt>
                <c:pt idx="9">
                  <c:v>50433.177687914897</c:v>
                </c:pt>
                <c:pt idx="10">
                  <c:v>39526.941750297483</c:v>
                </c:pt>
                <c:pt idx="11">
                  <c:v>30706.727022092222</c:v>
                </c:pt>
                <c:pt idx="12">
                  <c:v>31116.496307792124</c:v>
                </c:pt>
                <c:pt idx="13">
                  <c:v>35009.966798561858</c:v>
                </c:pt>
                <c:pt idx="14">
                  <c:v>37788.034281404027</c:v>
                </c:pt>
                <c:pt idx="15">
                  <c:v>38867.056236388496</c:v>
                </c:pt>
                <c:pt idx="16">
                  <c:v>38678.266268318395</c:v>
                </c:pt>
                <c:pt idx="17">
                  <c:v>30138.909034848981</c:v>
                </c:pt>
                <c:pt idx="18">
                  <c:v>25548.609383721534</c:v>
                </c:pt>
                <c:pt idx="19">
                  <c:v>26760.845915432019</c:v>
                </c:pt>
                <c:pt idx="20">
                  <c:v>26872.996097798805</c:v>
                </c:pt>
                <c:pt idx="21">
                  <c:v>32318.693176917925</c:v>
                </c:pt>
                <c:pt idx="22">
                  <c:v>33253.389942674119</c:v>
                </c:pt>
                <c:pt idx="23">
                  <c:v>33880.879188109247</c:v>
                </c:pt>
                <c:pt idx="24">
                  <c:v>44015.264630194491</c:v>
                </c:pt>
                <c:pt idx="25">
                  <c:v>40776.774414982094</c:v>
                </c:pt>
                <c:pt idx="26">
                  <c:v>37265.269327664537</c:v>
                </c:pt>
                <c:pt idx="27">
                  <c:v>19125.668604651164</c:v>
                </c:pt>
                <c:pt idx="28">
                  <c:v>26903.941500000001</c:v>
                </c:pt>
                <c:pt idx="29">
                  <c:v>26159.661614028053</c:v>
                </c:pt>
                <c:pt idx="30">
                  <c:v>26674.737698603414</c:v>
                </c:pt>
                <c:pt idx="31">
                  <c:v>26951.072804257299</c:v>
                </c:pt>
                <c:pt idx="32">
                  <c:v>27292.749632570878</c:v>
                </c:pt>
                <c:pt idx="33">
                  <c:v>29207.059319259082</c:v>
                </c:pt>
                <c:pt idx="34">
                  <c:v>34185.03825123742</c:v>
                </c:pt>
                <c:pt idx="35">
                  <c:v>35409.408776058146</c:v>
                </c:pt>
                <c:pt idx="36">
                  <c:v>40548.590675430503</c:v>
                </c:pt>
                <c:pt idx="37">
                  <c:v>44551.491526971819</c:v>
                </c:pt>
                <c:pt idx="38">
                  <c:v>45328.551547510528</c:v>
                </c:pt>
                <c:pt idx="39">
                  <c:v>41304.84915769448</c:v>
                </c:pt>
                <c:pt idx="40">
                  <c:v>36449.953636561011</c:v>
                </c:pt>
                <c:pt idx="41">
                  <c:v>40423.343654069329</c:v>
                </c:pt>
                <c:pt idx="42">
                  <c:v>48277.23010084885</c:v>
                </c:pt>
                <c:pt idx="43">
                  <c:v>50779.51102849115</c:v>
                </c:pt>
                <c:pt idx="44">
                  <c:v>51112.515377978409</c:v>
                </c:pt>
              </c:numCache>
            </c:numRef>
          </c:yVal>
          <c:smooth val="0"/>
          <c:extLst>
            <c:ext xmlns:c16="http://schemas.microsoft.com/office/drawing/2014/chart" uri="{C3380CC4-5D6E-409C-BE32-E72D297353CC}">
              <c16:uniqueId val="{00000001-BF36-4947-AF40-D50A62D3B3BA}"/>
            </c:ext>
          </c:extLst>
        </c:ser>
        <c:ser>
          <c:idx val="4"/>
          <c:order val="4"/>
          <c:tx>
            <c:strRef>
              <c:f>'Prices and COP model'!$C$8</c:f>
              <c:strCache>
                <c:ptCount val="1"/>
                <c:pt idx="0">
                  <c:v>Propane Weighted Average Prices (INR/MT)</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'Prices and COP model'!$D$5:$AV$5</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'Prices and COP model'!$D$8:$AV$8</c:f>
              <c:numCache>
                <c:formatCode>0.0</c:formatCode>
                <c:ptCount val="45"/>
                <c:pt idx="0">
                  <c:v>39267.73976152447</c:v>
                </c:pt>
                <c:pt idx="1">
                  <c:v>35320.99284552411</c:v>
                </c:pt>
                <c:pt idx="2">
                  <c:v>32642.643561859699</c:v>
                </c:pt>
                <c:pt idx="3">
                  <c:v>32591.713857151481</c:v>
                </c:pt>
                <c:pt idx="4">
                  <c:v>35322.25032773053</c:v>
                </c:pt>
                <c:pt idx="5">
                  <c:v>39703.969071957552</c:v>
                </c:pt>
                <c:pt idx="6">
                  <c:v>39873.279388030664</c:v>
                </c:pt>
                <c:pt idx="7">
                  <c:v>42186.838343884381</c:v>
                </c:pt>
                <c:pt idx="8">
                  <c:v>45353.692547267237</c:v>
                </c:pt>
                <c:pt idx="9">
                  <c:v>50421.563709397698</c:v>
                </c:pt>
                <c:pt idx="10">
                  <c:v>40583.378652357023</c:v>
                </c:pt>
                <c:pt idx="11">
                  <c:v>32948.17063043618</c:v>
                </c:pt>
                <c:pt idx="12">
                  <c:v>31831.243798285665</c:v>
                </c:pt>
                <c:pt idx="13">
                  <c:v>32775.625890130817</c:v>
                </c:pt>
                <c:pt idx="14">
                  <c:v>35603.026406517805</c:v>
                </c:pt>
                <c:pt idx="15">
                  <c:v>37413.346401247443</c:v>
                </c:pt>
                <c:pt idx="16">
                  <c:v>38313.43145419551</c:v>
                </c:pt>
                <c:pt idx="17">
                  <c:v>31229.255203616198</c:v>
                </c:pt>
                <c:pt idx="18">
                  <c:v>26987.793742556612</c:v>
                </c:pt>
                <c:pt idx="19">
                  <c:v>27502.94958707604</c:v>
                </c:pt>
                <c:pt idx="20">
                  <c:v>26129.656129075174</c:v>
                </c:pt>
                <c:pt idx="21">
                  <c:v>31204.144072500429</c:v>
                </c:pt>
                <c:pt idx="22">
                  <c:v>32130.775456387943</c:v>
                </c:pt>
                <c:pt idx="23">
                  <c:v>32763.935287141259</c:v>
                </c:pt>
                <c:pt idx="24">
                  <c:v>42146.917092812088</c:v>
                </c:pt>
                <c:pt idx="25">
                  <c:v>37776.741118253449</c:v>
                </c:pt>
                <c:pt idx="26">
                  <c:v>33392.157412302018</c:v>
                </c:pt>
                <c:pt idx="27">
                  <c:v>18333.270191784217</c:v>
                </c:pt>
                <c:pt idx="28">
                  <c:v>26907.499996889728</c:v>
                </c:pt>
                <c:pt idx="29">
                  <c:v>27733.582571128205</c:v>
                </c:pt>
                <c:pt idx="30">
                  <c:v>28238.348704213</c:v>
                </c:pt>
                <c:pt idx="31">
                  <c:v>28510.385603307008</c:v>
                </c:pt>
                <c:pt idx="32">
                  <c:v>28060.277302456198</c:v>
                </c:pt>
                <c:pt idx="33">
                  <c:v>28820.536895295158</c:v>
                </c:pt>
                <c:pt idx="34">
                  <c:v>33404.388819080297</c:v>
                </c:pt>
                <c:pt idx="35">
                  <c:v>34644.168688458158</c:v>
                </c:pt>
                <c:pt idx="36">
                  <c:v>42078.873462612726</c:v>
                </c:pt>
                <c:pt idx="37">
                  <c:v>46073.542822435593</c:v>
                </c:pt>
                <c:pt idx="38">
                  <c:v>47621.606524213996</c:v>
                </c:pt>
                <c:pt idx="39">
                  <c:v>43640.112363280605</c:v>
                </c:pt>
                <c:pt idx="40">
                  <c:v>37985.33224426135</c:v>
                </c:pt>
                <c:pt idx="41">
                  <c:v>40810.0621081149</c:v>
                </c:pt>
                <c:pt idx="42">
                  <c:v>48277.341437526047</c:v>
                </c:pt>
                <c:pt idx="43">
                  <c:v>51157.210854820602</c:v>
                </c:pt>
                <c:pt idx="44">
                  <c:v>51107.125769928265</c:v>
                </c:pt>
              </c:numCache>
            </c:numRef>
          </c:yVal>
          <c:smooth val="0"/>
          <c:extLst>
            <c:ext xmlns:c16="http://schemas.microsoft.com/office/drawing/2014/chart" uri="{C3380CC4-5D6E-409C-BE32-E72D297353CC}">
              <c16:uniqueId val="{00000002-BF36-4947-AF40-D50A62D3B3BA}"/>
            </c:ext>
          </c:extLst>
        </c:ser>
        <c:dLbls>
          <c:showLegendKey val="0"/>
          <c:showVal val="0"/>
          <c:showCatName val="0"/>
          <c:showSerName val="0"/>
          <c:showPercent val="0"/>
          <c:showBubbleSize val="0"/>
        </c:dLbls>
        <c:axId val="494836408"/>
        <c:axId val="494835624"/>
        <c:extLst>
          <c:ext xmlns:c15="http://schemas.microsoft.com/office/drawing/2012/chart" uri="{02D57815-91ED-43cb-92C2-25804820EDAC}">
            <c15:filteredScatterSeries>
              <c15:ser>
                <c:idx val="3"/>
                <c:order val="3"/>
                <c:tx>
                  <c:strRef>
                    <c:extLst>
                      <c:ext uri="{02D57815-91ED-43cb-92C2-25804820EDAC}">
                        <c15:formulaRef>
                          <c15:sqref>'Prices and COP model'!$C$7</c15:sqref>
                        </c15:formulaRef>
                      </c:ext>
                    </c:extLst>
                    <c:strCache>
                      <c:ptCount val="1"/>
                      <c:pt idx="0">
                        <c:v>Ethane Weighted Average Prices (INR/MT)</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c:ext uri="{02D57815-91ED-43cb-92C2-25804820EDAC}">
                        <c15:formulaRef>
                          <c15:sqref>'Prices and COP model'!$D$5:$AV$5</c15:sqref>
                        </c15:formulaRef>
                      </c:ext>
                    </c:extLst>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extLst>
                      <c:ext uri="{02D57815-91ED-43cb-92C2-25804820EDAC}">
                        <c15:formulaRef>
                          <c15:sqref>'Prices and COP model'!$D$7:$AV$7</c15:sqref>
                        </c15:formulaRef>
                      </c:ext>
                    </c:extLst>
                    <c:numCache>
                      <c:formatCode>0.0</c:formatCode>
                      <c:ptCount val="45"/>
                      <c:pt idx="0">
                        <c:v>28994.924777010401</c:v>
                      </c:pt>
                      <c:pt idx="1">
                        <c:v>29083.53795837006</c:v>
                      </c:pt>
                      <c:pt idx="2">
                        <c:v>34366.504780699324</c:v>
                      </c:pt>
                      <c:pt idx="3">
                        <c:v>33560.84076592559</c:v>
                      </c:pt>
                      <c:pt idx="4">
                        <c:v>26218.900621677058</c:v>
                      </c:pt>
                      <c:pt idx="5">
                        <c:v>35995.3751249493</c:v>
                      </c:pt>
                      <c:pt idx="6">
                        <c:v>40427.168047868036</c:v>
                      </c:pt>
                      <c:pt idx="7">
                        <c:v>41802.471042837584</c:v>
                      </c:pt>
                      <c:pt idx="8">
                        <c:v>42113.614300327099</c:v>
                      </c:pt>
                      <c:pt idx="9">
                        <c:v>25996.232831627069</c:v>
                      </c:pt>
                      <c:pt idx="10">
                        <c:v>23233.174449043679</c:v>
                      </c:pt>
                      <c:pt idx="11">
                        <c:v>23262.637969758925</c:v>
                      </c:pt>
                      <c:pt idx="12">
                        <c:v>23907.7292329458</c:v>
                      </c:pt>
                      <c:pt idx="13">
                        <c:v>23317.963262738322</c:v>
                      </c:pt>
                      <c:pt idx="14">
                        <c:v>23383.118785073329</c:v>
                      </c:pt>
                      <c:pt idx="15">
                        <c:v>24651.246231346595</c:v>
                      </c:pt>
                      <c:pt idx="16">
                        <c:v>24557.925586871806</c:v>
                      </c:pt>
                      <c:pt idx="17">
                        <c:v>24829.484559121953</c:v>
                      </c:pt>
                      <c:pt idx="18">
                        <c:v>25055.43026719796</c:v>
                      </c:pt>
                      <c:pt idx="19">
                        <c:v>25788.630012426867</c:v>
                      </c:pt>
                      <c:pt idx="20">
                        <c:v>24643.230588247261</c:v>
                      </c:pt>
                      <c:pt idx="21">
                        <c:v>22952.67731483098</c:v>
                      </c:pt>
                      <c:pt idx="22">
                        <c:v>22947.88884116093</c:v>
                      </c:pt>
                      <c:pt idx="23">
                        <c:v>23317.24351414209</c:v>
                      </c:pt>
                      <c:pt idx="24">
                        <c:v>23890.571956586806</c:v>
                      </c:pt>
                      <c:pt idx="25">
                        <c:v>24228.610372014118</c:v>
                      </c:pt>
                      <c:pt idx="26">
                        <c:v>23541.978231953181</c:v>
                      </c:pt>
                      <c:pt idx="27">
                        <c:v>20644.541889138898</c:v>
                      </c:pt>
                      <c:pt idx="28">
                        <c:v>20890.304335565754</c:v>
                      </c:pt>
                      <c:pt idx="29">
                        <c:v>21374.533561952143</c:v>
                      </c:pt>
                      <c:pt idx="30">
                        <c:v>20823.815492546022</c:v>
                      </c:pt>
                      <c:pt idx="31">
                        <c:v>21262.530692823591</c:v>
                      </c:pt>
                      <c:pt idx="32">
                        <c:v>21999.186981115297</c:v>
                      </c:pt>
                      <c:pt idx="33">
                        <c:v>19071.183854484243</c:v>
                      </c:pt>
                      <c:pt idx="34">
                        <c:v>18416.612908296738</c:v>
                      </c:pt>
                      <c:pt idx="35">
                        <c:v>19631.38584711331</c:v>
                      </c:pt>
                      <c:pt idx="36">
                        <c:v>18862.12739731725</c:v>
                      </c:pt>
                      <c:pt idx="37">
                        <c:v>19417.545218868301</c:v>
                      </c:pt>
                      <c:pt idx="38">
                        <c:v>19573.277993613043</c:v>
                      </c:pt>
                      <c:pt idx="39">
                        <c:v>19181.382115766464</c:v>
                      </c:pt>
                      <c:pt idx="40">
                        <c:v>19438.661485292767</c:v>
                      </c:pt>
                      <c:pt idx="41">
                        <c:v>19349.709140187424</c:v>
                      </c:pt>
                      <c:pt idx="42">
                        <c:v>19586.01839165475</c:v>
                      </c:pt>
                      <c:pt idx="43">
                        <c:v>18872.315054019989</c:v>
                      </c:pt>
                      <c:pt idx="44">
                        <c:v>18949.614134508891</c:v>
                      </c:pt>
                    </c:numCache>
                  </c:numRef>
                </c:yVal>
                <c:smooth val="0"/>
                <c:extLst>
                  <c:ext xmlns:c16="http://schemas.microsoft.com/office/drawing/2014/chart" uri="{C3380CC4-5D6E-409C-BE32-E72D297353CC}">
                    <c16:uniqueId val="{00000005-BF36-4947-AF40-D50A62D3B3BA}"/>
                  </c:ext>
                </c:extLst>
              </c15:ser>
            </c15:filteredScatterSeries>
          </c:ext>
        </c:extLst>
      </c:scatterChart>
      <c:scatterChart>
        <c:scatterStyle val="lineMarker"/>
        <c:varyColors val="0"/>
        <c:ser>
          <c:idx val="5"/>
          <c:order val="5"/>
          <c:tx>
            <c:strRef>
              <c:f>'Prices and COP model'!$C$11</c:f>
              <c:strCache>
                <c:ptCount val="1"/>
                <c:pt idx="0">
                  <c:v>LNGas Cost Rs/MMBTU)</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'Prices and COP model'!$D$5:$AV$5</c:f>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f>'Prices and COP model'!$D$11:$AV$11</c:f>
              <c:numCache>
                <c:formatCode>0.0</c:formatCode>
                <c:ptCount val="45"/>
                <c:pt idx="0">
                  <c:v>527</c:v>
                </c:pt>
                <c:pt idx="1">
                  <c:v>725</c:v>
                </c:pt>
                <c:pt idx="2">
                  <c:v>731</c:v>
                </c:pt>
                <c:pt idx="3">
                  <c:v>683.35192411641094</c:v>
                </c:pt>
                <c:pt idx="4">
                  <c:v>727.45879248730159</c:v>
                </c:pt>
                <c:pt idx="5">
                  <c:v>790.46535767833188</c:v>
                </c:pt>
                <c:pt idx="6">
                  <c:v>835.82228336641663</c:v>
                </c:pt>
                <c:pt idx="7">
                  <c:v>855.64779771974872</c:v>
                </c:pt>
                <c:pt idx="8">
                  <c:v>831.01152604586082</c:v>
                </c:pt>
                <c:pt idx="9">
                  <c:v>894.32305357357711</c:v>
                </c:pt>
                <c:pt idx="10">
                  <c:v>848.00352710543211</c:v>
                </c:pt>
                <c:pt idx="11">
                  <c:v>762.53950609685091</c:v>
                </c:pt>
                <c:pt idx="12">
                  <c:v>747.97322905859232</c:v>
                </c:pt>
                <c:pt idx="13">
                  <c:v>816.24945468112071</c:v>
                </c:pt>
                <c:pt idx="14">
                  <c:v>713.84568622483982</c:v>
                </c:pt>
                <c:pt idx="15">
                  <c:v>547.77</c:v>
                </c:pt>
                <c:pt idx="16">
                  <c:v>505.25</c:v>
                </c:pt>
                <c:pt idx="17">
                  <c:v>522.21</c:v>
                </c:pt>
                <c:pt idx="18">
                  <c:v>559.08000000000004</c:v>
                </c:pt>
                <c:pt idx="19">
                  <c:v>496.47</c:v>
                </c:pt>
                <c:pt idx="20">
                  <c:v>463.19</c:v>
                </c:pt>
                <c:pt idx="21">
                  <c:v>620.35</c:v>
                </c:pt>
                <c:pt idx="22">
                  <c:v>540.62</c:v>
                </c:pt>
                <c:pt idx="23">
                  <c:v>605.28</c:v>
                </c:pt>
                <c:pt idx="24">
                  <c:v>485.79</c:v>
                </c:pt>
                <c:pt idx="25">
                  <c:v>478.65</c:v>
                </c:pt>
                <c:pt idx="26">
                  <c:v>313.06</c:v>
                </c:pt>
                <c:pt idx="27">
                  <c:v>546.95000000000005</c:v>
                </c:pt>
                <c:pt idx="28">
                  <c:v>498.46</c:v>
                </c:pt>
                <c:pt idx="29">
                  <c:v>285.66000000000003</c:v>
                </c:pt>
                <c:pt idx="30">
                  <c:v>264.85000000000002</c:v>
                </c:pt>
                <c:pt idx="31">
                  <c:v>334.58</c:v>
                </c:pt>
                <c:pt idx="32">
                  <c:v>410.09</c:v>
                </c:pt>
                <c:pt idx="33">
                  <c:v>471.71</c:v>
                </c:pt>
                <c:pt idx="34">
                  <c:v>532.29999999999995</c:v>
                </c:pt>
                <c:pt idx="35">
                  <c:v>588.39</c:v>
                </c:pt>
                <c:pt idx="36">
                  <c:v>675.69</c:v>
                </c:pt>
                <c:pt idx="37">
                  <c:v>872.05</c:v>
                </c:pt>
                <c:pt idx="38">
                  <c:v>766.06</c:v>
                </c:pt>
                <c:pt idx="39">
                  <c:v>565.04999999999995</c:v>
                </c:pt>
                <c:pt idx="40">
                  <c:v>567.25</c:v>
                </c:pt>
                <c:pt idx="41">
                  <c:v>619.33000000000004</c:v>
                </c:pt>
                <c:pt idx="42">
                  <c:v>708.17</c:v>
                </c:pt>
                <c:pt idx="43">
                  <c:v>868.98</c:v>
                </c:pt>
                <c:pt idx="44">
                  <c:v>938.53</c:v>
                </c:pt>
              </c:numCache>
            </c:numRef>
          </c:yVal>
          <c:smooth val="0"/>
          <c:extLst>
            <c:ext xmlns:c16="http://schemas.microsoft.com/office/drawing/2014/chart" uri="{C3380CC4-5D6E-409C-BE32-E72D297353CC}">
              <c16:uniqueId val="{00000003-BF36-4947-AF40-D50A62D3B3BA}"/>
            </c:ext>
          </c:extLst>
        </c:ser>
        <c:dLbls>
          <c:showLegendKey val="0"/>
          <c:showVal val="0"/>
          <c:showCatName val="0"/>
          <c:showSerName val="0"/>
          <c:showPercent val="0"/>
          <c:showBubbleSize val="0"/>
        </c:dLbls>
        <c:axId val="494842680"/>
        <c:axId val="494837584"/>
        <c:extLst>
          <c:ext xmlns:c15="http://schemas.microsoft.com/office/drawing/2012/chart" uri="{02D57815-91ED-43cb-92C2-25804820EDAC}">
            <c15:filteredScatterSeries>
              <c15:ser>
                <c:idx val="2"/>
                <c:order val="2"/>
                <c:tx>
                  <c:strRef>
                    <c:extLst>
                      <c:ext uri="{02D57815-91ED-43cb-92C2-25804820EDAC}">
                        <c15:formulaRef>
                          <c15:sqref>'Prices and COP model'!$C$6</c15:sqref>
                        </c15:formulaRef>
                      </c:ext>
                    </c:extLst>
                    <c:strCache>
                      <c:ptCount val="1"/>
                      <c:pt idx="0">
                        <c:v>Ethane Weighted Average Prices (INR/MMBTU)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c:ext uri="{02D57815-91ED-43cb-92C2-25804820EDAC}">
                        <c15:formulaRef>
                          <c15:sqref>'Prices and COP model'!$D$5:$AV$5</c15:sqref>
                        </c15:formulaRef>
                      </c:ext>
                    </c:extLst>
                    <c:numCache>
                      <c:formatCode>mmm\-yy</c:formatCode>
                      <c:ptCount val="45"/>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pt idx="12">
                        <c:v>43466</c:v>
                      </c:pt>
                      <c:pt idx="13">
                        <c:v>43497</c:v>
                      </c:pt>
                      <c:pt idx="14">
                        <c:v>43525</c:v>
                      </c:pt>
                      <c:pt idx="15">
                        <c:v>43556</c:v>
                      </c:pt>
                      <c:pt idx="16">
                        <c:v>43586</c:v>
                      </c:pt>
                      <c:pt idx="17">
                        <c:v>43617</c:v>
                      </c:pt>
                      <c:pt idx="18">
                        <c:v>43647</c:v>
                      </c:pt>
                      <c:pt idx="19">
                        <c:v>43678</c:v>
                      </c:pt>
                      <c:pt idx="20">
                        <c:v>43709</c:v>
                      </c:pt>
                      <c:pt idx="21">
                        <c:v>43739</c:v>
                      </c:pt>
                      <c:pt idx="22">
                        <c:v>43770</c:v>
                      </c:pt>
                      <c:pt idx="23">
                        <c:v>43800</c:v>
                      </c:pt>
                      <c:pt idx="24">
                        <c:v>43831</c:v>
                      </c:pt>
                      <c:pt idx="25">
                        <c:v>43862</c:v>
                      </c:pt>
                      <c:pt idx="26">
                        <c:v>43891</c:v>
                      </c:pt>
                      <c:pt idx="27">
                        <c:v>43922</c:v>
                      </c:pt>
                      <c:pt idx="28">
                        <c:v>43952</c:v>
                      </c:pt>
                      <c:pt idx="29">
                        <c:v>43983</c:v>
                      </c:pt>
                      <c:pt idx="30">
                        <c:v>44013</c:v>
                      </c:pt>
                      <c:pt idx="31">
                        <c:v>44044</c:v>
                      </c:pt>
                      <c:pt idx="32">
                        <c:v>44075</c:v>
                      </c:pt>
                      <c:pt idx="33">
                        <c:v>44105</c:v>
                      </c:pt>
                      <c:pt idx="34">
                        <c:v>44136</c:v>
                      </c:pt>
                      <c:pt idx="35">
                        <c:v>44166</c:v>
                      </c:pt>
                      <c:pt idx="36">
                        <c:v>44197</c:v>
                      </c:pt>
                      <c:pt idx="37">
                        <c:v>44228</c:v>
                      </c:pt>
                      <c:pt idx="38">
                        <c:v>44256</c:v>
                      </c:pt>
                      <c:pt idx="39">
                        <c:v>44287</c:v>
                      </c:pt>
                      <c:pt idx="40">
                        <c:v>44317</c:v>
                      </c:pt>
                      <c:pt idx="41">
                        <c:v>44348</c:v>
                      </c:pt>
                      <c:pt idx="42">
                        <c:v>44378</c:v>
                      </c:pt>
                      <c:pt idx="43">
                        <c:v>44409</c:v>
                      </c:pt>
                      <c:pt idx="44">
                        <c:v>44440</c:v>
                      </c:pt>
                    </c:numCache>
                  </c:numRef>
                </c:xVal>
                <c:yVal>
                  <c:numRef>
                    <c:extLst>
                      <c:ext uri="{02D57815-91ED-43cb-92C2-25804820EDAC}">
                        <c15:formulaRef>
                          <c15:sqref>'Prices and COP model'!$D$6:$AV$6</c15:sqref>
                        </c15:formulaRef>
                      </c:ext>
                    </c:extLst>
                    <c:numCache>
                      <c:formatCode>0.0</c:formatCode>
                      <c:ptCount val="45"/>
                      <c:pt idx="0">
                        <c:v>588.71747803983283</c:v>
                      </c:pt>
                      <c:pt idx="1">
                        <c:v>590.5166939044143</c:v>
                      </c:pt>
                      <c:pt idx="2">
                        <c:v>697.78287680121571</c:v>
                      </c:pt>
                      <c:pt idx="3">
                        <c:v>681.42454890166846</c:v>
                      </c:pt>
                      <c:pt idx="4">
                        <c:v>532.3526503234558</c:v>
                      </c:pt>
                      <c:pt idx="5">
                        <c:v>730.85571449593704</c:v>
                      </c:pt>
                      <c:pt idx="6">
                        <c:v>820.83952969259474</c:v>
                      </c:pt>
                      <c:pt idx="7">
                        <c:v>848.76389635213764</c:v>
                      </c:pt>
                      <c:pt idx="8">
                        <c:v>855.08139761372263</c:v>
                      </c:pt>
                      <c:pt idx="9">
                        <c:v>527.8315687615243</c:v>
                      </c:pt>
                      <c:pt idx="10">
                        <c:v>471.73000011868834</c:v>
                      </c:pt>
                      <c:pt idx="11">
                        <c:v>472.32823204179397</c:v>
                      </c:pt>
                      <c:pt idx="12">
                        <c:v>485.42626573181502</c:v>
                      </c:pt>
                      <c:pt idx="13">
                        <c:v>473.45156542531328</c:v>
                      </c:pt>
                      <c:pt idx="14">
                        <c:v>474.77449331991664</c:v>
                      </c:pt>
                      <c:pt idx="15">
                        <c:v>500.52275091136357</c:v>
                      </c:pt>
                      <c:pt idx="16">
                        <c:v>498.62795398097768</c:v>
                      </c:pt>
                      <c:pt idx="17">
                        <c:v>504.14172973696628</c:v>
                      </c:pt>
                      <c:pt idx="18">
                        <c:v>508.72936665809738</c:v>
                      </c:pt>
                      <c:pt idx="19">
                        <c:v>523.61636871898418</c:v>
                      </c:pt>
                      <c:pt idx="20">
                        <c:v>500.36000004283744</c:v>
                      </c:pt>
                      <c:pt idx="21">
                        <c:v>466.0347425271932</c:v>
                      </c:pt>
                      <c:pt idx="22">
                        <c:v>465.93751661043797</c:v>
                      </c:pt>
                      <c:pt idx="23">
                        <c:v>473.43695153748098</c:v>
                      </c:pt>
                      <c:pt idx="24">
                        <c:v>485.07790171480923</c:v>
                      </c:pt>
                      <c:pt idx="25">
                        <c:v>491.94148646081072</c:v>
                      </c:pt>
                      <c:pt idx="26">
                        <c:v>478.00000032326852</c:v>
                      </c:pt>
                      <c:pt idx="27">
                        <c:v>419.17000060293611</c:v>
                      </c:pt>
                      <c:pt idx="28">
                        <c:v>424.15999967242971</c:v>
                      </c:pt>
                      <c:pt idx="29">
                        <c:v>433.9918654607971</c:v>
                      </c:pt>
                      <c:pt idx="30">
                        <c:v>422.8099998265464</c:v>
                      </c:pt>
                      <c:pt idx="31">
                        <c:v>431.71774172522294</c:v>
                      </c:pt>
                      <c:pt idx="32">
                        <c:v>446.67492597593485</c:v>
                      </c:pt>
                      <c:pt idx="33">
                        <c:v>387.22429350629227</c:v>
                      </c:pt>
                      <c:pt idx="34">
                        <c:v>373.93378285309001</c:v>
                      </c:pt>
                      <c:pt idx="35">
                        <c:v>398.59872219785996</c:v>
                      </c:pt>
                      <c:pt idx="36">
                        <c:v>382.97957857159861</c:v>
                      </c:pt>
                      <c:pt idx="37">
                        <c:v>394.25686870691135</c:v>
                      </c:pt>
                      <c:pt idx="38">
                        <c:v>397.41889127123829</c:v>
                      </c:pt>
                      <c:pt idx="39">
                        <c:v>389.46177620250131</c:v>
                      </c:pt>
                      <c:pt idx="40">
                        <c:v>394.68561667610368</c:v>
                      </c:pt>
                      <c:pt idx="41">
                        <c:v>392.87951437789502</c:v>
                      </c:pt>
                      <c:pt idx="42">
                        <c:v>397.67757430152795</c:v>
                      </c:pt>
                      <c:pt idx="43">
                        <c:v>383.1864303433241</c:v>
                      </c:pt>
                      <c:pt idx="44">
                        <c:v>384.75592293798354</c:v>
                      </c:pt>
                    </c:numCache>
                  </c:numRef>
                </c:yVal>
                <c:smooth val="0"/>
                <c:extLst>
                  <c:ext xmlns:c16="http://schemas.microsoft.com/office/drawing/2014/chart" uri="{C3380CC4-5D6E-409C-BE32-E72D297353CC}">
                    <c16:uniqueId val="{00000004-BF36-4947-AF40-D50A62D3B3BA}"/>
                  </c:ext>
                </c:extLst>
              </c15:ser>
            </c15:filteredScatterSeries>
          </c:ext>
        </c:extLst>
      </c:scatterChart>
      <c:valAx>
        <c:axId val="494836408"/>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35624"/>
        <c:crosses val="autoZero"/>
        <c:crossBetween val="midCat"/>
      </c:valAx>
      <c:valAx>
        <c:axId val="4948356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36408"/>
        <c:crosses val="autoZero"/>
        <c:crossBetween val="midCat"/>
      </c:valAx>
      <c:valAx>
        <c:axId val="494837584"/>
        <c:scaling>
          <c:orientation val="minMax"/>
        </c:scaling>
        <c:delete val="0"/>
        <c:axPos val="r"/>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42680"/>
        <c:crosses val="max"/>
        <c:crossBetween val="midCat"/>
      </c:valAx>
      <c:valAx>
        <c:axId val="494842680"/>
        <c:scaling>
          <c:orientation val="minMax"/>
        </c:scaling>
        <c:delete val="1"/>
        <c:axPos val="b"/>
        <c:numFmt formatCode="mmm\-yy" sourceLinked="1"/>
        <c:majorTickMark val="out"/>
        <c:minorTickMark val="none"/>
        <c:tickLblPos val="nextTo"/>
        <c:crossAx val="4948375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831F-4B6E-BD57-E6BC3AB84EAB}"/>
            </c:ext>
          </c:extLst>
        </c:ser>
        <c:ser>
          <c:idx val="2"/>
          <c:order val="2"/>
          <c:spPr>
            <a:solidFill>
              <a:schemeClr val="accent3"/>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2-831F-4B6E-BD57-E6BC3AB84EAB}"/>
            </c:ext>
          </c:extLst>
        </c:ser>
        <c:dLbls>
          <c:showLegendKey val="0"/>
          <c:showVal val="0"/>
          <c:showCatName val="0"/>
          <c:showSerName val="0"/>
          <c:showPercent val="0"/>
          <c:showBubbleSize val="0"/>
        </c:dLbls>
        <c:gapWidth val="150"/>
        <c:axId val="494841896"/>
        <c:axId val="494839544"/>
      </c:barChart>
      <c:scatterChart>
        <c:scatterStyle val="smoothMarker"/>
        <c:varyColors val="0"/>
        <c:ser>
          <c:idx val="1"/>
          <c:order val="1"/>
          <c:spPr>
            <a:ln w="19050" cap="rnd">
              <a:solidFill>
                <a:schemeClr val="accent2"/>
              </a:solidFill>
              <a:round/>
            </a:ln>
            <a:effectLst/>
          </c:spPr>
          <c:marker>
            <c:symbol val="circle"/>
            <c:size val="5"/>
            <c:spPr>
              <a:solidFill>
                <a:schemeClr val="accent2"/>
              </a:solidFill>
              <a:ln w="38100">
                <a:solidFill>
                  <a:schemeClr val="accent2"/>
                </a:solidFill>
              </a:ln>
              <a:effectLst/>
            </c:spPr>
          </c:marker>
          <c:xVal>
            <c:numRef>
              <c:f>#REF!</c:f>
            </c:numRef>
          </c:xVal>
          <c:yVal>
            <c:numRef>
              <c:f>#REF!</c:f>
              <c:numCache>
                <c:formatCode>General</c:formatCode>
                <c:ptCount val="1"/>
                <c:pt idx="0">
                  <c:v>1</c:v>
                </c:pt>
              </c:numCache>
            </c:numRef>
          </c:yVal>
          <c:smooth val="1"/>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6="http://schemas.microsoft.com/office/drawing/2014/chart" uri="{C3380CC4-5D6E-409C-BE32-E72D297353CC}">
              <c16:uniqueId val="{00000001-831F-4B6E-BD57-E6BC3AB84EAB}"/>
            </c:ext>
          </c:extLst>
        </c:ser>
        <c:ser>
          <c:idx val="3"/>
          <c:order val="3"/>
          <c:spPr>
            <a:ln w="19050" cap="rnd">
              <a:solidFill>
                <a:schemeClr val="accent4"/>
              </a:solidFill>
              <a:round/>
            </a:ln>
            <a:effectLst/>
          </c:spPr>
          <c:marker>
            <c:symbol val="circle"/>
            <c:size val="5"/>
            <c:spPr>
              <a:solidFill>
                <a:schemeClr val="accent4"/>
              </a:solidFill>
              <a:ln w="38100">
                <a:solidFill>
                  <a:schemeClr val="accent4"/>
                </a:solidFill>
              </a:ln>
              <a:effectLst/>
            </c:spPr>
          </c:marker>
          <c:xVal>
            <c:numRef>
              <c:f>#REF!</c:f>
            </c:numRef>
          </c:xVal>
          <c:yVal>
            <c:numRef>
              <c:f>#REF!</c:f>
              <c:numCache>
                <c:formatCode>General</c:formatCode>
                <c:ptCount val="1"/>
                <c:pt idx="0">
                  <c:v>1</c:v>
                </c:pt>
              </c:numCache>
            </c:numRef>
          </c:yVal>
          <c:smooth val="1"/>
          <c:extLst>
            <c:ext xmlns:c15="http://schemas.microsoft.com/office/drawing/2012/chart" uri="{02D57815-91ED-43cb-92C2-25804820EDAC}">
              <c15:filteredSeriesTitle>
                <c15:tx>
                  <c:strRef>
                    <c:extLst xmlns:c16="http://schemas.microsoft.com/office/drawing/2014/chart">
                      <c:ext uri="{02D57815-91ED-43cb-92C2-25804820EDAC}">
                        <c15:formulaRef>
                          <c15:sqref>#REF!</c15:sqref>
                        </c15:formulaRef>
                      </c:ext>
                    </c:extLst>
                    <c:strCache>
                      <c:ptCount val="1"/>
                      <c:pt idx="0">
                        <c:v>#REF!</c:v>
                      </c:pt>
                    </c:strCache>
                  </c:strRef>
                </c15:tx>
              </c15:filteredSeriesTitle>
            </c:ext>
            <c:ext xmlns:c16="http://schemas.microsoft.com/office/drawing/2014/chart" uri="{C3380CC4-5D6E-409C-BE32-E72D297353CC}">
              <c16:uniqueId val="{00000003-831F-4B6E-BD57-E6BC3AB84EAB}"/>
            </c:ext>
          </c:extLst>
        </c:ser>
        <c:dLbls>
          <c:showLegendKey val="0"/>
          <c:showVal val="0"/>
          <c:showCatName val="0"/>
          <c:showSerName val="0"/>
          <c:showPercent val="0"/>
          <c:showBubbleSize val="0"/>
        </c:dLbls>
        <c:axId val="494837976"/>
        <c:axId val="494836016"/>
      </c:scatterChart>
      <c:catAx>
        <c:axId val="494841896"/>
        <c:scaling>
          <c:orientation val="minMax"/>
        </c:scaling>
        <c:delete val="0"/>
        <c:axPos val="b"/>
        <c:majorGridlines>
          <c:spPr>
            <a:ln w="9525" cap="flat" cmpd="sng" algn="ctr">
              <a:solidFill>
                <a:schemeClr val="tx1">
                  <a:lumMod val="15000"/>
                  <a:lumOff val="85000"/>
                </a:schemeClr>
              </a:solidFill>
              <a:round/>
            </a:ln>
            <a:effectLst/>
          </c:spPr>
        </c:majorGridlines>
        <c:numFmt formatCode="[$-409]m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39544"/>
        <c:crosses val="autoZero"/>
        <c:auto val="1"/>
        <c:lblAlgn val="ctr"/>
        <c:lblOffset val="100"/>
        <c:noMultiLvlLbl val="1"/>
      </c:catAx>
      <c:valAx>
        <c:axId val="494839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41896"/>
        <c:crosses val="autoZero"/>
        <c:crossBetween val="between"/>
      </c:valAx>
      <c:valAx>
        <c:axId val="494836016"/>
        <c:scaling>
          <c:orientation val="minMax"/>
          <c:min val="40000"/>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37976"/>
        <c:crosses val="max"/>
        <c:crossBetween val="midCat"/>
      </c:valAx>
      <c:valAx>
        <c:axId val="494837976"/>
        <c:scaling>
          <c:orientation val="minMax"/>
        </c:scaling>
        <c:delete val="1"/>
        <c:axPos val="b"/>
        <c:numFmt formatCode="[$-409]mmmm/yy;@" sourceLinked="1"/>
        <c:majorTickMark val="out"/>
        <c:minorTickMark val="none"/>
        <c:tickLblPos val="nextTo"/>
        <c:crossAx val="4948360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PVC</a:t>
            </a:r>
            <a:r>
              <a:rPr lang="en-IN" baseline="0"/>
              <a:t> Grade K67 Price-History &amp; Future Projected (At Ahmedabad Location-Ex-Plant)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107700305577745E-2"/>
          <c:y val="0.10433187394916016"/>
          <c:w val="0.92982640510018089"/>
          <c:h val="0.75446338195067386"/>
        </c:manualLayout>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38100" cap="rnd">
                <a:solidFill>
                  <a:srgbClr val="C00000"/>
                </a:solidFill>
                <a:prstDash val="sysDot"/>
                <a:headEnd type="none"/>
                <a:tailEnd type="triangle"/>
              </a:ln>
              <a:effectLst/>
            </c:spPr>
            <c:trendlineType val="linear"/>
            <c:forward val="5000"/>
            <c:dispRSqr val="1"/>
            <c:dispEq val="1"/>
            <c:trendlineLbl>
              <c:layout>
                <c:manualLayout>
                  <c:x val="-0.19331783576919781"/>
                  <c:y val="5.556201628642573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'PVC Prices History'!$D$2:$D$78</c:f>
              <c:numCache>
                <c:formatCode>d\-mmm\-yy</c:formatCode>
                <c:ptCount val="77"/>
                <c:pt idx="0">
                  <c:v>36575</c:v>
                </c:pt>
                <c:pt idx="1">
                  <c:v>36770</c:v>
                </c:pt>
                <c:pt idx="2">
                  <c:v>36824</c:v>
                </c:pt>
                <c:pt idx="3">
                  <c:v>36861</c:v>
                </c:pt>
                <c:pt idx="4">
                  <c:v>36892</c:v>
                </c:pt>
                <c:pt idx="5">
                  <c:v>36951</c:v>
                </c:pt>
                <c:pt idx="6">
                  <c:v>36984</c:v>
                </c:pt>
                <c:pt idx="7">
                  <c:v>37043</c:v>
                </c:pt>
                <c:pt idx="8">
                  <c:v>37073</c:v>
                </c:pt>
                <c:pt idx="9">
                  <c:v>37104</c:v>
                </c:pt>
                <c:pt idx="10">
                  <c:v>37135</c:v>
                </c:pt>
                <c:pt idx="11">
                  <c:v>37165</c:v>
                </c:pt>
                <c:pt idx="12">
                  <c:v>37196</c:v>
                </c:pt>
                <c:pt idx="13">
                  <c:v>37226</c:v>
                </c:pt>
                <c:pt idx="14">
                  <c:v>37257</c:v>
                </c:pt>
                <c:pt idx="15">
                  <c:v>37288</c:v>
                </c:pt>
                <c:pt idx="16">
                  <c:v>37302</c:v>
                </c:pt>
                <c:pt idx="17">
                  <c:v>37316</c:v>
                </c:pt>
                <c:pt idx="18">
                  <c:v>37333</c:v>
                </c:pt>
                <c:pt idx="19">
                  <c:v>37361</c:v>
                </c:pt>
                <c:pt idx="20">
                  <c:v>37377</c:v>
                </c:pt>
                <c:pt idx="21">
                  <c:v>37417</c:v>
                </c:pt>
                <c:pt idx="22">
                  <c:v>37500</c:v>
                </c:pt>
                <c:pt idx="23">
                  <c:v>37530</c:v>
                </c:pt>
                <c:pt idx="24">
                  <c:v>37575</c:v>
                </c:pt>
                <c:pt idx="25">
                  <c:v>37592</c:v>
                </c:pt>
                <c:pt idx="26">
                  <c:v>37597</c:v>
                </c:pt>
                <c:pt idx="27">
                  <c:v>37602</c:v>
                </c:pt>
                <c:pt idx="28">
                  <c:v>37614</c:v>
                </c:pt>
                <c:pt idx="29">
                  <c:v>37622</c:v>
                </c:pt>
                <c:pt idx="30">
                  <c:v>37722</c:v>
                </c:pt>
                <c:pt idx="31">
                  <c:v>37834</c:v>
                </c:pt>
                <c:pt idx="32">
                  <c:v>37847</c:v>
                </c:pt>
                <c:pt idx="33">
                  <c:v>37865</c:v>
                </c:pt>
                <c:pt idx="34">
                  <c:v>37895</c:v>
                </c:pt>
                <c:pt idx="35">
                  <c:v>37926</c:v>
                </c:pt>
                <c:pt idx="36">
                  <c:v>37956</c:v>
                </c:pt>
                <c:pt idx="37">
                  <c:v>38200</c:v>
                </c:pt>
                <c:pt idx="38">
                  <c:v>38337</c:v>
                </c:pt>
                <c:pt idx="39">
                  <c:v>38527</c:v>
                </c:pt>
                <c:pt idx="40">
                  <c:v>38687</c:v>
                </c:pt>
                <c:pt idx="41">
                  <c:v>38869</c:v>
                </c:pt>
                <c:pt idx="42">
                  <c:v>39066</c:v>
                </c:pt>
                <c:pt idx="43">
                  <c:v>39083</c:v>
                </c:pt>
                <c:pt idx="44">
                  <c:v>39217</c:v>
                </c:pt>
                <c:pt idx="45">
                  <c:v>39401</c:v>
                </c:pt>
                <c:pt idx="46">
                  <c:v>39644</c:v>
                </c:pt>
                <c:pt idx="47">
                  <c:v>39786</c:v>
                </c:pt>
                <c:pt idx="48">
                  <c:v>39954</c:v>
                </c:pt>
                <c:pt idx="49">
                  <c:v>40171</c:v>
                </c:pt>
                <c:pt idx="50">
                  <c:v>40391</c:v>
                </c:pt>
                <c:pt idx="51">
                  <c:v>40513</c:v>
                </c:pt>
                <c:pt idx="52">
                  <c:v>40664</c:v>
                </c:pt>
                <c:pt idx="53">
                  <c:v>40878</c:v>
                </c:pt>
                <c:pt idx="54">
                  <c:v>41061</c:v>
                </c:pt>
                <c:pt idx="55">
                  <c:v>41214</c:v>
                </c:pt>
                <c:pt idx="56">
                  <c:v>41426</c:v>
                </c:pt>
                <c:pt idx="57">
                  <c:v>41609</c:v>
                </c:pt>
                <c:pt idx="58">
                  <c:v>41872</c:v>
                </c:pt>
                <c:pt idx="59">
                  <c:v>41991</c:v>
                </c:pt>
                <c:pt idx="60">
                  <c:v>42355</c:v>
                </c:pt>
                <c:pt idx="61">
                  <c:v>42532</c:v>
                </c:pt>
                <c:pt idx="62">
                  <c:v>42565</c:v>
                </c:pt>
                <c:pt idx="63">
                  <c:v>42715</c:v>
                </c:pt>
                <c:pt idx="64">
                  <c:v>42979</c:v>
                </c:pt>
                <c:pt idx="65">
                  <c:v>43089</c:v>
                </c:pt>
                <c:pt idx="66">
                  <c:v>43237</c:v>
                </c:pt>
                <c:pt idx="67">
                  <c:v>43454</c:v>
                </c:pt>
                <c:pt idx="68">
                  <c:v>43586</c:v>
                </c:pt>
                <c:pt idx="69">
                  <c:v>43800</c:v>
                </c:pt>
                <c:pt idx="70">
                  <c:v>43922</c:v>
                </c:pt>
                <c:pt idx="71">
                  <c:v>43969</c:v>
                </c:pt>
                <c:pt idx="72">
                  <c:v>44044</c:v>
                </c:pt>
                <c:pt idx="73">
                  <c:v>44075</c:v>
                </c:pt>
                <c:pt idx="74">
                  <c:v>44136</c:v>
                </c:pt>
                <c:pt idx="75">
                  <c:v>44166</c:v>
                </c:pt>
                <c:pt idx="76">
                  <c:v>44184</c:v>
                </c:pt>
              </c:numCache>
            </c:numRef>
          </c:xVal>
          <c:yVal>
            <c:numRef>
              <c:f>'PVC Prices History'!$E$2:$E$78</c:f>
              <c:numCache>
                <c:formatCode>General</c:formatCode>
                <c:ptCount val="77"/>
                <c:pt idx="0">
                  <c:v>49600</c:v>
                </c:pt>
                <c:pt idx="1">
                  <c:v>52200</c:v>
                </c:pt>
                <c:pt idx="2">
                  <c:v>50344</c:v>
                </c:pt>
                <c:pt idx="3">
                  <c:v>46400</c:v>
                </c:pt>
                <c:pt idx="4">
                  <c:v>46400</c:v>
                </c:pt>
                <c:pt idx="5">
                  <c:v>47560</c:v>
                </c:pt>
                <c:pt idx="6">
                  <c:v>47560</c:v>
                </c:pt>
                <c:pt idx="7">
                  <c:v>45240</c:v>
                </c:pt>
                <c:pt idx="8">
                  <c:v>42340</c:v>
                </c:pt>
                <c:pt idx="9">
                  <c:v>40600</c:v>
                </c:pt>
                <c:pt idx="10">
                  <c:v>41760</c:v>
                </c:pt>
                <c:pt idx="11">
                  <c:v>42920</c:v>
                </c:pt>
                <c:pt idx="12">
                  <c:v>42920</c:v>
                </c:pt>
                <c:pt idx="13">
                  <c:v>38280</c:v>
                </c:pt>
                <c:pt idx="14">
                  <c:v>39440</c:v>
                </c:pt>
                <c:pt idx="15">
                  <c:v>41760</c:v>
                </c:pt>
                <c:pt idx="16">
                  <c:v>42920</c:v>
                </c:pt>
                <c:pt idx="17">
                  <c:v>41760</c:v>
                </c:pt>
                <c:pt idx="18">
                  <c:v>47560</c:v>
                </c:pt>
                <c:pt idx="19">
                  <c:v>51736</c:v>
                </c:pt>
                <c:pt idx="20">
                  <c:v>52896</c:v>
                </c:pt>
                <c:pt idx="21">
                  <c:v>47096</c:v>
                </c:pt>
                <c:pt idx="22">
                  <c:v>47936</c:v>
                </c:pt>
                <c:pt idx="23">
                  <c:v>43616</c:v>
                </c:pt>
                <c:pt idx="24">
                  <c:v>40716</c:v>
                </c:pt>
                <c:pt idx="25">
                  <c:v>41876</c:v>
                </c:pt>
                <c:pt idx="26">
                  <c:v>43036</c:v>
                </c:pt>
                <c:pt idx="27">
                  <c:v>45356</c:v>
                </c:pt>
                <c:pt idx="28">
                  <c:v>47676</c:v>
                </c:pt>
                <c:pt idx="29">
                  <c:v>48836</c:v>
                </c:pt>
                <c:pt idx="30">
                  <c:v>43616</c:v>
                </c:pt>
                <c:pt idx="31">
                  <c:v>44660</c:v>
                </c:pt>
                <c:pt idx="32">
                  <c:v>46400</c:v>
                </c:pt>
                <c:pt idx="33">
                  <c:v>48720</c:v>
                </c:pt>
                <c:pt idx="34">
                  <c:v>46516</c:v>
                </c:pt>
                <c:pt idx="35">
                  <c:v>48676</c:v>
                </c:pt>
                <c:pt idx="36">
                  <c:v>48836</c:v>
                </c:pt>
                <c:pt idx="37">
                  <c:v>55830</c:v>
                </c:pt>
                <c:pt idx="38">
                  <c:v>52751</c:v>
                </c:pt>
                <c:pt idx="39">
                  <c:v>46526</c:v>
                </c:pt>
                <c:pt idx="40">
                  <c:v>44202</c:v>
                </c:pt>
                <c:pt idx="41">
                  <c:v>50018</c:v>
                </c:pt>
                <c:pt idx="42">
                  <c:v>48273</c:v>
                </c:pt>
                <c:pt idx="43">
                  <c:v>49436</c:v>
                </c:pt>
                <c:pt idx="44">
                  <c:v>52998</c:v>
                </c:pt>
                <c:pt idx="45">
                  <c:v>52416</c:v>
                </c:pt>
                <c:pt idx="46">
                  <c:v>74110</c:v>
                </c:pt>
                <c:pt idx="47">
                  <c:v>44349</c:v>
                </c:pt>
                <c:pt idx="48">
                  <c:v>48578</c:v>
                </c:pt>
                <c:pt idx="49">
                  <c:v>56858</c:v>
                </c:pt>
                <c:pt idx="50">
                  <c:v>57941</c:v>
                </c:pt>
                <c:pt idx="51">
                  <c:v>56816</c:v>
                </c:pt>
                <c:pt idx="52">
                  <c:v>68066</c:v>
                </c:pt>
                <c:pt idx="53">
                  <c:v>61878</c:v>
                </c:pt>
                <c:pt idx="54">
                  <c:v>69910</c:v>
                </c:pt>
                <c:pt idx="55">
                  <c:v>67045</c:v>
                </c:pt>
                <c:pt idx="56">
                  <c:v>75068</c:v>
                </c:pt>
                <c:pt idx="57">
                  <c:v>81944</c:v>
                </c:pt>
                <c:pt idx="58">
                  <c:v>87904</c:v>
                </c:pt>
                <c:pt idx="59">
                  <c:v>65670</c:v>
                </c:pt>
                <c:pt idx="60">
                  <c:v>68850</c:v>
                </c:pt>
                <c:pt idx="61">
                  <c:v>75161</c:v>
                </c:pt>
                <c:pt idx="62">
                  <c:v>68500</c:v>
                </c:pt>
                <c:pt idx="63">
                  <c:v>74000</c:v>
                </c:pt>
                <c:pt idx="64">
                  <c:v>71500</c:v>
                </c:pt>
                <c:pt idx="65">
                  <c:v>69500</c:v>
                </c:pt>
                <c:pt idx="66">
                  <c:v>75553</c:v>
                </c:pt>
                <c:pt idx="67">
                  <c:v>76103</c:v>
                </c:pt>
                <c:pt idx="68">
                  <c:v>69504</c:v>
                </c:pt>
                <c:pt idx="69">
                  <c:v>73001</c:v>
                </c:pt>
                <c:pt idx="70">
                  <c:v>72492</c:v>
                </c:pt>
                <c:pt idx="71">
                  <c:v>64992</c:v>
                </c:pt>
                <c:pt idx="72">
                  <c:v>77545</c:v>
                </c:pt>
                <c:pt idx="73">
                  <c:v>83545</c:v>
                </c:pt>
                <c:pt idx="74">
                  <c:v>98575</c:v>
                </c:pt>
                <c:pt idx="75">
                  <c:v>108575</c:v>
                </c:pt>
                <c:pt idx="76">
                  <c:v>114575</c:v>
                </c:pt>
              </c:numCache>
            </c:numRef>
          </c:yVal>
          <c:smooth val="0"/>
          <c:extLst>
            <c:ext xmlns:c16="http://schemas.microsoft.com/office/drawing/2014/chart" uri="{C3380CC4-5D6E-409C-BE32-E72D297353CC}">
              <c16:uniqueId val="{00000001-61FC-4850-8ECA-5AFF53A5F123}"/>
            </c:ext>
          </c:extLst>
        </c:ser>
        <c:ser>
          <c:idx val="1"/>
          <c:order val="1"/>
          <c:tx>
            <c:v>F2001S Prices </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'PVC Prices History'!$D$2:$D$78</c:f>
              <c:numCache>
                <c:formatCode>d\-mmm\-yy</c:formatCode>
                <c:ptCount val="77"/>
                <c:pt idx="0">
                  <c:v>36575</c:v>
                </c:pt>
                <c:pt idx="1">
                  <c:v>36770</c:v>
                </c:pt>
                <c:pt idx="2">
                  <c:v>36824</c:v>
                </c:pt>
                <c:pt idx="3">
                  <c:v>36861</c:v>
                </c:pt>
                <c:pt idx="4">
                  <c:v>36892</c:v>
                </c:pt>
                <c:pt idx="5">
                  <c:v>36951</c:v>
                </c:pt>
                <c:pt idx="6">
                  <c:v>36984</c:v>
                </c:pt>
                <c:pt idx="7">
                  <c:v>37043</c:v>
                </c:pt>
                <c:pt idx="8">
                  <c:v>37073</c:v>
                </c:pt>
                <c:pt idx="9">
                  <c:v>37104</c:v>
                </c:pt>
                <c:pt idx="10">
                  <c:v>37135</c:v>
                </c:pt>
                <c:pt idx="11">
                  <c:v>37165</c:v>
                </c:pt>
                <c:pt idx="12">
                  <c:v>37196</c:v>
                </c:pt>
                <c:pt idx="13">
                  <c:v>37226</c:v>
                </c:pt>
                <c:pt idx="14">
                  <c:v>37257</c:v>
                </c:pt>
                <c:pt idx="15">
                  <c:v>37288</c:v>
                </c:pt>
                <c:pt idx="16">
                  <c:v>37302</c:v>
                </c:pt>
                <c:pt idx="17">
                  <c:v>37316</c:v>
                </c:pt>
                <c:pt idx="18">
                  <c:v>37333</c:v>
                </c:pt>
                <c:pt idx="19">
                  <c:v>37361</c:v>
                </c:pt>
                <c:pt idx="20">
                  <c:v>37377</c:v>
                </c:pt>
                <c:pt idx="21">
                  <c:v>37417</c:v>
                </c:pt>
                <c:pt idx="22">
                  <c:v>37500</c:v>
                </c:pt>
                <c:pt idx="23">
                  <c:v>37530</c:v>
                </c:pt>
                <c:pt idx="24">
                  <c:v>37575</c:v>
                </c:pt>
                <c:pt idx="25">
                  <c:v>37592</c:v>
                </c:pt>
                <c:pt idx="26">
                  <c:v>37597</c:v>
                </c:pt>
                <c:pt idx="27">
                  <c:v>37602</c:v>
                </c:pt>
                <c:pt idx="28">
                  <c:v>37614</c:v>
                </c:pt>
                <c:pt idx="29">
                  <c:v>37622</c:v>
                </c:pt>
                <c:pt idx="30">
                  <c:v>37722</c:v>
                </c:pt>
                <c:pt idx="31">
                  <c:v>37834</c:v>
                </c:pt>
                <c:pt idx="32">
                  <c:v>37847</c:v>
                </c:pt>
                <c:pt idx="33">
                  <c:v>37865</c:v>
                </c:pt>
                <c:pt idx="34">
                  <c:v>37895</c:v>
                </c:pt>
                <c:pt idx="35">
                  <c:v>37926</c:v>
                </c:pt>
                <c:pt idx="36">
                  <c:v>37956</c:v>
                </c:pt>
                <c:pt idx="37">
                  <c:v>38200</c:v>
                </c:pt>
                <c:pt idx="38">
                  <c:v>38337</c:v>
                </c:pt>
                <c:pt idx="39">
                  <c:v>38527</c:v>
                </c:pt>
                <c:pt idx="40">
                  <c:v>38687</c:v>
                </c:pt>
                <c:pt idx="41">
                  <c:v>38869</c:v>
                </c:pt>
                <c:pt idx="42">
                  <c:v>39066</c:v>
                </c:pt>
                <c:pt idx="43">
                  <c:v>39083</c:v>
                </c:pt>
                <c:pt idx="44">
                  <c:v>39217</c:v>
                </c:pt>
                <c:pt idx="45">
                  <c:v>39401</c:v>
                </c:pt>
                <c:pt idx="46">
                  <c:v>39644</c:v>
                </c:pt>
                <c:pt idx="47">
                  <c:v>39786</c:v>
                </c:pt>
                <c:pt idx="48">
                  <c:v>39954</c:v>
                </c:pt>
                <c:pt idx="49">
                  <c:v>40171</c:v>
                </c:pt>
                <c:pt idx="50">
                  <c:v>40391</c:v>
                </c:pt>
                <c:pt idx="51">
                  <c:v>40513</c:v>
                </c:pt>
                <c:pt idx="52">
                  <c:v>40664</c:v>
                </c:pt>
                <c:pt idx="53">
                  <c:v>40878</c:v>
                </c:pt>
                <c:pt idx="54">
                  <c:v>41061</c:v>
                </c:pt>
                <c:pt idx="55">
                  <c:v>41214</c:v>
                </c:pt>
                <c:pt idx="56">
                  <c:v>41426</c:v>
                </c:pt>
                <c:pt idx="57">
                  <c:v>41609</c:v>
                </c:pt>
                <c:pt idx="58">
                  <c:v>41872</c:v>
                </c:pt>
                <c:pt idx="59">
                  <c:v>41991</c:v>
                </c:pt>
                <c:pt idx="60">
                  <c:v>42355</c:v>
                </c:pt>
                <c:pt idx="61">
                  <c:v>42532</c:v>
                </c:pt>
                <c:pt idx="62">
                  <c:v>42565</c:v>
                </c:pt>
                <c:pt idx="63">
                  <c:v>42715</c:v>
                </c:pt>
                <c:pt idx="64">
                  <c:v>42979</c:v>
                </c:pt>
                <c:pt idx="65">
                  <c:v>43089</c:v>
                </c:pt>
                <c:pt idx="66">
                  <c:v>43237</c:v>
                </c:pt>
                <c:pt idx="67">
                  <c:v>43454</c:v>
                </c:pt>
                <c:pt idx="68">
                  <c:v>43586</c:v>
                </c:pt>
                <c:pt idx="69">
                  <c:v>43800</c:v>
                </c:pt>
                <c:pt idx="70">
                  <c:v>43922</c:v>
                </c:pt>
                <c:pt idx="71">
                  <c:v>43969</c:v>
                </c:pt>
                <c:pt idx="72">
                  <c:v>44044</c:v>
                </c:pt>
                <c:pt idx="73">
                  <c:v>44075</c:v>
                </c:pt>
                <c:pt idx="74">
                  <c:v>44136</c:v>
                </c:pt>
                <c:pt idx="75">
                  <c:v>44166</c:v>
                </c:pt>
                <c:pt idx="76">
                  <c:v>44184</c:v>
                </c:pt>
              </c:numCache>
            </c:numRef>
          </c:xVal>
          <c:yVal>
            <c:numRef>
              <c:f>'PVC Prices History'!$F$2:$F$78</c:f>
              <c:numCache>
                <c:formatCode>General</c:formatCode>
                <c:ptCount val="77"/>
                <c:pt idx="65">
                  <c:v>78153</c:v>
                </c:pt>
                <c:pt idx="66">
                  <c:v>84149</c:v>
                </c:pt>
                <c:pt idx="67">
                  <c:v>78257</c:v>
                </c:pt>
                <c:pt idx="68">
                  <c:v>76721</c:v>
                </c:pt>
                <c:pt idx="69">
                  <c:v>68726</c:v>
                </c:pt>
                <c:pt idx="70">
                  <c:v>69236</c:v>
                </c:pt>
                <c:pt idx="71">
                  <c:v>63250</c:v>
                </c:pt>
                <c:pt idx="72">
                  <c:v>73484</c:v>
                </c:pt>
                <c:pt idx="73">
                  <c:v>73993</c:v>
                </c:pt>
                <c:pt idx="74">
                  <c:v>78508</c:v>
                </c:pt>
                <c:pt idx="75">
                  <c:v>85256</c:v>
                </c:pt>
                <c:pt idx="76">
                  <c:v>87258</c:v>
                </c:pt>
              </c:numCache>
            </c:numRef>
          </c:yVal>
          <c:smooth val="0"/>
          <c:extLst>
            <c:ext xmlns:c16="http://schemas.microsoft.com/office/drawing/2014/chart" uri="{C3380CC4-5D6E-409C-BE32-E72D297353CC}">
              <c16:uniqueId val="{00000003-61FC-4850-8ECA-5AFF53A5F123}"/>
            </c:ext>
          </c:extLst>
        </c:ser>
        <c:dLbls>
          <c:showLegendKey val="0"/>
          <c:showVal val="0"/>
          <c:showCatName val="0"/>
          <c:showSerName val="0"/>
          <c:showPercent val="0"/>
          <c:showBubbleSize val="0"/>
        </c:dLbls>
        <c:axId val="494837192"/>
        <c:axId val="494838368"/>
      </c:scatterChart>
      <c:valAx>
        <c:axId val="494837192"/>
        <c:scaling>
          <c:orientation val="minMax"/>
          <c:min val="36526"/>
        </c:scaling>
        <c:delete val="0"/>
        <c:axPos val="b"/>
        <c:majorGridlines>
          <c:spPr>
            <a:ln w="9525" cap="flat" cmpd="sng" algn="ctr">
              <a:solidFill>
                <a:schemeClr val="tx1">
                  <a:lumMod val="15000"/>
                  <a:lumOff val="85000"/>
                </a:schemeClr>
              </a:solidFill>
              <a:round/>
            </a:ln>
            <a:effectLst/>
          </c:spPr>
        </c:majorGridlines>
        <c:numFmt formatCode="yyyy" sourceLinked="0"/>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38368"/>
        <c:crosses val="autoZero"/>
        <c:crossBetween val="midCat"/>
        <c:majorUnit val="366"/>
        <c:minorUnit val="365"/>
      </c:valAx>
      <c:valAx>
        <c:axId val="494838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r>
                  <a:rPr lang="en-IN" baseline="0"/>
                  <a:t> INR p</a:t>
                </a:r>
                <a:r>
                  <a:rPr lang="en-IN">
                    <a:latin typeface="Calibri" panose="020F0502020204030204" pitchFamily="34" charset="0"/>
                    <a:cs typeface="Calibri" panose="020F0502020204030204" pitchFamily="34" charset="0"/>
                  </a:rPr>
                  <a:t>er MT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37192"/>
        <c:crosses val="autoZero"/>
        <c:crossBetween val="midCat"/>
        <c:majorUnit val="1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000-000000000000}">
  <sheetPr/>
  <sheetViews>
    <sheetView zoomScale="9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96"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E00-000000000000}">
  <sheetPr/>
  <sheetViews>
    <sheetView zoomScale="71"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400-000000000000}">
  <sheetPr/>
  <sheetViews>
    <sheetView zoomScale="93"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E00-000000000000}">
  <sheetPr/>
  <sheetViews>
    <sheetView zoomScale="9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absoluteAnchor>
    <xdr:pos x="0" y="0"/>
    <xdr:ext cx="9286875" cy="6052344"/>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0.02888</cdr:x>
      <cdr:y>0.61967</cdr:y>
    </cdr:from>
    <cdr:to>
      <cdr:x>0.08547</cdr:x>
      <cdr:y>0.92787</cdr:y>
    </cdr:to>
    <cdr:sp macro="" textlink="">
      <cdr:nvSpPr>
        <cdr:cNvPr id="2" name="TextBox 1"/>
        <cdr:cNvSpPr txBox="1"/>
      </cdr:nvSpPr>
      <cdr:spPr>
        <a:xfrm xmlns:a="http://schemas.openxmlformats.org/drawingml/2006/main">
          <a:off x="268237" y="3750469"/>
          <a:ext cx="525513" cy="1865312"/>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t>Calico </a:t>
          </a:r>
        </a:p>
        <a:p xmlns:a="http://schemas.openxmlformats.org/drawingml/2006/main">
          <a:r>
            <a:rPr lang="en-IN" sz="1000" b="1"/>
            <a:t>Mills,Mumbai</a:t>
          </a:r>
        </a:p>
      </cdr:txBody>
    </cdr:sp>
  </cdr:relSizeAnchor>
  <cdr:relSizeAnchor xmlns:cdr="http://schemas.openxmlformats.org/drawingml/2006/chartDrawing">
    <cdr:from>
      <cdr:x>0.07166</cdr:x>
      <cdr:y>0.57869</cdr:y>
    </cdr:from>
    <cdr:to>
      <cdr:x>0.12607</cdr:x>
      <cdr:y>0.92951</cdr:y>
    </cdr:to>
    <cdr:sp macro="" textlink="">
      <cdr:nvSpPr>
        <cdr:cNvPr id="3" name="TextBox 2"/>
        <cdr:cNvSpPr txBox="1"/>
      </cdr:nvSpPr>
      <cdr:spPr>
        <a:xfrm xmlns:a="http://schemas.openxmlformats.org/drawingml/2006/main">
          <a:off x="665525" y="3502449"/>
          <a:ext cx="505256" cy="2123253"/>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DCM</a:t>
          </a:r>
        </a:p>
        <a:p xmlns:a="http://schemas.openxmlformats.org/drawingml/2006/main">
          <a:r>
            <a:rPr lang="en-IN" sz="1000" b="1">
              <a:solidFill>
                <a:srgbClr val="0070C0"/>
              </a:solidFill>
            </a:rPr>
            <a:t>Shriram Kota</a:t>
          </a:r>
        </a:p>
      </cdr:txBody>
    </cdr:sp>
  </cdr:relSizeAnchor>
  <cdr:relSizeAnchor xmlns:cdr="http://schemas.openxmlformats.org/drawingml/2006/chartDrawing">
    <cdr:from>
      <cdr:x>0.11977</cdr:x>
      <cdr:y>0.75082</cdr:y>
    </cdr:from>
    <cdr:to>
      <cdr:x>0.17521</cdr:x>
      <cdr:y>0.92623</cdr:y>
    </cdr:to>
    <cdr:sp macro="" textlink="">
      <cdr:nvSpPr>
        <cdr:cNvPr id="4" name="TextBox 3"/>
        <cdr:cNvSpPr txBox="1"/>
      </cdr:nvSpPr>
      <cdr:spPr>
        <a:xfrm xmlns:a="http://schemas.openxmlformats.org/drawingml/2006/main">
          <a:off x="1112308" y="4544219"/>
          <a:ext cx="514879" cy="1061630"/>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t>Chemplast</a:t>
          </a:r>
        </a:p>
        <a:p xmlns:a="http://schemas.openxmlformats.org/drawingml/2006/main">
          <a:r>
            <a:rPr lang="en-IN" sz="1000" b="1"/>
            <a:t>Mettur</a:t>
          </a:r>
        </a:p>
      </cdr:txBody>
    </cdr:sp>
  </cdr:relSizeAnchor>
  <cdr:relSizeAnchor xmlns:cdr="http://schemas.openxmlformats.org/drawingml/2006/chartDrawing">
    <cdr:from>
      <cdr:x>0.16363</cdr:x>
      <cdr:y>0.6918</cdr:y>
    </cdr:from>
    <cdr:to>
      <cdr:x>0.22115</cdr:x>
      <cdr:y>0.92459</cdr:y>
    </cdr:to>
    <cdr:sp macro="" textlink="">
      <cdr:nvSpPr>
        <cdr:cNvPr id="5" name="TextBox 4"/>
        <cdr:cNvSpPr txBox="1"/>
      </cdr:nvSpPr>
      <cdr:spPr>
        <a:xfrm xmlns:a="http://schemas.openxmlformats.org/drawingml/2006/main">
          <a:off x="1519629" y="4187009"/>
          <a:ext cx="534200" cy="1408927"/>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NOCIL,</a:t>
          </a:r>
        </a:p>
        <a:p xmlns:a="http://schemas.openxmlformats.org/drawingml/2006/main">
          <a:r>
            <a:rPr lang="en-IN" sz="1000" b="1">
              <a:solidFill>
                <a:srgbClr val="0070C0"/>
              </a:solidFill>
            </a:rPr>
            <a:t>Thane</a:t>
          </a:r>
        </a:p>
      </cdr:txBody>
    </cdr:sp>
  </cdr:relSizeAnchor>
  <cdr:relSizeAnchor xmlns:cdr="http://schemas.openxmlformats.org/drawingml/2006/chartDrawing">
    <cdr:from>
      <cdr:x>0.20535</cdr:x>
      <cdr:y>0.71639</cdr:y>
    </cdr:from>
    <cdr:to>
      <cdr:x>0.28342</cdr:x>
      <cdr:y>0.92295</cdr:y>
    </cdr:to>
    <cdr:sp macro="" textlink="">
      <cdr:nvSpPr>
        <cdr:cNvPr id="6" name="TextBox 5"/>
        <cdr:cNvSpPr txBox="1"/>
      </cdr:nvSpPr>
      <cdr:spPr>
        <a:xfrm xmlns:a="http://schemas.openxmlformats.org/drawingml/2006/main">
          <a:off x="1907060" y="4335838"/>
          <a:ext cx="725026" cy="1250177"/>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t>DCW,</a:t>
          </a:r>
        </a:p>
        <a:p xmlns:a="http://schemas.openxmlformats.org/drawingml/2006/main">
          <a:r>
            <a:rPr lang="en-IN" sz="1000" b="1"/>
            <a:t>Tuticorin</a:t>
          </a:r>
        </a:p>
      </cdr:txBody>
    </cdr:sp>
  </cdr:relSizeAnchor>
  <cdr:relSizeAnchor xmlns:cdr="http://schemas.openxmlformats.org/drawingml/2006/chartDrawing">
    <cdr:from>
      <cdr:x>0.246</cdr:x>
      <cdr:y>0.73771</cdr:y>
    </cdr:from>
    <cdr:to>
      <cdr:x>0.30662</cdr:x>
      <cdr:y>0.92787</cdr:y>
    </cdr:to>
    <cdr:sp macro="" textlink="">
      <cdr:nvSpPr>
        <cdr:cNvPr id="7" name="TextBox 6"/>
        <cdr:cNvSpPr txBox="1"/>
      </cdr:nvSpPr>
      <cdr:spPr>
        <a:xfrm xmlns:a="http://schemas.openxmlformats.org/drawingml/2006/main">
          <a:off x="2284539" y="4464845"/>
          <a:ext cx="563040" cy="1150922"/>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IPCL</a:t>
          </a:r>
        </a:p>
        <a:p xmlns:a="http://schemas.openxmlformats.org/drawingml/2006/main">
          <a:r>
            <a:rPr lang="en-IN" sz="1000" b="1">
              <a:solidFill>
                <a:srgbClr val="0070C0"/>
              </a:solidFill>
            </a:rPr>
            <a:t>Vadodara (RIL)</a:t>
          </a:r>
        </a:p>
      </cdr:txBody>
    </cdr:sp>
  </cdr:relSizeAnchor>
  <cdr:relSizeAnchor xmlns:cdr="http://schemas.openxmlformats.org/drawingml/2006/chartDrawing">
    <cdr:from>
      <cdr:x>0.30051</cdr:x>
      <cdr:y>0.72295</cdr:y>
    </cdr:from>
    <cdr:to>
      <cdr:x>0.33654</cdr:x>
      <cdr:y>0.92295</cdr:y>
    </cdr:to>
    <cdr:sp macro="" textlink="">
      <cdr:nvSpPr>
        <cdr:cNvPr id="8" name="TextBox 7"/>
        <cdr:cNvSpPr txBox="1"/>
      </cdr:nvSpPr>
      <cdr:spPr>
        <a:xfrm xmlns:a="http://schemas.openxmlformats.org/drawingml/2006/main">
          <a:off x="2790806" y="4375542"/>
          <a:ext cx="334585" cy="1210474"/>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t>RIL (Hazira)</a:t>
          </a:r>
        </a:p>
      </cdr:txBody>
    </cdr:sp>
  </cdr:relSizeAnchor>
  <cdr:relSizeAnchor xmlns:cdr="http://schemas.openxmlformats.org/drawingml/2006/chartDrawing">
    <cdr:from>
      <cdr:x>0.33581</cdr:x>
      <cdr:y>0.77213</cdr:y>
    </cdr:from>
    <cdr:to>
      <cdr:x>0.41389</cdr:x>
      <cdr:y>0.92321</cdr:y>
    </cdr:to>
    <cdr:sp macro="" textlink="">
      <cdr:nvSpPr>
        <cdr:cNvPr id="9" name="TextBox 8"/>
        <cdr:cNvSpPr txBox="1"/>
      </cdr:nvSpPr>
      <cdr:spPr>
        <a:xfrm xmlns:a="http://schemas.openxmlformats.org/drawingml/2006/main">
          <a:off x="3118660" y="4673200"/>
          <a:ext cx="725119"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Finolex,</a:t>
          </a:r>
        </a:p>
        <a:p xmlns:a="http://schemas.openxmlformats.org/drawingml/2006/main">
          <a:r>
            <a:rPr lang="en-IN" sz="1000" b="1">
              <a:solidFill>
                <a:srgbClr val="0070C0"/>
              </a:solidFill>
            </a:rPr>
            <a:t>Ratnagiri)</a:t>
          </a:r>
        </a:p>
      </cdr:txBody>
    </cdr:sp>
  </cdr:relSizeAnchor>
  <cdr:relSizeAnchor xmlns:cdr="http://schemas.openxmlformats.org/drawingml/2006/chartDrawing">
    <cdr:from>
      <cdr:x>0.37326</cdr:x>
      <cdr:y>0.66721</cdr:y>
    </cdr:from>
    <cdr:to>
      <cdr:x>0.43056</cdr:x>
      <cdr:y>0.92295</cdr:y>
    </cdr:to>
    <cdr:sp macro="" textlink="">
      <cdr:nvSpPr>
        <cdr:cNvPr id="10" name="TextBox 9"/>
        <cdr:cNvSpPr txBox="1"/>
      </cdr:nvSpPr>
      <cdr:spPr>
        <a:xfrm xmlns:a="http://schemas.openxmlformats.org/drawingml/2006/main">
          <a:off x="3466419" y="4038184"/>
          <a:ext cx="532097" cy="1547832"/>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chemeClr val="tx1"/>
              </a:solidFill>
            </a:rPr>
            <a:t>IPCL,</a:t>
          </a:r>
        </a:p>
        <a:p xmlns:a="http://schemas.openxmlformats.org/drawingml/2006/main">
          <a:r>
            <a:rPr lang="en-IN" sz="1000" b="1">
              <a:solidFill>
                <a:schemeClr val="tx1"/>
              </a:solidFill>
            </a:rPr>
            <a:t>Dahej (RIL))</a:t>
          </a:r>
        </a:p>
      </cdr:txBody>
    </cdr:sp>
  </cdr:relSizeAnchor>
  <cdr:relSizeAnchor xmlns:cdr="http://schemas.openxmlformats.org/drawingml/2006/chartDrawing">
    <cdr:from>
      <cdr:x>0.42244</cdr:x>
      <cdr:y>0.75574</cdr:y>
    </cdr:from>
    <cdr:to>
      <cdr:x>0.47756</cdr:x>
      <cdr:y>0.92131</cdr:y>
    </cdr:to>
    <cdr:sp macro="" textlink="">
      <cdr:nvSpPr>
        <cdr:cNvPr id="11" name="TextBox 10"/>
        <cdr:cNvSpPr txBox="1"/>
      </cdr:nvSpPr>
      <cdr:spPr>
        <a:xfrm xmlns:a="http://schemas.openxmlformats.org/drawingml/2006/main">
          <a:off x="3923168" y="4574006"/>
          <a:ext cx="511911" cy="10020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100" b="1">
              <a:solidFill>
                <a:srgbClr val="0070C0"/>
              </a:solidFill>
            </a:rPr>
            <a:t>Chemplast</a:t>
          </a:r>
        </a:p>
        <a:p xmlns:a="http://schemas.openxmlformats.org/drawingml/2006/main">
          <a:r>
            <a:rPr lang="en-IN" sz="1000" b="1">
              <a:solidFill>
                <a:srgbClr val="0070C0"/>
              </a:solidFill>
            </a:rPr>
            <a:t>Cuddalore</a:t>
          </a:r>
        </a:p>
      </cdr:txBody>
    </cdr:sp>
  </cdr:relSizeAnchor>
  <cdr:relSizeAnchor xmlns:cdr="http://schemas.openxmlformats.org/drawingml/2006/chartDrawing">
    <cdr:from>
      <cdr:x>0.46523</cdr:x>
      <cdr:y>0.59673</cdr:y>
    </cdr:from>
    <cdr:to>
      <cdr:x>0.53526</cdr:x>
      <cdr:y>0.91967</cdr:y>
    </cdr:to>
    <cdr:sp macro="" textlink="">
      <cdr:nvSpPr>
        <cdr:cNvPr id="12" name="TextBox 11"/>
        <cdr:cNvSpPr txBox="1"/>
      </cdr:nvSpPr>
      <cdr:spPr>
        <a:xfrm xmlns:a="http://schemas.openxmlformats.org/drawingml/2006/main">
          <a:off x="4320509" y="3611585"/>
          <a:ext cx="650352" cy="1954586"/>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chemeClr val="tx1"/>
              </a:solidFill>
            </a:rPr>
            <a:t>RIL, Dahej,</a:t>
          </a:r>
        </a:p>
        <a:p xmlns:a="http://schemas.openxmlformats.org/drawingml/2006/main">
          <a:r>
            <a:rPr lang="en-IN" sz="1000" b="1">
              <a:solidFill>
                <a:schemeClr val="tx1"/>
              </a:solidFill>
            </a:rPr>
            <a:t>Expansion</a:t>
          </a:r>
        </a:p>
      </cdr:txBody>
    </cdr:sp>
  </cdr:relSizeAnchor>
  <cdr:relSizeAnchor xmlns:cdr="http://schemas.openxmlformats.org/drawingml/2006/chartDrawing">
    <cdr:from>
      <cdr:x>0.50802</cdr:x>
      <cdr:y>0.76721</cdr:y>
    </cdr:from>
    <cdr:to>
      <cdr:x>0.5861</cdr:x>
      <cdr:y>0.9183</cdr:y>
    </cdr:to>
    <cdr:sp macro="" textlink="">
      <cdr:nvSpPr>
        <cdr:cNvPr id="13" name="TextBox 12"/>
        <cdr:cNvSpPr txBox="1"/>
      </cdr:nvSpPr>
      <cdr:spPr>
        <a:xfrm xmlns:a="http://schemas.openxmlformats.org/drawingml/2006/main">
          <a:off x="4717918" y="4643416"/>
          <a:ext cx="725119" cy="914449"/>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RIL (Hazira)</a:t>
          </a:r>
        </a:p>
        <a:p xmlns:a="http://schemas.openxmlformats.org/drawingml/2006/main">
          <a:r>
            <a:rPr lang="en-IN" sz="1000" b="1">
              <a:solidFill>
                <a:srgbClr val="0070C0"/>
              </a:solidFill>
            </a:rPr>
            <a:t>Expansion</a:t>
          </a:r>
        </a:p>
      </cdr:txBody>
    </cdr:sp>
  </cdr:relSizeAnchor>
  <cdr:relSizeAnchor xmlns:cdr="http://schemas.openxmlformats.org/drawingml/2006/chartDrawing">
    <cdr:from>
      <cdr:x>0.55291</cdr:x>
      <cdr:y>0.75082</cdr:y>
    </cdr:from>
    <cdr:to>
      <cdr:x>0.63099</cdr:x>
      <cdr:y>0.9019</cdr:y>
    </cdr:to>
    <cdr:sp macro="" textlink="">
      <cdr:nvSpPr>
        <cdr:cNvPr id="14" name="TextBox 13"/>
        <cdr:cNvSpPr txBox="1"/>
      </cdr:nvSpPr>
      <cdr:spPr>
        <a:xfrm xmlns:a="http://schemas.openxmlformats.org/drawingml/2006/main">
          <a:off x="5134845" y="4544221"/>
          <a:ext cx="725120"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chemeClr val="tx1"/>
              </a:solidFill>
            </a:rPr>
            <a:t>Chemplast</a:t>
          </a:r>
        </a:p>
        <a:p xmlns:a="http://schemas.openxmlformats.org/drawingml/2006/main">
          <a:r>
            <a:rPr lang="en-IN" sz="1000" b="1">
              <a:solidFill>
                <a:schemeClr val="tx1"/>
              </a:solidFill>
            </a:rPr>
            <a:t>Cuddalore</a:t>
          </a:r>
        </a:p>
      </cdr:txBody>
    </cdr:sp>
  </cdr:relSizeAnchor>
  <cdr:relSizeAnchor xmlns:cdr="http://schemas.openxmlformats.org/drawingml/2006/chartDrawing">
    <cdr:from>
      <cdr:x>0.59891</cdr:x>
      <cdr:y>0.74754</cdr:y>
    </cdr:from>
    <cdr:to>
      <cdr:x>0.67699</cdr:x>
      <cdr:y>0.89862</cdr:y>
    </cdr:to>
    <cdr:sp macro="" textlink="">
      <cdr:nvSpPr>
        <cdr:cNvPr id="15" name="TextBox 14"/>
        <cdr:cNvSpPr txBox="1"/>
      </cdr:nvSpPr>
      <cdr:spPr>
        <a:xfrm xmlns:a="http://schemas.openxmlformats.org/drawingml/2006/main">
          <a:off x="5561965" y="4524398"/>
          <a:ext cx="725119"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Chemplast</a:t>
          </a:r>
        </a:p>
        <a:p xmlns:a="http://schemas.openxmlformats.org/drawingml/2006/main">
          <a:r>
            <a:rPr lang="en-IN" sz="1000" b="1">
              <a:solidFill>
                <a:srgbClr val="0070C0"/>
              </a:solidFill>
            </a:rPr>
            <a:t>Mettur</a:t>
          </a:r>
        </a:p>
      </cdr:txBody>
    </cdr:sp>
  </cdr:relSizeAnchor>
  <cdr:relSizeAnchor xmlns:cdr="http://schemas.openxmlformats.org/drawingml/2006/chartDrawing">
    <cdr:from>
      <cdr:x>0.63955</cdr:x>
      <cdr:y>0.74427</cdr:y>
    </cdr:from>
    <cdr:to>
      <cdr:x>0.71763</cdr:x>
      <cdr:y>0.89535</cdr:y>
    </cdr:to>
    <cdr:sp macro="" textlink="">
      <cdr:nvSpPr>
        <cdr:cNvPr id="16" name="TextBox 15"/>
        <cdr:cNvSpPr txBox="1"/>
      </cdr:nvSpPr>
      <cdr:spPr>
        <a:xfrm xmlns:a="http://schemas.openxmlformats.org/drawingml/2006/main">
          <a:off x="5939413" y="4504554"/>
          <a:ext cx="725120"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chemeClr val="tx1"/>
              </a:solidFill>
            </a:rPr>
            <a:t>DCW,</a:t>
          </a:r>
        </a:p>
        <a:p xmlns:a="http://schemas.openxmlformats.org/drawingml/2006/main">
          <a:r>
            <a:rPr lang="en-IN" sz="1000" b="1">
              <a:solidFill>
                <a:schemeClr val="tx1"/>
              </a:solidFill>
            </a:rPr>
            <a:t>Tuticorin</a:t>
          </a:r>
        </a:p>
      </cdr:txBody>
    </cdr:sp>
  </cdr:relSizeAnchor>
  <cdr:relSizeAnchor xmlns:cdr="http://schemas.openxmlformats.org/drawingml/2006/chartDrawing">
    <cdr:from>
      <cdr:x>0.68448</cdr:x>
      <cdr:y>0.72623</cdr:y>
    </cdr:from>
    <cdr:to>
      <cdr:x>0.73932</cdr:x>
      <cdr:y>0.92131</cdr:y>
    </cdr:to>
    <cdr:sp macro="" textlink="">
      <cdr:nvSpPr>
        <cdr:cNvPr id="17" name="TextBox 16"/>
        <cdr:cNvSpPr txBox="1"/>
      </cdr:nvSpPr>
      <cdr:spPr>
        <a:xfrm xmlns:a="http://schemas.openxmlformats.org/drawingml/2006/main">
          <a:off x="6356715" y="4395382"/>
          <a:ext cx="509223" cy="1180712"/>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DCM Shriram</a:t>
          </a:r>
        </a:p>
        <a:p xmlns:a="http://schemas.openxmlformats.org/drawingml/2006/main">
          <a:r>
            <a:rPr lang="en-IN" sz="1000" b="1">
              <a:solidFill>
                <a:srgbClr val="0070C0"/>
              </a:solidFill>
            </a:rPr>
            <a:t> Kota</a:t>
          </a:r>
        </a:p>
      </cdr:txBody>
    </cdr:sp>
  </cdr:relSizeAnchor>
  <cdr:relSizeAnchor xmlns:cdr="http://schemas.openxmlformats.org/drawingml/2006/chartDrawing">
    <cdr:from>
      <cdr:x>0.72511</cdr:x>
      <cdr:y>0.66229</cdr:y>
    </cdr:from>
    <cdr:to>
      <cdr:x>0.7906</cdr:x>
      <cdr:y>0.91311</cdr:y>
    </cdr:to>
    <cdr:sp macro="" textlink="">
      <cdr:nvSpPr>
        <cdr:cNvPr id="18" name="TextBox 17"/>
        <cdr:cNvSpPr txBox="1"/>
      </cdr:nvSpPr>
      <cdr:spPr>
        <a:xfrm xmlns:a="http://schemas.openxmlformats.org/drawingml/2006/main">
          <a:off x="6733983" y="4008432"/>
          <a:ext cx="608205" cy="1518051"/>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t>Finolex</a:t>
          </a:r>
        </a:p>
        <a:p xmlns:a="http://schemas.openxmlformats.org/drawingml/2006/main">
          <a:r>
            <a:rPr lang="en-IN" sz="1000" b="1"/>
            <a:t>Ratnagiri</a:t>
          </a:r>
        </a:p>
      </cdr:txBody>
    </cdr:sp>
  </cdr:relSizeAnchor>
  <cdr:relSizeAnchor xmlns:cdr="http://schemas.openxmlformats.org/drawingml/2006/chartDrawing">
    <cdr:from>
      <cdr:x>0.76577</cdr:x>
      <cdr:y>0.75902</cdr:y>
    </cdr:from>
    <cdr:to>
      <cdr:x>0.84385</cdr:x>
      <cdr:y>0.9101</cdr:y>
    </cdr:to>
    <cdr:sp macro="" textlink="">
      <cdr:nvSpPr>
        <cdr:cNvPr id="19" name="TextBox 18"/>
        <cdr:cNvSpPr txBox="1"/>
      </cdr:nvSpPr>
      <cdr:spPr>
        <a:xfrm xmlns:a="http://schemas.openxmlformats.org/drawingml/2006/main">
          <a:off x="7111625" y="4593840"/>
          <a:ext cx="725119"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RIL</a:t>
          </a:r>
          <a:r>
            <a:rPr lang="en-IN" sz="1000" b="1" baseline="0">
              <a:solidFill>
                <a:srgbClr val="0070C0"/>
              </a:solidFill>
            </a:rPr>
            <a:t> </a:t>
          </a:r>
        </a:p>
        <a:p xmlns:a="http://schemas.openxmlformats.org/drawingml/2006/main">
          <a:r>
            <a:rPr lang="en-IN" sz="1000" b="1">
              <a:solidFill>
                <a:srgbClr val="0070C0"/>
              </a:solidFill>
            </a:rPr>
            <a:t>Vadodara</a:t>
          </a:r>
        </a:p>
      </cdr:txBody>
    </cdr:sp>
  </cdr:relSizeAnchor>
  <cdr:relSizeAnchor xmlns:cdr="http://schemas.openxmlformats.org/drawingml/2006/chartDrawing">
    <cdr:from>
      <cdr:x>0.80533</cdr:x>
      <cdr:y>0.7623</cdr:y>
    </cdr:from>
    <cdr:to>
      <cdr:x>0.88341</cdr:x>
      <cdr:y>0.91338</cdr:y>
    </cdr:to>
    <cdr:sp macro="" textlink="">
      <cdr:nvSpPr>
        <cdr:cNvPr id="20" name="TextBox 19"/>
        <cdr:cNvSpPr txBox="1"/>
      </cdr:nvSpPr>
      <cdr:spPr>
        <a:xfrm xmlns:a="http://schemas.openxmlformats.org/drawingml/2006/main">
          <a:off x="7479018" y="4613697"/>
          <a:ext cx="725119"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t>Veritas</a:t>
          </a:r>
        </a:p>
        <a:p xmlns:a="http://schemas.openxmlformats.org/drawingml/2006/main">
          <a:r>
            <a:rPr lang="en-IN" sz="1000" b="1"/>
            <a:t>India Limited</a:t>
          </a:r>
        </a:p>
      </cdr:txBody>
    </cdr:sp>
  </cdr:relSizeAnchor>
  <cdr:relSizeAnchor xmlns:cdr="http://schemas.openxmlformats.org/drawingml/2006/chartDrawing">
    <cdr:from>
      <cdr:x>0.85453</cdr:x>
      <cdr:y>0.76394</cdr:y>
    </cdr:from>
    <cdr:to>
      <cdr:x>0.91132</cdr:x>
      <cdr:y>0.92131</cdr:y>
    </cdr:to>
    <cdr:sp macro="" textlink="">
      <cdr:nvSpPr>
        <cdr:cNvPr id="21" name="TextBox 20"/>
        <cdr:cNvSpPr txBox="1"/>
      </cdr:nvSpPr>
      <cdr:spPr>
        <a:xfrm xmlns:a="http://schemas.openxmlformats.org/drawingml/2006/main">
          <a:off x="7935947" y="4623614"/>
          <a:ext cx="527411" cy="952480"/>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IN" sz="1000" b="1">
              <a:solidFill>
                <a:srgbClr val="0070C0"/>
              </a:solidFill>
            </a:rPr>
            <a:t>Chemplast</a:t>
          </a:r>
        </a:p>
        <a:p xmlns:a="http://schemas.openxmlformats.org/drawingml/2006/main">
          <a:r>
            <a:rPr lang="en-IN" sz="1000" b="1">
              <a:solidFill>
                <a:srgbClr val="0070C0"/>
              </a:solidFill>
            </a:rPr>
            <a:t>Cuddalore</a:t>
          </a:r>
        </a:p>
      </cdr:txBody>
    </cdr:sp>
  </cdr:relSizeAnchor>
  <cdr:relSizeAnchor xmlns:cdr="http://schemas.openxmlformats.org/drawingml/2006/chartDrawing">
    <cdr:from>
      <cdr:x>0.89515</cdr:x>
      <cdr:y>0.76721</cdr:y>
    </cdr:from>
    <cdr:to>
      <cdr:x>0.97323</cdr:x>
      <cdr:y>0.91829</cdr:y>
    </cdr:to>
    <cdr:sp macro="" textlink="">
      <cdr:nvSpPr>
        <cdr:cNvPr id="22" name="TextBox 21"/>
        <cdr:cNvSpPr txBox="1"/>
      </cdr:nvSpPr>
      <cdr:spPr>
        <a:xfrm xmlns:a="http://schemas.openxmlformats.org/drawingml/2006/main">
          <a:off x="8313173" y="4643447"/>
          <a:ext cx="725119" cy="914388"/>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IN" sz="1100" b="1">
              <a:effectLst/>
              <a:latin typeface="+mn-lt"/>
              <a:ea typeface="+mn-ea"/>
              <a:cs typeface="+mn-cs"/>
            </a:rPr>
            <a:t>RIL-</a:t>
          </a:r>
          <a:r>
            <a:rPr lang="en-IN" sz="1100" b="1"/>
            <a:t>Dahej,</a:t>
          </a:r>
        </a:p>
        <a:p xmlns:a="http://schemas.openxmlformats.org/drawingml/2006/main">
          <a:r>
            <a:rPr lang="en-IN" sz="1100" b="1"/>
            <a:t>New Plant</a:t>
          </a:r>
        </a:p>
      </cdr:txBody>
    </cdr:sp>
  </cdr:relSizeAnchor>
  <cdr:relSizeAnchor xmlns:cdr="http://schemas.openxmlformats.org/drawingml/2006/chartDrawing">
    <cdr:from>
      <cdr:x>0.94551</cdr:x>
      <cdr:y>0.77541</cdr:y>
    </cdr:from>
    <cdr:to>
      <cdr:x>1</cdr:x>
      <cdr:y>0.91967</cdr:y>
    </cdr:to>
    <cdr:sp macro="" textlink="">
      <cdr:nvSpPr>
        <cdr:cNvPr id="23" name="TextBox 22"/>
        <cdr:cNvSpPr txBox="1"/>
      </cdr:nvSpPr>
      <cdr:spPr>
        <a:xfrm xmlns:a="http://schemas.openxmlformats.org/drawingml/2006/main">
          <a:off x="8780859" y="4693073"/>
          <a:ext cx="506016" cy="873099"/>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IN" sz="1000" b="1">
              <a:solidFill>
                <a:srgbClr val="0070C0"/>
              </a:solidFill>
              <a:effectLst/>
              <a:latin typeface="+mn-lt"/>
              <a:ea typeface="+mn-ea"/>
              <a:cs typeface="+mn-cs"/>
            </a:rPr>
            <a:t>RIL-</a:t>
          </a:r>
          <a:r>
            <a:rPr lang="en-IN" sz="1000" b="1">
              <a:solidFill>
                <a:srgbClr val="0070C0"/>
              </a:solidFill>
            </a:rPr>
            <a:t>Jamnagar</a:t>
          </a:r>
        </a:p>
        <a:p xmlns:a="http://schemas.openxmlformats.org/drawingml/2006/main">
          <a:r>
            <a:rPr lang="en-IN" sz="1000" b="1">
              <a:solidFill>
                <a:srgbClr val="0070C0"/>
              </a:solidFill>
            </a:rPr>
            <a:t>New Plant</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86875" cy="6052344"/>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0.03102</cdr:x>
      <cdr:y>0.86203</cdr:y>
    </cdr:from>
    <cdr:to>
      <cdr:x>0.12941</cdr:x>
      <cdr:y>0.98689</cdr:y>
    </cdr:to>
    <cdr:sp macro="" textlink="">
      <cdr:nvSpPr>
        <cdr:cNvPr id="2" name="TextBox 1"/>
        <cdr:cNvSpPr txBox="1"/>
      </cdr:nvSpPr>
      <cdr:spPr>
        <a:xfrm xmlns:a="http://schemas.openxmlformats.org/drawingml/2006/main">
          <a:off x="287734" y="5217319"/>
          <a:ext cx="912813" cy="755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Calico </a:t>
          </a:r>
        </a:p>
        <a:p xmlns:a="http://schemas.openxmlformats.org/drawingml/2006/main">
          <a:r>
            <a:rPr lang="en-IN" sz="1100" b="1"/>
            <a:t>Mills,</a:t>
          </a:r>
        </a:p>
        <a:p xmlns:a="http://schemas.openxmlformats.org/drawingml/2006/main">
          <a:r>
            <a:rPr lang="en-IN" sz="1100" b="1"/>
            <a:t>Mumbai</a:t>
          </a:r>
        </a:p>
      </cdr:txBody>
    </cdr:sp>
  </cdr:relSizeAnchor>
  <cdr:relSizeAnchor xmlns:cdr="http://schemas.openxmlformats.org/drawingml/2006/chartDrawing">
    <cdr:from>
      <cdr:x>0.08021</cdr:x>
      <cdr:y>0.71148</cdr:y>
    </cdr:from>
    <cdr:to>
      <cdr:x>0.14225</cdr:x>
      <cdr:y>0.86256</cdr:y>
    </cdr:to>
    <cdr:sp macro="" textlink="">
      <cdr:nvSpPr>
        <cdr:cNvPr id="3" name="TextBox 2"/>
        <cdr:cNvSpPr txBox="1"/>
      </cdr:nvSpPr>
      <cdr:spPr>
        <a:xfrm xmlns:a="http://schemas.openxmlformats.org/drawingml/2006/main">
          <a:off x="744140" y="4306094"/>
          <a:ext cx="57547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DCM</a:t>
          </a:r>
        </a:p>
        <a:p xmlns:a="http://schemas.openxmlformats.org/drawingml/2006/main">
          <a:r>
            <a:rPr lang="en-IN" sz="1100" b="1"/>
            <a:t>Shriram</a:t>
          </a:r>
        </a:p>
        <a:p xmlns:a="http://schemas.openxmlformats.org/drawingml/2006/main">
          <a:r>
            <a:rPr lang="en-IN" sz="1100" b="1"/>
            <a:t>Kota</a:t>
          </a:r>
        </a:p>
      </cdr:txBody>
    </cdr:sp>
  </cdr:relSizeAnchor>
  <cdr:relSizeAnchor xmlns:cdr="http://schemas.openxmlformats.org/drawingml/2006/chartDrawing">
    <cdr:from>
      <cdr:x>0.10802</cdr:x>
      <cdr:y>0.85875</cdr:y>
    </cdr:from>
    <cdr:to>
      <cdr:x>0.18824</cdr:x>
      <cdr:y>0.9459</cdr:y>
    </cdr:to>
    <cdr:sp macro="" textlink="">
      <cdr:nvSpPr>
        <cdr:cNvPr id="4" name="TextBox 3"/>
        <cdr:cNvSpPr txBox="1"/>
      </cdr:nvSpPr>
      <cdr:spPr>
        <a:xfrm xmlns:a="http://schemas.openxmlformats.org/drawingml/2006/main">
          <a:off x="1002108" y="5197476"/>
          <a:ext cx="744142" cy="52744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Chemplast</a:t>
          </a:r>
        </a:p>
        <a:p xmlns:a="http://schemas.openxmlformats.org/drawingml/2006/main">
          <a:r>
            <a:rPr lang="en-IN" sz="1100" b="1"/>
            <a:t>Mettur</a:t>
          </a:r>
        </a:p>
      </cdr:txBody>
    </cdr:sp>
  </cdr:relSizeAnchor>
  <cdr:relSizeAnchor xmlns:cdr="http://schemas.openxmlformats.org/drawingml/2006/chartDrawing">
    <cdr:from>
      <cdr:x>0.15829</cdr:x>
      <cdr:y>0.71639</cdr:y>
    </cdr:from>
    <cdr:to>
      <cdr:x>0.23636</cdr:x>
      <cdr:y>0.86748</cdr:y>
    </cdr:to>
    <cdr:sp macro="" textlink="">
      <cdr:nvSpPr>
        <cdr:cNvPr id="5" name="TextBox 4"/>
        <cdr:cNvSpPr txBox="1"/>
      </cdr:nvSpPr>
      <cdr:spPr>
        <a:xfrm xmlns:a="http://schemas.openxmlformats.org/drawingml/2006/main">
          <a:off x="1468436" y="4335861"/>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NOCIL,</a:t>
          </a:r>
        </a:p>
        <a:p xmlns:a="http://schemas.openxmlformats.org/drawingml/2006/main">
          <a:r>
            <a:rPr lang="en-IN" sz="1100" b="1"/>
            <a:t>Thane</a:t>
          </a:r>
        </a:p>
      </cdr:txBody>
    </cdr:sp>
  </cdr:relSizeAnchor>
  <cdr:relSizeAnchor xmlns:cdr="http://schemas.openxmlformats.org/drawingml/2006/chartDrawing">
    <cdr:from>
      <cdr:x>0.20535</cdr:x>
      <cdr:y>0.71639</cdr:y>
    </cdr:from>
    <cdr:to>
      <cdr:x>0.28342</cdr:x>
      <cdr:y>0.86748</cdr:y>
    </cdr:to>
    <cdr:sp macro="" textlink="">
      <cdr:nvSpPr>
        <cdr:cNvPr id="6" name="TextBox 5"/>
        <cdr:cNvSpPr txBox="1"/>
      </cdr:nvSpPr>
      <cdr:spPr>
        <a:xfrm xmlns:a="http://schemas.openxmlformats.org/drawingml/2006/main">
          <a:off x="1904998" y="4335861"/>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DCW,</a:t>
          </a:r>
        </a:p>
        <a:p xmlns:a="http://schemas.openxmlformats.org/drawingml/2006/main">
          <a:r>
            <a:rPr lang="en-IN" sz="1100" b="1"/>
            <a:t>Tuticorin</a:t>
          </a:r>
        </a:p>
      </cdr:txBody>
    </cdr:sp>
  </cdr:relSizeAnchor>
  <cdr:relSizeAnchor xmlns:cdr="http://schemas.openxmlformats.org/drawingml/2006/chartDrawing">
    <cdr:from>
      <cdr:x>0.25027</cdr:x>
      <cdr:y>0.86203</cdr:y>
    </cdr:from>
    <cdr:to>
      <cdr:x>0.32834</cdr:x>
      <cdr:y>0.96885</cdr:y>
    </cdr:to>
    <cdr:sp macro="" textlink="">
      <cdr:nvSpPr>
        <cdr:cNvPr id="7" name="TextBox 6"/>
        <cdr:cNvSpPr txBox="1"/>
      </cdr:nvSpPr>
      <cdr:spPr>
        <a:xfrm xmlns:a="http://schemas.openxmlformats.org/drawingml/2006/main">
          <a:off x="2321717" y="5217319"/>
          <a:ext cx="724299" cy="64650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IPCL</a:t>
          </a:r>
        </a:p>
        <a:p xmlns:a="http://schemas.openxmlformats.org/drawingml/2006/main">
          <a:r>
            <a:rPr lang="en-IN" sz="1100" b="1"/>
            <a:t>Vadodara</a:t>
          </a:r>
        </a:p>
        <a:p xmlns:a="http://schemas.openxmlformats.org/drawingml/2006/main">
          <a:r>
            <a:rPr lang="en-IN" sz="1100" b="1"/>
            <a:t> (RIL)</a:t>
          </a:r>
        </a:p>
      </cdr:txBody>
    </cdr:sp>
  </cdr:relSizeAnchor>
  <cdr:relSizeAnchor xmlns:cdr="http://schemas.openxmlformats.org/drawingml/2006/chartDrawing">
    <cdr:from>
      <cdr:x>0.28128</cdr:x>
      <cdr:y>0.72295</cdr:y>
    </cdr:from>
    <cdr:to>
      <cdr:x>0.35936</cdr:x>
      <cdr:y>0.87403</cdr:y>
    </cdr:to>
    <cdr:sp macro="" textlink="">
      <cdr:nvSpPr>
        <cdr:cNvPr id="8" name="TextBox 7"/>
        <cdr:cNvSpPr txBox="1"/>
      </cdr:nvSpPr>
      <cdr:spPr>
        <a:xfrm xmlns:a="http://schemas.openxmlformats.org/drawingml/2006/main">
          <a:off x="2609452" y="4375548"/>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RIL</a:t>
          </a:r>
        </a:p>
        <a:p xmlns:a="http://schemas.openxmlformats.org/drawingml/2006/main">
          <a:r>
            <a:rPr lang="en-IN" sz="1100" b="1"/>
            <a:t>(Hazira)</a:t>
          </a:r>
        </a:p>
      </cdr:txBody>
    </cdr:sp>
  </cdr:relSizeAnchor>
  <cdr:relSizeAnchor xmlns:cdr="http://schemas.openxmlformats.org/drawingml/2006/chartDrawing">
    <cdr:from>
      <cdr:x>0.32513</cdr:x>
      <cdr:y>0.69836</cdr:y>
    </cdr:from>
    <cdr:to>
      <cdr:x>0.40321</cdr:x>
      <cdr:y>0.84944</cdr:y>
    </cdr:to>
    <cdr:sp macro="" textlink="">
      <cdr:nvSpPr>
        <cdr:cNvPr id="9" name="TextBox 8"/>
        <cdr:cNvSpPr txBox="1"/>
      </cdr:nvSpPr>
      <cdr:spPr>
        <a:xfrm xmlns:a="http://schemas.openxmlformats.org/drawingml/2006/main">
          <a:off x="3016248" y="4226720"/>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Finolex,</a:t>
          </a:r>
        </a:p>
        <a:p xmlns:a="http://schemas.openxmlformats.org/drawingml/2006/main">
          <a:r>
            <a:rPr lang="en-IN" sz="1100" b="1"/>
            <a:t>Ratnagiri)</a:t>
          </a:r>
        </a:p>
      </cdr:txBody>
    </cdr:sp>
  </cdr:relSizeAnchor>
  <cdr:relSizeAnchor xmlns:cdr="http://schemas.openxmlformats.org/drawingml/2006/chartDrawing">
    <cdr:from>
      <cdr:x>0.37326</cdr:x>
      <cdr:y>0.66721</cdr:y>
    </cdr:from>
    <cdr:to>
      <cdr:x>0.45134</cdr:x>
      <cdr:y>0.8183</cdr:y>
    </cdr:to>
    <cdr:sp macro="" textlink="">
      <cdr:nvSpPr>
        <cdr:cNvPr id="10" name="TextBox 9"/>
        <cdr:cNvSpPr txBox="1"/>
      </cdr:nvSpPr>
      <cdr:spPr>
        <a:xfrm xmlns:a="http://schemas.openxmlformats.org/drawingml/2006/main">
          <a:off x="3462732" y="4038205"/>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IPCL,</a:t>
          </a:r>
        </a:p>
        <a:p xmlns:a="http://schemas.openxmlformats.org/drawingml/2006/main">
          <a:r>
            <a:rPr lang="en-IN" sz="1100" b="1"/>
            <a:t>Dahej (RIL))</a:t>
          </a:r>
        </a:p>
      </cdr:txBody>
    </cdr:sp>
  </cdr:relSizeAnchor>
  <cdr:relSizeAnchor xmlns:cdr="http://schemas.openxmlformats.org/drawingml/2006/chartDrawing">
    <cdr:from>
      <cdr:x>0.41069</cdr:x>
      <cdr:y>0.75902</cdr:y>
    </cdr:from>
    <cdr:to>
      <cdr:x>0.48877</cdr:x>
      <cdr:y>0.9101</cdr:y>
    </cdr:to>
    <cdr:sp macro="" textlink="">
      <cdr:nvSpPr>
        <cdr:cNvPr id="11" name="TextBox 10"/>
        <cdr:cNvSpPr txBox="1"/>
      </cdr:nvSpPr>
      <cdr:spPr>
        <a:xfrm xmlns:a="http://schemas.openxmlformats.org/drawingml/2006/main">
          <a:off x="3809997" y="4593830"/>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Chemplast</a:t>
          </a:r>
        </a:p>
        <a:p xmlns:a="http://schemas.openxmlformats.org/drawingml/2006/main">
          <a:r>
            <a:rPr lang="en-IN" sz="1100" b="1"/>
            <a:t>Cuddalore</a:t>
          </a:r>
        </a:p>
      </cdr:txBody>
    </cdr:sp>
  </cdr:relSizeAnchor>
  <cdr:relSizeAnchor xmlns:cdr="http://schemas.openxmlformats.org/drawingml/2006/chartDrawing">
    <cdr:from>
      <cdr:x>0.45027</cdr:x>
      <cdr:y>0.60984</cdr:y>
    </cdr:from>
    <cdr:to>
      <cdr:x>0.52834</cdr:x>
      <cdr:y>0.76092</cdr:y>
    </cdr:to>
    <cdr:sp macro="" textlink="">
      <cdr:nvSpPr>
        <cdr:cNvPr id="12" name="TextBox 11"/>
        <cdr:cNvSpPr txBox="1"/>
      </cdr:nvSpPr>
      <cdr:spPr>
        <a:xfrm xmlns:a="http://schemas.openxmlformats.org/drawingml/2006/main">
          <a:off x="4177107" y="3690939"/>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RIL,</a:t>
          </a:r>
        </a:p>
        <a:p xmlns:a="http://schemas.openxmlformats.org/drawingml/2006/main">
          <a:r>
            <a:rPr lang="en-IN" sz="1100" b="1"/>
            <a:t>Dahej,</a:t>
          </a:r>
        </a:p>
        <a:p xmlns:a="http://schemas.openxmlformats.org/drawingml/2006/main">
          <a:r>
            <a:rPr lang="en-IN" sz="1100" b="1"/>
            <a:t>Expanded</a:t>
          </a:r>
        </a:p>
        <a:p xmlns:a="http://schemas.openxmlformats.org/drawingml/2006/main">
          <a:r>
            <a:rPr lang="en-IN" sz="1100" b="1"/>
            <a:t>Capacity</a:t>
          </a:r>
        </a:p>
      </cdr:txBody>
    </cdr:sp>
  </cdr:relSizeAnchor>
  <cdr:relSizeAnchor xmlns:cdr="http://schemas.openxmlformats.org/drawingml/2006/chartDrawing">
    <cdr:from>
      <cdr:x>0.50802</cdr:x>
      <cdr:y>0.74098</cdr:y>
    </cdr:from>
    <cdr:to>
      <cdr:x>0.5861</cdr:x>
      <cdr:y>0.89207</cdr:y>
    </cdr:to>
    <cdr:sp macro="" textlink="">
      <cdr:nvSpPr>
        <cdr:cNvPr id="13" name="TextBox 12"/>
        <cdr:cNvSpPr txBox="1"/>
      </cdr:nvSpPr>
      <cdr:spPr>
        <a:xfrm xmlns:a="http://schemas.openxmlformats.org/drawingml/2006/main">
          <a:off x="4712889" y="4484689"/>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RIL</a:t>
          </a:r>
        </a:p>
        <a:p xmlns:a="http://schemas.openxmlformats.org/drawingml/2006/main">
          <a:r>
            <a:rPr lang="en-IN" sz="1100" b="1"/>
            <a:t>(Hazira)</a:t>
          </a:r>
        </a:p>
        <a:p xmlns:a="http://schemas.openxmlformats.org/drawingml/2006/main">
          <a:r>
            <a:rPr lang="en-IN" sz="1100" b="1"/>
            <a:t>Expansion</a:t>
          </a:r>
        </a:p>
      </cdr:txBody>
    </cdr:sp>
  </cdr:relSizeAnchor>
  <cdr:relSizeAnchor xmlns:cdr="http://schemas.openxmlformats.org/drawingml/2006/chartDrawing">
    <cdr:from>
      <cdr:x>0.52941</cdr:x>
      <cdr:y>0.65082</cdr:y>
    </cdr:from>
    <cdr:to>
      <cdr:x>0.60749</cdr:x>
      <cdr:y>0.8019</cdr:y>
    </cdr:to>
    <cdr:sp macro="" textlink="">
      <cdr:nvSpPr>
        <cdr:cNvPr id="14" name="TextBox 13"/>
        <cdr:cNvSpPr txBox="1"/>
      </cdr:nvSpPr>
      <cdr:spPr>
        <a:xfrm xmlns:a="http://schemas.openxmlformats.org/drawingml/2006/main">
          <a:off x="4911327" y="3938985"/>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Chemplast</a:t>
          </a:r>
        </a:p>
        <a:p xmlns:a="http://schemas.openxmlformats.org/drawingml/2006/main">
          <a:r>
            <a:rPr lang="en-IN" sz="1100" b="1"/>
            <a:t>Cuddalore</a:t>
          </a:r>
        </a:p>
      </cdr:txBody>
    </cdr:sp>
  </cdr:relSizeAnchor>
  <cdr:relSizeAnchor xmlns:cdr="http://schemas.openxmlformats.org/drawingml/2006/chartDrawing">
    <cdr:from>
      <cdr:x>0.57647</cdr:x>
      <cdr:y>0.73443</cdr:y>
    </cdr:from>
    <cdr:to>
      <cdr:x>0.65455</cdr:x>
      <cdr:y>0.88551</cdr:y>
    </cdr:to>
    <cdr:sp macro="" textlink="">
      <cdr:nvSpPr>
        <cdr:cNvPr id="15" name="TextBox 14"/>
        <cdr:cNvSpPr txBox="1"/>
      </cdr:nvSpPr>
      <cdr:spPr>
        <a:xfrm xmlns:a="http://schemas.openxmlformats.org/drawingml/2006/main">
          <a:off x="5347889" y="4445000"/>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Chemplast</a:t>
          </a:r>
        </a:p>
        <a:p xmlns:a="http://schemas.openxmlformats.org/drawingml/2006/main">
          <a:r>
            <a:rPr lang="en-IN" sz="1100" b="1"/>
            <a:t>Mettur</a:t>
          </a:r>
        </a:p>
      </cdr:txBody>
    </cdr:sp>
  </cdr:relSizeAnchor>
  <cdr:relSizeAnchor xmlns:cdr="http://schemas.openxmlformats.org/drawingml/2006/chartDrawing">
    <cdr:from>
      <cdr:x>0.61925</cdr:x>
      <cdr:y>0.63443</cdr:y>
    </cdr:from>
    <cdr:to>
      <cdr:x>0.69733</cdr:x>
      <cdr:y>0.78551</cdr:y>
    </cdr:to>
    <cdr:sp macro="" textlink="">
      <cdr:nvSpPr>
        <cdr:cNvPr id="16" name="TextBox 15"/>
        <cdr:cNvSpPr txBox="1"/>
      </cdr:nvSpPr>
      <cdr:spPr>
        <a:xfrm xmlns:a="http://schemas.openxmlformats.org/drawingml/2006/main">
          <a:off x="5744764" y="3839766"/>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DCW,</a:t>
          </a:r>
        </a:p>
        <a:p xmlns:a="http://schemas.openxmlformats.org/drawingml/2006/main">
          <a:r>
            <a:rPr lang="en-IN" sz="1100" b="1"/>
            <a:t>Tuticorin</a:t>
          </a:r>
        </a:p>
      </cdr:txBody>
    </cdr:sp>
  </cdr:relSizeAnchor>
  <cdr:relSizeAnchor xmlns:cdr="http://schemas.openxmlformats.org/drawingml/2006/chartDrawing">
    <cdr:from>
      <cdr:x>0.6738</cdr:x>
      <cdr:y>0.72131</cdr:y>
    </cdr:from>
    <cdr:to>
      <cdr:x>0.75187</cdr:x>
      <cdr:y>0.87239</cdr:y>
    </cdr:to>
    <cdr:sp macro="" textlink="">
      <cdr:nvSpPr>
        <cdr:cNvPr id="17" name="TextBox 16"/>
        <cdr:cNvSpPr txBox="1"/>
      </cdr:nvSpPr>
      <cdr:spPr>
        <a:xfrm xmlns:a="http://schemas.openxmlformats.org/drawingml/2006/main">
          <a:off x="6250780" y="4365625"/>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DCM</a:t>
          </a:r>
        </a:p>
        <a:p xmlns:a="http://schemas.openxmlformats.org/drawingml/2006/main">
          <a:r>
            <a:rPr lang="en-IN" sz="1100" b="1"/>
            <a:t>Shriram</a:t>
          </a:r>
        </a:p>
        <a:p xmlns:a="http://schemas.openxmlformats.org/drawingml/2006/main">
          <a:r>
            <a:rPr lang="en-IN" sz="1100" b="1"/>
            <a:t> Kota</a:t>
          </a:r>
        </a:p>
      </cdr:txBody>
    </cdr:sp>
  </cdr:relSizeAnchor>
  <cdr:relSizeAnchor xmlns:cdr="http://schemas.openxmlformats.org/drawingml/2006/chartDrawing">
    <cdr:from>
      <cdr:x>0.70374</cdr:x>
      <cdr:y>0.62295</cdr:y>
    </cdr:from>
    <cdr:to>
      <cdr:x>0.78182</cdr:x>
      <cdr:y>0.77403</cdr:y>
    </cdr:to>
    <cdr:sp macro="" textlink="">
      <cdr:nvSpPr>
        <cdr:cNvPr id="18" name="TextBox 17"/>
        <cdr:cNvSpPr txBox="1"/>
      </cdr:nvSpPr>
      <cdr:spPr>
        <a:xfrm xmlns:a="http://schemas.openxmlformats.org/drawingml/2006/main">
          <a:off x="6528592" y="3770313"/>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Finolex</a:t>
          </a:r>
        </a:p>
        <a:p xmlns:a="http://schemas.openxmlformats.org/drawingml/2006/main">
          <a:r>
            <a:rPr lang="en-IN" sz="1100" b="1"/>
            <a:t>Ratnagiri</a:t>
          </a:r>
        </a:p>
      </cdr:txBody>
    </cdr:sp>
  </cdr:relSizeAnchor>
  <cdr:relSizeAnchor xmlns:cdr="http://schemas.openxmlformats.org/drawingml/2006/chartDrawing">
    <cdr:from>
      <cdr:x>0.76684</cdr:x>
      <cdr:y>0.70492</cdr:y>
    </cdr:from>
    <cdr:to>
      <cdr:x>0.84492</cdr:x>
      <cdr:y>0.856</cdr:y>
    </cdr:to>
    <cdr:sp macro="" textlink="">
      <cdr:nvSpPr>
        <cdr:cNvPr id="19" name="TextBox 18"/>
        <cdr:cNvSpPr txBox="1"/>
      </cdr:nvSpPr>
      <cdr:spPr>
        <a:xfrm xmlns:a="http://schemas.openxmlformats.org/drawingml/2006/main">
          <a:off x="7113983" y="4266406"/>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RIL</a:t>
          </a:r>
          <a:r>
            <a:rPr lang="en-IN" sz="1100" b="1" baseline="0"/>
            <a:t> </a:t>
          </a:r>
        </a:p>
        <a:p xmlns:a="http://schemas.openxmlformats.org/drawingml/2006/main">
          <a:r>
            <a:rPr lang="en-IN" sz="1100" b="1"/>
            <a:t>Vadodara</a:t>
          </a:r>
        </a:p>
      </cdr:txBody>
    </cdr:sp>
  </cdr:relSizeAnchor>
  <cdr:relSizeAnchor xmlns:cdr="http://schemas.openxmlformats.org/drawingml/2006/chartDrawing">
    <cdr:from>
      <cdr:x>0.79358</cdr:x>
      <cdr:y>0.58525</cdr:y>
    </cdr:from>
    <cdr:to>
      <cdr:x>0.87166</cdr:x>
      <cdr:y>0.73633</cdr:y>
    </cdr:to>
    <cdr:sp macro="" textlink="">
      <cdr:nvSpPr>
        <cdr:cNvPr id="20" name="TextBox 19"/>
        <cdr:cNvSpPr txBox="1"/>
      </cdr:nvSpPr>
      <cdr:spPr>
        <a:xfrm xmlns:a="http://schemas.openxmlformats.org/drawingml/2006/main">
          <a:off x="7362031" y="3542109"/>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Veritas</a:t>
          </a:r>
        </a:p>
        <a:p xmlns:a="http://schemas.openxmlformats.org/drawingml/2006/main">
          <a:r>
            <a:rPr lang="en-IN" sz="1100" b="1"/>
            <a:t>India</a:t>
          </a:r>
        </a:p>
        <a:p xmlns:a="http://schemas.openxmlformats.org/drawingml/2006/main">
          <a:r>
            <a:rPr lang="en-IN" sz="1100" b="1"/>
            <a:t>Limited</a:t>
          </a:r>
        </a:p>
      </cdr:txBody>
    </cdr:sp>
  </cdr:relSizeAnchor>
  <cdr:relSizeAnchor xmlns:cdr="http://schemas.openxmlformats.org/drawingml/2006/chartDrawing">
    <cdr:from>
      <cdr:x>0.84385</cdr:x>
      <cdr:y>0.68361</cdr:y>
    </cdr:from>
    <cdr:to>
      <cdr:x>0.92193</cdr:x>
      <cdr:y>0.83469</cdr:y>
    </cdr:to>
    <cdr:sp macro="" textlink="">
      <cdr:nvSpPr>
        <cdr:cNvPr id="21" name="TextBox 20"/>
        <cdr:cNvSpPr txBox="1"/>
      </cdr:nvSpPr>
      <cdr:spPr>
        <a:xfrm xmlns:a="http://schemas.openxmlformats.org/drawingml/2006/main">
          <a:off x="7828358" y="4137422"/>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Chemplast</a:t>
          </a:r>
        </a:p>
        <a:p xmlns:a="http://schemas.openxmlformats.org/drawingml/2006/main">
          <a:r>
            <a:rPr lang="en-IN" sz="1100" b="1"/>
            <a:t>Cuddalore</a:t>
          </a:r>
        </a:p>
      </cdr:txBody>
    </cdr:sp>
  </cdr:relSizeAnchor>
  <cdr:relSizeAnchor xmlns:cdr="http://schemas.openxmlformats.org/drawingml/2006/chartDrawing">
    <cdr:from>
      <cdr:x>0.86417</cdr:x>
      <cdr:y>0.47869</cdr:y>
    </cdr:from>
    <cdr:to>
      <cdr:x>0.94225</cdr:x>
      <cdr:y>0.62977</cdr:y>
    </cdr:to>
    <cdr:sp macro="" textlink="">
      <cdr:nvSpPr>
        <cdr:cNvPr id="22" name="TextBox 21"/>
        <cdr:cNvSpPr txBox="1"/>
      </cdr:nvSpPr>
      <cdr:spPr>
        <a:xfrm xmlns:a="http://schemas.openxmlformats.org/drawingml/2006/main">
          <a:off x="8016874" y="2897188"/>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Dahej,</a:t>
          </a:r>
        </a:p>
        <a:p xmlns:a="http://schemas.openxmlformats.org/drawingml/2006/main">
          <a:r>
            <a:rPr lang="en-IN" sz="1100" b="1"/>
            <a:t>RIL-</a:t>
          </a:r>
        </a:p>
        <a:p xmlns:a="http://schemas.openxmlformats.org/drawingml/2006/main">
          <a:r>
            <a:rPr lang="en-IN" sz="1100" b="1"/>
            <a:t>New Plant</a:t>
          </a:r>
        </a:p>
      </cdr:txBody>
    </cdr:sp>
  </cdr:relSizeAnchor>
  <cdr:relSizeAnchor xmlns:cdr="http://schemas.openxmlformats.org/drawingml/2006/chartDrawing">
    <cdr:from>
      <cdr:x>0.91337</cdr:x>
      <cdr:y>0.13607</cdr:y>
    </cdr:from>
    <cdr:to>
      <cdr:x>0.99144</cdr:x>
      <cdr:y>0.28715</cdr:y>
    </cdr:to>
    <cdr:sp macro="" textlink="">
      <cdr:nvSpPr>
        <cdr:cNvPr id="23" name="TextBox 22"/>
        <cdr:cNvSpPr txBox="1"/>
      </cdr:nvSpPr>
      <cdr:spPr>
        <a:xfrm xmlns:a="http://schemas.openxmlformats.org/drawingml/2006/main">
          <a:off x="8473281" y="823517"/>
          <a:ext cx="724299"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b="1"/>
            <a:t>Jamnagar</a:t>
          </a:r>
        </a:p>
        <a:p xmlns:a="http://schemas.openxmlformats.org/drawingml/2006/main">
          <a:r>
            <a:rPr lang="en-IN" sz="1100" b="1"/>
            <a:t>RIL-</a:t>
          </a:r>
        </a:p>
        <a:p xmlns:a="http://schemas.openxmlformats.org/drawingml/2006/main">
          <a:r>
            <a:rPr lang="en-IN" sz="1100" b="1"/>
            <a:t>New Plant</a:t>
          </a: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0</xdr:col>
      <xdr:colOff>51955</xdr:colOff>
      <xdr:row>0</xdr:row>
      <xdr:rowOff>0</xdr:rowOff>
    </xdr:from>
    <xdr:to>
      <xdr:col>16</xdr:col>
      <xdr:colOff>318654</xdr:colOff>
      <xdr:row>27</xdr:row>
      <xdr:rowOff>27253</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51955" y="0"/>
          <a:ext cx="9964881" cy="5170753"/>
        </a:xfrm>
        <a:prstGeom prst="rect">
          <a:avLst/>
        </a:prstGeom>
      </xdr:spPr>
    </xdr:pic>
    <xdr:clientData/>
  </xdr:twoCellAnchor>
  <xdr:twoCellAnchor editAs="oneCell">
    <xdr:from>
      <xdr:col>33</xdr:col>
      <xdr:colOff>588822</xdr:colOff>
      <xdr:row>15</xdr:row>
      <xdr:rowOff>122328</xdr:rowOff>
    </xdr:from>
    <xdr:to>
      <xdr:col>47</xdr:col>
      <xdr:colOff>483049</xdr:colOff>
      <xdr:row>37</xdr:row>
      <xdr:rowOff>155863</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23059163" y="2979828"/>
          <a:ext cx="8380136" cy="4224535"/>
        </a:xfrm>
        <a:prstGeom prst="rect">
          <a:avLst/>
        </a:prstGeom>
      </xdr:spPr>
    </xdr:pic>
    <xdr:clientData/>
  </xdr:twoCellAnchor>
  <xdr:twoCellAnchor>
    <xdr:from>
      <xdr:col>9</xdr:col>
      <xdr:colOff>484907</xdr:colOff>
      <xdr:row>29</xdr:row>
      <xdr:rowOff>78796</xdr:rowOff>
    </xdr:from>
    <xdr:to>
      <xdr:col>20</xdr:col>
      <xdr:colOff>554180</xdr:colOff>
      <xdr:row>51</xdr:row>
      <xdr:rowOff>86591</xdr:rowOff>
    </xdr:to>
    <xdr:graphicFrame macro="">
      <xdr:nvGraphicFramePr>
        <xdr:cNvPr id="17" name="Chart 16">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8</xdr:col>
      <xdr:colOff>0</xdr:colOff>
      <xdr:row>13</xdr:row>
      <xdr:rowOff>104772</xdr:rowOff>
    </xdr:from>
    <xdr:to>
      <xdr:col>13</xdr:col>
      <xdr:colOff>9525</xdr:colOff>
      <xdr:row>23</xdr:row>
      <xdr:rowOff>85724</xdr:rowOff>
    </xdr:to>
    <xdr:graphicFrame macro="">
      <xdr:nvGraphicFramePr>
        <xdr:cNvPr id="2" name="Chart 1">
          <a:extLst>
            <a:ext uri="{FF2B5EF4-FFF2-40B4-BE49-F238E27FC236}">
              <a16:creationId xmlns:a16="http://schemas.microsoft.com/office/drawing/2014/main" id="{4BCB2D86-3442-4BF4-AB9A-F7BB6CC2B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428624</xdr:colOff>
      <xdr:row>3</xdr:row>
      <xdr:rowOff>57151</xdr:rowOff>
    </xdr:from>
    <xdr:to>
      <xdr:col>12</xdr:col>
      <xdr:colOff>1619249</xdr:colOff>
      <xdr:row>13</xdr:row>
      <xdr:rowOff>76201</xdr:rowOff>
    </xdr:to>
    <xdr:graphicFrame macro="">
      <xdr:nvGraphicFramePr>
        <xdr:cNvPr id="3" name="Chart 2">
          <a:extLst>
            <a:ext uri="{FF2B5EF4-FFF2-40B4-BE49-F238E27FC236}">
              <a16:creationId xmlns:a16="http://schemas.microsoft.com/office/drawing/2014/main" id="{EE3E5203-E4DB-4703-9814-D0978928B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0</xdr:colOff>
      <xdr:row>20</xdr:row>
      <xdr:rowOff>0</xdr:rowOff>
    </xdr:from>
    <xdr:to>
      <xdr:col>9</xdr:col>
      <xdr:colOff>76200</xdr:colOff>
      <xdr:row>21</xdr:row>
      <xdr:rowOff>9525</xdr:rowOff>
    </xdr:to>
    <xdr:sp macro="" textlink="">
      <xdr:nvSpPr>
        <xdr:cNvPr id="2" name="Text Box 2">
          <a:extLst>
            <a:ext uri="{FF2B5EF4-FFF2-40B4-BE49-F238E27FC236}">
              <a16:creationId xmlns:a16="http://schemas.microsoft.com/office/drawing/2014/main" id="{00000000-0008-0000-0600-000002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3" name="Text Box 3">
          <a:extLst>
            <a:ext uri="{FF2B5EF4-FFF2-40B4-BE49-F238E27FC236}">
              <a16:creationId xmlns:a16="http://schemas.microsoft.com/office/drawing/2014/main" id="{00000000-0008-0000-0600-000003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4" name="Text Box 4">
          <a:extLst>
            <a:ext uri="{FF2B5EF4-FFF2-40B4-BE49-F238E27FC236}">
              <a16:creationId xmlns:a16="http://schemas.microsoft.com/office/drawing/2014/main" id="{00000000-0008-0000-0600-000004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5" name="Text Box 5">
          <a:extLst>
            <a:ext uri="{FF2B5EF4-FFF2-40B4-BE49-F238E27FC236}">
              <a16:creationId xmlns:a16="http://schemas.microsoft.com/office/drawing/2014/main" id="{00000000-0008-0000-0600-000005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6" name="Text Box 6">
          <a:extLst>
            <a:ext uri="{FF2B5EF4-FFF2-40B4-BE49-F238E27FC236}">
              <a16:creationId xmlns:a16="http://schemas.microsoft.com/office/drawing/2014/main" id="{00000000-0008-0000-0600-000006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7" name="Text Box 7">
          <a:extLst>
            <a:ext uri="{FF2B5EF4-FFF2-40B4-BE49-F238E27FC236}">
              <a16:creationId xmlns:a16="http://schemas.microsoft.com/office/drawing/2014/main" id="{00000000-0008-0000-0600-000007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8" name="Text Box 8">
          <a:extLst>
            <a:ext uri="{FF2B5EF4-FFF2-40B4-BE49-F238E27FC236}">
              <a16:creationId xmlns:a16="http://schemas.microsoft.com/office/drawing/2014/main" id="{00000000-0008-0000-0600-000008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9" name="Text Box 9">
          <a:extLst>
            <a:ext uri="{FF2B5EF4-FFF2-40B4-BE49-F238E27FC236}">
              <a16:creationId xmlns:a16="http://schemas.microsoft.com/office/drawing/2014/main" id="{00000000-0008-0000-0600-000009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0" name="Text Box 10">
          <a:extLst>
            <a:ext uri="{FF2B5EF4-FFF2-40B4-BE49-F238E27FC236}">
              <a16:creationId xmlns:a16="http://schemas.microsoft.com/office/drawing/2014/main" id="{00000000-0008-0000-0600-00000A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1" name="Text Box 11">
          <a:extLst>
            <a:ext uri="{FF2B5EF4-FFF2-40B4-BE49-F238E27FC236}">
              <a16:creationId xmlns:a16="http://schemas.microsoft.com/office/drawing/2014/main" id="{00000000-0008-0000-0600-00000B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2" name="Text Box 12">
          <a:extLst>
            <a:ext uri="{FF2B5EF4-FFF2-40B4-BE49-F238E27FC236}">
              <a16:creationId xmlns:a16="http://schemas.microsoft.com/office/drawing/2014/main" id="{00000000-0008-0000-0600-00000C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3" name="Text Box 13">
          <a:extLst>
            <a:ext uri="{FF2B5EF4-FFF2-40B4-BE49-F238E27FC236}">
              <a16:creationId xmlns:a16="http://schemas.microsoft.com/office/drawing/2014/main" id="{00000000-0008-0000-0600-00000D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4" name="Text Box 14">
          <a:extLst>
            <a:ext uri="{FF2B5EF4-FFF2-40B4-BE49-F238E27FC236}">
              <a16:creationId xmlns:a16="http://schemas.microsoft.com/office/drawing/2014/main" id="{00000000-0008-0000-0600-00000E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5" name="Text Box 15">
          <a:extLst>
            <a:ext uri="{FF2B5EF4-FFF2-40B4-BE49-F238E27FC236}">
              <a16:creationId xmlns:a16="http://schemas.microsoft.com/office/drawing/2014/main" id="{00000000-0008-0000-0600-00000F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6" name="Text Box 16">
          <a:extLst>
            <a:ext uri="{FF2B5EF4-FFF2-40B4-BE49-F238E27FC236}">
              <a16:creationId xmlns:a16="http://schemas.microsoft.com/office/drawing/2014/main" id="{00000000-0008-0000-0600-000010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7" name="Text Box 17">
          <a:extLst>
            <a:ext uri="{FF2B5EF4-FFF2-40B4-BE49-F238E27FC236}">
              <a16:creationId xmlns:a16="http://schemas.microsoft.com/office/drawing/2014/main" id="{00000000-0008-0000-0600-000011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8" name="Text Box 18">
          <a:extLst>
            <a:ext uri="{FF2B5EF4-FFF2-40B4-BE49-F238E27FC236}">
              <a16:creationId xmlns:a16="http://schemas.microsoft.com/office/drawing/2014/main" id="{00000000-0008-0000-0600-000012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19" name="Text Box 19">
          <a:extLst>
            <a:ext uri="{FF2B5EF4-FFF2-40B4-BE49-F238E27FC236}">
              <a16:creationId xmlns:a16="http://schemas.microsoft.com/office/drawing/2014/main" id="{00000000-0008-0000-0600-000013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0" name="Text Box 20">
          <a:extLst>
            <a:ext uri="{FF2B5EF4-FFF2-40B4-BE49-F238E27FC236}">
              <a16:creationId xmlns:a16="http://schemas.microsoft.com/office/drawing/2014/main" id="{00000000-0008-0000-0600-000014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1" name="Text Box 21">
          <a:extLst>
            <a:ext uri="{FF2B5EF4-FFF2-40B4-BE49-F238E27FC236}">
              <a16:creationId xmlns:a16="http://schemas.microsoft.com/office/drawing/2014/main" id="{00000000-0008-0000-0600-000015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2" name="Text Box 22">
          <a:extLst>
            <a:ext uri="{FF2B5EF4-FFF2-40B4-BE49-F238E27FC236}">
              <a16:creationId xmlns:a16="http://schemas.microsoft.com/office/drawing/2014/main" id="{00000000-0008-0000-0600-000016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3" name="Text Box 23">
          <a:extLst>
            <a:ext uri="{FF2B5EF4-FFF2-40B4-BE49-F238E27FC236}">
              <a16:creationId xmlns:a16="http://schemas.microsoft.com/office/drawing/2014/main" id="{00000000-0008-0000-0600-000017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4" name="Text Box 24">
          <a:extLst>
            <a:ext uri="{FF2B5EF4-FFF2-40B4-BE49-F238E27FC236}">
              <a16:creationId xmlns:a16="http://schemas.microsoft.com/office/drawing/2014/main" id="{00000000-0008-0000-0600-000018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5" name="Text Box 25">
          <a:extLst>
            <a:ext uri="{FF2B5EF4-FFF2-40B4-BE49-F238E27FC236}">
              <a16:creationId xmlns:a16="http://schemas.microsoft.com/office/drawing/2014/main" id="{00000000-0008-0000-0600-000019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6" name="Text Box 26">
          <a:extLst>
            <a:ext uri="{FF2B5EF4-FFF2-40B4-BE49-F238E27FC236}">
              <a16:creationId xmlns:a16="http://schemas.microsoft.com/office/drawing/2014/main" id="{00000000-0008-0000-0600-00001A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7" name="Text Box 27">
          <a:extLst>
            <a:ext uri="{FF2B5EF4-FFF2-40B4-BE49-F238E27FC236}">
              <a16:creationId xmlns:a16="http://schemas.microsoft.com/office/drawing/2014/main" id="{00000000-0008-0000-0600-00001B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8" name="Text Box 28">
          <a:extLst>
            <a:ext uri="{FF2B5EF4-FFF2-40B4-BE49-F238E27FC236}">
              <a16:creationId xmlns:a16="http://schemas.microsoft.com/office/drawing/2014/main" id="{00000000-0008-0000-0600-00001C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29" name="Text Box 29">
          <a:extLst>
            <a:ext uri="{FF2B5EF4-FFF2-40B4-BE49-F238E27FC236}">
              <a16:creationId xmlns:a16="http://schemas.microsoft.com/office/drawing/2014/main" id="{00000000-0008-0000-0600-00001D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9</xdr:col>
      <xdr:colOff>0</xdr:colOff>
      <xdr:row>20</xdr:row>
      <xdr:rowOff>0</xdr:rowOff>
    </xdr:from>
    <xdr:to>
      <xdr:col>9</xdr:col>
      <xdr:colOff>76200</xdr:colOff>
      <xdr:row>21</xdr:row>
      <xdr:rowOff>9525</xdr:rowOff>
    </xdr:to>
    <xdr:sp macro="" textlink="">
      <xdr:nvSpPr>
        <xdr:cNvPr id="30" name="Text Box 30">
          <a:extLst>
            <a:ext uri="{FF2B5EF4-FFF2-40B4-BE49-F238E27FC236}">
              <a16:creationId xmlns:a16="http://schemas.microsoft.com/office/drawing/2014/main" id="{00000000-0008-0000-0600-00001E000000}"/>
            </a:ext>
          </a:extLst>
        </xdr:cNvPr>
        <xdr:cNvSpPr txBox="1">
          <a:spLocks noChangeArrowheads="1"/>
        </xdr:cNvSpPr>
      </xdr:nvSpPr>
      <xdr:spPr bwMode="auto">
        <a:xfrm>
          <a:off x="8382000" y="394335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9</xdr:col>
      <xdr:colOff>0</xdr:colOff>
      <xdr:row>1</xdr:row>
      <xdr:rowOff>0</xdr:rowOff>
    </xdr:from>
    <xdr:to>
      <xdr:col>9</xdr:col>
      <xdr:colOff>0</xdr:colOff>
      <xdr:row>1</xdr:row>
      <xdr:rowOff>0</xdr:rowOff>
    </xdr:to>
    <xdr:pic>
      <xdr:nvPicPr>
        <xdr:cNvPr id="31" name="Picture 31">
          <a:extLst>
            <a:ext uri="{FF2B5EF4-FFF2-40B4-BE49-F238E27FC236}">
              <a16:creationId xmlns:a16="http://schemas.microsoft.com/office/drawing/2014/main" id="{00000000-0008-0000-06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2" name="Picture 32">
          <a:extLst>
            <a:ext uri="{FF2B5EF4-FFF2-40B4-BE49-F238E27FC236}">
              <a16:creationId xmlns:a16="http://schemas.microsoft.com/office/drawing/2014/main" id="{00000000-0008-0000-06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3" name="Picture 33">
          <a:extLst>
            <a:ext uri="{FF2B5EF4-FFF2-40B4-BE49-F238E27FC236}">
              <a16:creationId xmlns:a16="http://schemas.microsoft.com/office/drawing/2014/main" id="{00000000-0008-0000-06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4" name="Picture 34">
          <a:extLst>
            <a:ext uri="{FF2B5EF4-FFF2-40B4-BE49-F238E27FC236}">
              <a16:creationId xmlns:a16="http://schemas.microsoft.com/office/drawing/2014/main" id="{00000000-0008-0000-06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5" name="Picture 35">
          <a:extLst>
            <a:ext uri="{FF2B5EF4-FFF2-40B4-BE49-F238E27FC236}">
              <a16:creationId xmlns:a16="http://schemas.microsoft.com/office/drawing/2014/main" id="{00000000-0008-0000-06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6" name="Picture 36">
          <a:extLst>
            <a:ext uri="{FF2B5EF4-FFF2-40B4-BE49-F238E27FC236}">
              <a16:creationId xmlns:a16="http://schemas.microsoft.com/office/drawing/2014/main" id="{00000000-0008-0000-06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30</xdr:row>
      <xdr:rowOff>0</xdr:rowOff>
    </xdr:from>
    <xdr:to>
      <xdr:col>8</xdr:col>
      <xdr:colOff>76200</xdr:colOff>
      <xdr:row>31</xdr:row>
      <xdr:rowOff>9525</xdr:rowOff>
    </xdr:to>
    <xdr:sp macro="" textlink="">
      <xdr:nvSpPr>
        <xdr:cNvPr id="2" name="Text Box 2">
          <a:extLst>
            <a:ext uri="{FF2B5EF4-FFF2-40B4-BE49-F238E27FC236}">
              <a16:creationId xmlns:a16="http://schemas.microsoft.com/office/drawing/2014/main" id="{00000000-0008-0000-0700-000002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3" name="Text Box 3">
          <a:extLst>
            <a:ext uri="{FF2B5EF4-FFF2-40B4-BE49-F238E27FC236}">
              <a16:creationId xmlns:a16="http://schemas.microsoft.com/office/drawing/2014/main" id="{00000000-0008-0000-0700-000003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4" name="Text Box 4">
          <a:extLst>
            <a:ext uri="{FF2B5EF4-FFF2-40B4-BE49-F238E27FC236}">
              <a16:creationId xmlns:a16="http://schemas.microsoft.com/office/drawing/2014/main" id="{00000000-0008-0000-0700-000004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5" name="Text Box 5">
          <a:extLst>
            <a:ext uri="{FF2B5EF4-FFF2-40B4-BE49-F238E27FC236}">
              <a16:creationId xmlns:a16="http://schemas.microsoft.com/office/drawing/2014/main" id="{00000000-0008-0000-0700-000005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6" name="Text Box 6">
          <a:extLst>
            <a:ext uri="{FF2B5EF4-FFF2-40B4-BE49-F238E27FC236}">
              <a16:creationId xmlns:a16="http://schemas.microsoft.com/office/drawing/2014/main" id="{00000000-0008-0000-0700-000006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7" name="Text Box 7">
          <a:extLst>
            <a:ext uri="{FF2B5EF4-FFF2-40B4-BE49-F238E27FC236}">
              <a16:creationId xmlns:a16="http://schemas.microsoft.com/office/drawing/2014/main" id="{00000000-0008-0000-0700-000007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8" name="Text Box 8">
          <a:extLst>
            <a:ext uri="{FF2B5EF4-FFF2-40B4-BE49-F238E27FC236}">
              <a16:creationId xmlns:a16="http://schemas.microsoft.com/office/drawing/2014/main" id="{00000000-0008-0000-0700-000008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9" name="Text Box 9">
          <a:extLst>
            <a:ext uri="{FF2B5EF4-FFF2-40B4-BE49-F238E27FC236}">
              <a16:creationId xmlns:a16="http://schemas.microsoft.com/office/drawing/2014/main" id="{00000000-0008-0000-0700-000009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0" name="Text Box 10">
          <a:extLst>
            <a:ext uri="{FF2B5EF4-FFF2-40B4-BE49-F238E27FC236}">
              <a16:creationId xmlns:a16="http://schemas.microsoft.com/office/drawing/2014/main" id="{00000000-0008-0000-0700-00000A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1" name="Text Box 11">
          <a:extLst>
            <a:ext uri="{FF2B5EF4-FFF2-40B4-BE49-F238E27FC236}">
              <a16:creationId xmlns:a16="http://schemas.microsoft.com/office/drawing/2014/main" id="{00000000-0008-0000-0700-00000B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2" name="Text Box 12">
          <a:extLst>
            <a:ext uri="{FF2B5EF4-FFF2-40B4-BE49-F238E27FC236}">
              <a16:creationId xmlns:a16="http://schemas.microsoft.com/office/drawing/2014/main" id="{00000000-0008-0000-0700-00000C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3" name="Text Box 13">
          <a:extLst>
            <a:ext uri="{FF2B5EF4-FFF2-40B4-BE49-F238E27FC236}">
              <a16:creationId xmlns:a16="http://schemas.microsoft.com/office/drawing/2014/main" id="{00000000-0008-0000-0700-00000D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4" name="Text Box 14">
          <a:extLst>
            <a:ext uri="{FF2B5EF4-FFF2-40B4-BE49-F238E27FC236}">
              <a16:creationId xmlns:a16="http://schemas.microsoft.com/office/drawing/2014/main" id="{00000000-0008-0000-0700-00000E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5" name="Text Box 15">
          <a:extLst>
            <a:ext uri="{FF2B5EF4-FFF2-40B4-BE49-F238E27FC236}">
              <a16:creationId xmlns:a16="http://schemas.microsoft.com/office/drawing/2014/main" id="{00000000-0008-0000-0700-00000F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7</xdr:col>
      <xdr:colOff>990600</xdr:colOff>
      <xdr:row>29</xdr:row>
      <xdr:rowOff>95250</xdr:rowOff>
    </xdr:from>
    <xdr:to>
      <xdr:col>8</xdr:col>
      <xdr:colOff>66675</xdr:colOff>
      <xdr:row>30</xdr:row>
      <xdr:rowOff>104775</xdr:rowOff>
    </xdr:to>
    <xdr:sp macro="" textlink="">
      <xdr:nvSpPr>
        <xdr:cNvPr id="16" name="Text Box 16">
          <a:extLst>
            <a:ext uri="{FF2B5EF4-FFF2-40B4-BE49-F238E27FC236}">
              <a16:creationId xmlns:a16="http://schemas.microsoft.com/office/drawing/2014/main" id="{00000000-0008-0000-0700-000010000000}"/>
            </a:ext>
          </a:extLst>
        </xdr:cNvPr>
        <xdr:cNvSpPr txBox="1">
          <a:spLocks noChangeArrowheads="1"/>
        </xdr:cNvSpPr>
      </xdr:nvSpPr>
      <xdr:spPr bwMode="auto">
        <a:xfrm>
          <a:off x="9210675" y="624840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8" name="Text Box 18">
          <a:extLst>
            <a:ext uri="{FF2B5EF4-FFF2-40B4-BE49-F238E27FC236}">
              <a16:creationId xmlns:a16="http://schemas.microsoft.com/office/drawing/2014/main" id="{00000000-0008-0000-0700-000012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19" name="Text Box 19">
          <a:extLst>
            <a:ext uri="{FF2B5EF4-FFF2-40B4-BE49-F238E27FC236}">
              <a16:creationId xmlns:a16="http://schemas.microsoft.com/office/drawing/2014/main" id="{00000000-0008-0000-0700-000013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0" name="Text Box 20">
          <a:extLst>
            <a:ext uri="{FF2B5EF4-FFF2-40B4-BE49-F238E27FC236}">
              <a16:creationId xmlns:a16="http://schemas.microsoft.com/office/drawing/2014/main" id="{00000000-0008-0000-0700-000014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1" name="Text Box 21">
          <a:extLst>
            <a:ext uri="{FF2B5EF4-FFF2-40B4-BE49-F238E27FC236}">
              <a16:creationId xmlns:a16="http://schemas.microsoft.com/office/drawing/2014/main" id="{00000000-0008-0000-0700-000015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2" name="Text Box 22">
          <a:extLst>
            <a:ext uri="{FF2B5EF4-FFF2-40B4-BE49-F238E27FC236}">
              <a16:creationId xmlns:a16="http://schemas.microsoft.com/office/drawing/2014/main" id="{00000000-0008-0000-0700-000016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3" name="Text Box 23">
          <a:extLst>
            <a:ext uri="{FF2B5EF4-FFF2-40B4-BE49-F238E27FC236}">
              <a16:creationId xmlns:a16="http://schemas.microsoft.com/office/drawing/2014/main" id="{00000000-0008-0000-0700-000017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4" name="Text Box 24">
          <a:extLst>
            <a:ext uri="{FF2B5EF4-FFF2-40B4-BE49-F238E27FC236}">
              <a16:creationId xmlns:a16="http://schemas.microsoft.com/office/drawing/2014/main" id="{00000000-0008-0000-0700-000018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5" name="Text Box 25">
          <a:extLst>
            <a:ext uri="{FF2B5EF4-FFF2-40B4-BE49-F238E27FC236}">
              <a16:creationId xmlns:a16="http://schemas.microsoft.com/office/drawing/2014/main" id="{00000000-0008-0000-0700-000019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6" name="Text Box 26">
          <a:extLst>
            <a:ext uri="{FF2B5EF4-FFF2-40B4-BE49-F238E27FC236}">
              <a16:creationId xmlns:a16="http://schemas.microsoft.com/office/drawing/2014/main" id="{00000000-0008-0000-0700-00001A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7" name="Text Box 27">
          <a:extLst>
            <a:ext uri="{FF2B5EF4-FFF2-40B4-BE49-F238E27FC236}">
              <a16:creationId xmlns:a16="http://schemas.microsoft.com/office/drawing/2014/main" id="{00000000-0008-0000-0700-00001B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0</xdr:colOff>
      <xdr:row>30</xdr:row>
      <xdr:rowOff>0</xdr:rowOff>
    </xdr:from>
    <xdr:to>
      <xdr:col>8</xdr:col>
      <xdr:colOff>76200</xdr:colOff>
      <xdr:row>31</xdr:row>
      <xdr:rowOff>9525</xdr:rowOff>
    </xdr:to>
    <xdr:sp macro="" textlink="">
      <xdr:nvSpPr>
        <xdr:cNvPr id="28" name="Text Box 28">
          <a:extLst>
            <a:ext uri="{FF2B5EF4-FFF2-40B4-BE49-F238E27FC236}">
              <a16:creationId xmlns:a16="http://schemas.microsoft.com/office/drawing/2014/main" id="{00000000-0008-0000-0700-00001C000000}"/>
            </a:ext>
          </a:extLst>
        </xdr:cNvPr>
        <xdr:cNvSpPr txBox="1">
          <a:spLocks noChangeArrowheads="1"/>
        </xdr:cNvSpPr>
      </xdr:nvSpPr>
      <xdr:spPr bwMode="auto">
        <a:xfrm>
          <a:off x="8715375" y="5314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0</xdr:colOff>
      <xdr:row>1</xdr:row>
      <xdr:rowOff>0</xdr:rowOff>
    </xdr:from>
    <xdr:to>
      <xdr:col>8</xdr:col>
      <xdr:colOff>0</xdr:colOff>
      <xdr:row>1</xdr:row>
      <xdr:rowOff>0</xdr:rowOff>
    </xdr:to>
    <xdr:pic>
      <xdr:nvPicPr>
        <xdr:cNvPr id="31" name="Picture 31">
          <a:extLst>
            <a:ext uri="{FF2B5EF4-FFF2-40B4-BE49-F238E27FC236}">
              <a16:creationId xmlns:a16="http://schemas.microsoft.com/office/drawing/2014/main" id="{00000000-0008-0000-07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1537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xdr:row>
      <xdr:rowOff>0</xdr:rowOff>
    </xdr:from>
    <xdr:to>
      <xdr:col>8</xdr:col>
      <xdr:colOff>0</xdr:colOff>
      <xdr:row>1</xdr:row>
      <xdr:rowOff>0</xdr:rowOff>
    </xdr:to>
    <xdr:pic>
      <xdr:nvPicPr>
        <xdr:cNvPr id="32" name="Picture 32">
          <a:extLst>
            <a:ext uri="{FF2B5EF4-FFF2-40B4-BE49-F238E27FC236}">
              <a16:creationId xmlns:a16="http://schemas.microsoft.com/office/drawing/2014/main" id="{00000000-0008-0000-07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1537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xdr:row>
      <xdr:rowOff>0</xdr:rowOff>
    </xdr:from>
    <xdr:to>
      <xdr:col>8</xdr:col>
      <xdr:colOff>0</xdr:colOff>
      <xdr:row>1</xdr:row>
      <xdr:rowOff>0</xdr:rowOff>
    </xdr:to>
    <xdr:pic>
      <xdr:nvPicPr>
        <xdr:cNvPr id="33" name="Picture 33">
          <a:extLst>
            <a:ext uri="{FF2B5EF4-FFF2-40B4-BE49-F238E27FC236}">
              <a16:creationId xmlns:a16="http://schemas.microsoft.com/office/drawing/2014/main" id="{00000000-0008-0000-07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1537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xdr:row>
      <xdr:rowOff>0</xdr:rowOff>
    </xdr:from>
    <xdr:to>
      <xdr:col>8</xdr:col>
      <xdr:colOff>0</xdr:colOff>
      <xdr:row>1</xdr:row>
      <xdr:rowOff>0</xdr:rowOff>
    </xdr:to>
    <xdr:pic>
      <xdr:nvPicPr>
        <xdr:cNvPr id="34" name="Picture 34">
          <a:extLst>
            <a:ext uri="{FF2B5EF4-FFF2-40B4-BE49-F238E27FC236}">
              <a16:creationId xmlns:a16="http://schemas.microsoft.com/office/drawing/2014/main" id="{00000000-0008-0000-07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1537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xdr:row>
      <xdr:rowOff>0</xdr:rowOff>
    </xdr:from>
    <xdr:to>
      <xdr:col>8</xdr:col>
      <xdr:colOff>0</xdr:colOff>
      <xdr:row>1</xdr:row>
      <xdr:rowOff>0</xdr:rowOff>
    </xdr:to>
    <xdr:pic>
      <xdr:nvPicPr>
        <xdr:cNvPr id="35" name="Picture 35">
          <a:extLst>
            <a:ext uri="{FF2B5EF4-FFF2-40B4-BE49-F238E27FC236}">
              <a16:creationId xmlns:a16="http://schemas.microsoft.com/office/drawing/2014/main" id="{00000000-0008-0000-07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1537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xdr:row>
      <xdr:rowOff>0</xdr:rowOff>
    </xdr:from>
    <xdr:to>
      <xdr:col>8</xdr:col>
      <xdr:colOff>0</xdr:colOff>
      <xdr:row>1</xdr:row>
      <xdr:rowOff>0</xdr:rowOff>
    </xdr:to>
    <xdr:pic>
      <xdr:nvPicPr>
        <xdr:cNvPr id="36" name="Picture 36">
          <a:extLst>
            <a:ext uri="{FF2B5EF4-FFF2-40B4-BE49-F238E27FC236}">
              <a16:creationId xmlns:a16="http://schemas.microsoft.com/office/drawing/2014/main" id="{00000000-0008-0000-07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1537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7" name="Picture 37">
          <a:extLst>
            <a:ext uri="{FF2B5EF4-FFF2-40B4-BE49-F238E27FC236}">
              <a16:creationId xmlns:a16="http://schemas.microsoft.com/office/drawing/2014/main" id="{00000000-0008-0000-07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4882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1</xdr:row>
      <xdr:rowOff>0</xdr:rowOff>
    </xdr:from>
    <xdr:to>
      <xdr:col>9</xdr:col>
      <xdr:colOff>0</xdr:colOff>
      <xdr:row>1</xdr:row>
      <xdr:rowOff>0</xdr:rowOff>
    </xdr:to>
    <xdr:pic>
      <xdr:nvPicPr>
        <xdr:cNvPr id="38" name="Picture 38">
          <a:extLst>
            <a:ext uri="{FF2B5EF4-FFF2-40B4-BE49-F238E27FC236}">
              <a16:creationId xmlns:a16="http://schemas.microsoft.com/office/drawing/2014/main" id="{00000000-0008-0000-07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48825" y="200025"/>
          <a:ext cx="0" cy="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absoluteAnchor>
    <xdr:pos x="0" y="0"/>
    <xdr:ext cx="9296937" cy="6063803"/>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33952" cy="6268065"/>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33952" cy="6268065"/>
    <xdr:graphicFrame macro="">
      <xdr:nvGraphicFramePr>
        <xdr:cNvPr id="2" name="Chart 1">
          <a:extLst>
            <a:ext uri="{FF2B5EF4-FFF2-40B4-BE49-F238E27FC236}">
              <a16:creationId xmlns:a16="http://schemas.microsoft.com/office/drawing/2014/main" id="{912C1588-8013-43CB-96DA-5470B91F019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twoCellAnchor>
    <xdr:from>
      <xdr:col>9</xdr:col>
      <xdr:colOff>28575</xdr:colOff>
      <xdr:row>54</xdr:row>
      <xdr:rowOff>9524</xdr:rowOff>
    </xdr:from>
    <xdr:to>
      <xdr:col>25</xdr:col>
      <xdr:colOff>133350</xdr:colOff>
      <xdr:row>77</xdr:row>
      <xdr:rowOff>133349</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ckup/D/Studies%20&amp;%20Reports/Chem%20Report%202002%20for%20Sabic/App%20V%20Case%20I%20F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y%20Documents/EXCEL/03/BP/Data%20file%20B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SBG\DATABASE\Data\Financial%20Evaluations\Standard%20to%20be\White%20Paper%20Files\Copy%20of%20PwC_OPaL_Financial%20Model_23%20December%202021_Excel%20365%20version%2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Desktop/desktop/backup%2021%20jan%202022/PwC_OPaL_Financial%20Model_19%20November%202021%20Excel%20365%20version%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Total Cash Flow (Unleveraged)"/>
      <sheetName val="Total cash flow"/>
      <sheetName val="Olefin cash flow"/>
      <sheetName val="LLDPE cash flow"/>
      <sheetName val="HDPE cash flow"/>
      <sheetName val="MEG cash flow"/>
      <sheetName val="Butene-1 cash flow"/>
      <sheetName val="Oxygen"/>
      <sheetName val="Pricing - Current"/>
      <sheetName val="Pricing - Const"/>
      <sheetName val="Netback"/>
      <sheetName val="Mass Balance"/>
      <sheetName val="Purchases &amp; Sales"/>
      <sheetName val="Capital Costs"/>
      <sheetName val="Financing"/>
      <sheetName val="Taxation"/>
      <sheetName val="Expats"/>
      <sheetName val="Factors"/>
      <sheetName val="Backup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3">
          <cell r="A3" t="str">
            <v>Ethane</v>
          </cell>
          <cell r="B3" t="str">
            <v xml:space="preserve">1.25/MM btu for the first 10 years of commercial operations; escalation at 3% per year </v>
          </cell>
          <cell r="D3" t="str">
            <v>$/ton</v>
          </cell>
          <cell r="E3">
            <v>0</v>
          </cell>
          <cell r="F3">
            <v>61.108654999999999</v>
          </cell>
          <cell r="G3">
            <v>61.108654999999999</v>
          </cell>
          <cell r="H3">
            <v>61.108654999999999</v>
          </cell>
          <cell r="I3">
            <v>61.108654999999999</v>
          </cell>
          <cell r="J3">
            <v>61.108654999999999</v>
          </cell>
          <cell r="K3">
            <v>61.108654999999999</v>
          </cell>
          <cell r="L3">
            <v>61.108654999999999</v>
          </cell>
          <cell r="M3">
            <v>61.108654999999999</v>
          </cell>
          <cell r="N3">
            <v>61.108654999999999</v>
          </cell>
          <cell r="O3">
            <v>61.108654999999999</v>
          </cell>
          <cell r="P3">
            <v>61.108654999999999</v>
          </cell>
          <cell r="Q3">
            <v>61.108654999999999</v>
          </cell>
          <cell r="R3">
            <v>61.108654999999999</v>
          </cell>
          <cell r="S3">
            <v>61.108654999999999</v>
          </cell>
          <cell r="T3">
            <v>61.108654999999999</v>
          </cell>
          <cell r="U3">
            <v>62.941914650000001</v>
          </cell>
          <cell r="V3">
            <v>64.830172089499996</v>
          </cell>
          <cell r="W3">
            <v>66.775077252185</v>
          </cell>
          <cell r="X3">
            <v>68.778329569750554</v>
          </cell>
          <cell r="Y3">
            <v>70.841679456843067</v>
          </cell>
          <cell r="Z3">
            <v>72.96692984054836</v>
          </cell>
          <cell r="AA3">
            <v>75.155937735764809</v>
          </cell>
          <cell r="AB3">
            <v>77.410615867837748</v>
          </cell>
          <cell r="AC3">
            <v>79.732934343872884</v>
          </cell>
          <cell r="AD3">
            <v>82.124922374189069</v>
          </cell>
          <cell r="AE3">
            <v>84.588670045414744</v>
          </cell>
          <cell r="AF3">
            <v>87.126330146777192</v>
          </cell>
          <cell r="AG3">
            <v>89.740120051180511</v>
          </cell>
          <cell r="AH3">
            <v>92.432323652715922</v>
          </cell>
        </row>
        <row r="4">
          <cell r="A4" t="str">
            <v>Methane</v>
          </cell>
          <cell r="B4" t="str">
            <v>0.75/ MM btu for the first 10 years of project life; escalation at 3% per year</v>
          </cell>
          <cell r="D4" t="str">
            <v>$/ton</v>
          </cell>
          <cell r="E4">
            <v>0</v>
          </cell>
          <cell r="F4">
            <v>35.5426407</v>
          </cell>
          <cell r="G4">
            <v>35.5426407</v>
          </cell>
          <cell r="H4">
            <v>35.5426407</v>
          </cell>
          <cell r="I4">
            <v>35.5426407</v>
          </cell>
          <cell r="J4">
            <v>35.5426407</v>
          </cell>
          <cell r="K4">
            <v>35.5426407</v>
          </cell>
          <cell r="L4">
            <v>35.5426407</v>
          </cell>
          <cell r="M4">
            <v>35.5426407</v>
          </cell>
          <cell r="N4">
            <v>35.5426407</v>
          </cell>
          <cell r="O4">
            <v>35.5426407</v>
          </cell>
          <cell r="P4">
            <v>35.5426407</v>
          </cell>
          <cell r="Q4">
            <v>35.5426407</v>
          </cell>
          <cell r="R4">
            <v>36.608919921000002</v>
          </cell>
          <cell r="S4">
            <v>37.707187518630001</v>
          </cell>
          <cell r="T4">
            <v>38.838403144188902</v>
          </cell>
          <cell r="U4">
            <v>40.003555238514572</v>
          </cell>
          <cell r="V4">
            <v>41.20366189567001</v>
          </cell>
          <cell r="W4">
            <v>42.439771752540111</v>
          </cell>
          <cell r="X4">
            <v>43.712964905116316</v>
          </cell>
          <cell r="Y4">
            <v>45.024353852269805</v>
          </cell>
          <cell r="Z4">
            <v>46.375084467837901</v>
          </cell>
          <cell r="AA4">
            <v>47.76633700187304</v>
          </cell>
          <cell r="AB4">
            <v>49.199327111929236</v>
          </cell>
          <cell r="AC4">
            <v>50.675306925287117</v>
          </cell>
          <cell r="AD4">
            <v>52.19556613304573</v>
          </cell>
          <cell r="AE4">
            <v>53.7614331170371</v>
          </cell>
          <cell r="AF4">
            <v>55.374276110548216</v>
          </cell>
          <cell r="AG4">
            <v>57.035504393864663</v>
          </cell>
          <cell r="AH4">
            <v>58.746569525680606</v>
          </cell>
        </row>
        <row r="5">
          <cell r="A5" t="str">
            <v>Catalyst (Ethylene)</v>
          </cell>
          <cell r="B5" t="str">
            <v>2.75 in const 2001</v>
          </cell>
          <cell r="D5" t="str">
            <v>$/ton C2</v>
          </cell>
          <cell r="E5">
            <v>2.75</v>
          </cell>
          <cell r="F5">
            <v>2.8022499999999999</v>
          </cell>
          <cell r="G5">
            <v>2.8654999999999999</v>
          </cell>
          <cell r="H5">
            <v>2.9370000000000003</v>
          </cell>
          <cell r="I5">
            <v>3.01125</v>
          </cell>
          <cell r="J5">
            <v>3.0882499999999999</v>
          </cell>
          <cell r="K5">
            <v>3.1652499999999999</v>
          </cell>
          <cell r="L5">
            <v>3.2422500000000003</v>
          </cell>
          <cell r="M5">
            <v>3.3247500000000003</v>
          </cell>
          <cell r="N5">
            <v>3.4072500000000003</v>
          </cell>
          <cell r="O5">
            <v>3.4925000000000002</v>
          </cell>
          <cell r="P5">
            <v>3.5805000000000002</v>
          </cell>
          <cell r="Q5">
            <v>3.6685000000000003</v>
          </cell>
          <cell r="R5">
            <v>3.7620000000000005</v>
          </cell>
          <cell r="S5">
            <v>3.8554999999999997</v>
          </cell>
          <cell r="T5">
            <v>3.9517500000000001</v>
          </cell>
          <cell r="U5">
            <v>4.0507499999999999</v>
          </cell>
          <cell r="V5">
            <v>4.1524999999999999</v>
          </cell>
          <cell r="W5">
            <v>4.2569999999999997</v>
          </cell>
          <cell r="X5">
            <v>4.3615000000000004</v>
          </cell>
          <cell r="Y5">
            <v>4.4705374999999998</v>
          </cell>
          <cell r="Z5">
            <v>4.5823009375000003</v>
          </cell>
          <cell r="AA5">
            <v>4.6968584609374995</v>
          </cell>
          <cell r="AB5">
            <v>4.8142799224609361</v>
          </cell>
          <cell r="AC5">
            <v>4.9346369205224594</v>
          </cell>
          <cell r="AD5">
            <v>5.0580028435355198</v>
          </cell>
          <cell r="AE5">
            <v>5.1844529146239076</v>
          </cell>
          <cell r="AF5">
            <v>5.3140642374895046</v>
          </cell>
          <cell r="AG5">
            <v>5.4469158434267415</v>
          </cell>
          <cell r="AH5">
            <v>5.5830887395124105</v>
          </cell>
        </row>
        <row r="6">
          <cell r="A6" t="str">
            <v>Power</v>
          </cell>
          <cell r="B6" t="str">
            <v>$30/MWH fixed</v>
          </cell>
          <cell r="C6">
            <v>0.91576190190550455</v>
          </cell>
          <cell r="D6" t="str">
            <v>$/MWH</v>
          </cell>
          <cell r="E6">
            <v>30</v>
          </cell>
          <cell r="F6">
            <v>30</v>
          </cell>
          <cell r="G6">
            <v>30</v>
          </cell>
          <cell r="H6">
            <v>30</v>
          </cell>
          <cell r="I6">
            <v>30</v>
          </cell>
          <cell r="J6">
            <v>30</v>
          </cell>
          <cell r="K6">
            <v>30</v>
          </cell>
          <cell r="L6">
            <v>30</v>
          </cell>
          <cell r="M6">
            <v>30</v>
          </cell>
          <cell r="N6">
            <v>30</v>
          </cell>
          <cell r="O6">
            <v>30</v>
          </cell>
          <cell r="P6">
            <v>30</v>
          </cell>
          <cell r="Q6">
            <v>30</v>
          </cell>
          <cell r="R6">
            <v>30</v>
          </cell>
          <cell r="S6">
            <v>30</v>
          </cell>
          <cell r="T6">
            <v>30</v>
          </cell>
          <cell r="U6">
            <v>30</v>
          </cell>
          <cell r="V6">
            <v>30</v>
          </cell>
          <cell r="W6">
            <v>30</v>
          </cell>
          <cell r="X6">
            <v>30</v>
          </cell>
          <cell r="Y6">
            <v>30</v>
          </cell>
          <cell r="Z6">
            <v>30</v>
          </cell>
          <cell r="AA6">
            <v>30</v>
          </cell>
          <cell r="AB6">
            <v>30</v>
          </cell>
          <cell r="AC6">
            <v>30</v>
          </cell>
          <cell r="AD6">
            <v>30</v>
          </cell>
          <cell r="AE6">
            <v>30</v>
          </cell>
          <cell r="AF6">
            <v>30</v>
          </cell>
          <cell r="AG6">
            <v>30</v>
          </cell>
          <cell r="AH6">
            <v>30</v>
          </cell>
        </row>
        <row r="7">
          <cell r="A7" t="str">
            <v>Steam</v>
          </cell>
          <cell r="B7" t="str">
            <v>$4.5/ton fixed</v>
          </cell>
          <cell r="C7">
            <v>0</v>
          </cell>
          <cell r="D7" t="str">
            <v>$/ton</v>
          </cell>
          <cell r="E7">
            <v>4.5</v>
          </cell>
          <cell r="F7">
            <v>4.5</v>
          </cell>
          <cell r="G7">
            <v>4.5</v>
          </cell>
          <cell r="H7">
            <v>4.5</v>
          </cell>
          <cell r="I7">
            <v>4.5</v>
          </cell>
          <cell r="J7">
            <v>4.5</v>
          </cell>
          <cell r="K7">
            <v>4.5</v>
          </cell>
          <cell r="L7">
            <v>4.5</v>
          </cell>
          <cell r="M7">
            <v>4.5</v>
          </cell>
          <cell r="N7">
            <v>4.5</v>
          </cell>
          <cell r="O7">
            <v>4.5</v>
          </cell>
          <cell r="P7">
            <v>4.5</v>
          </cell>
          <cell r="Q7">
            <v>4.5</v>
          </cell>
          <cell r="R7">
            <v>4.5</v>
          </cell>
          <cell r="S7">
            <v>4.5</v>
          </cell>
          <cell r="T7">
            <v>4.5</v>
          </cell>
          <cell r="U7">
            <v>4.5</v>
          </cell>
          <cell r="V7">
            <v>4.5</v>
          </cell>
          <cell r="W7">
            <v>4.5</v>
          </cell>
          <cell r="X7">
            <v>4.5</v>
          </cell>
          <cell r="Y7">
            <v>4.5</v>
          </cell>
          <cell r="Z7">
            <v>4.5</v>
          </cell>
          <cell r="AA7">
            <v>4.5</v>
          </cell>
          <cell r="AB7">
            <v>4.5</v>
          </cell>
          <cell r="AC7">
            <v>4.5</v>
          </cell>
          <cell r="AD7">
            <v>4.5</v>
          </cell>
          <cell r="AE7">
            <v>4.5</v>
          </cell>
          <cell r="AF7">
            <v>4.5</v>
          </cell>
          <cell r="AG7">
            <v>4.5</v>
          </cell>
          <cell r="AH7">
            <v>4.5</v>
          </cell>
        </row>
        <row r="8">
          <cell r="A8" t="str">
            <v>Cooling Water</v>
          </cell>
          <cell r="B8" t="str">
            <v>$17/kton fixed</v>
          </cell>
          <cell r="C8">
            <v>0</v>
          </cell>
          <cell r="D8" t="str">
            <v>$/kton</v>
          </cell>
          <cell r="E8">
            <v>17</v>
          </cell>
          <cell r="F8">
            <v>17</v>
          </cell>
          <cell r="G8">
            <v>17</v>
          </cell>
          <cell r="H8">
            <v>17</v>
          </cell>
          <cell r="I8">
            <v>17</v>
          </cell>
          <cell r="J8">
            <v>17</v>
          </cell>
          <cell r="K8">
            <v>17</v>
          </cell>
          <cell r="L8">
            <v>17</v>
          </cell>
          <cell r="M8">
            <v>17</v>
          </cell>
          <cell r="N8">
            <v>17</v>
          </cell>
          <cell r="O8">
            <v>17</v>
          </cell>
          <cell r="P8">
            <v>17</v>
          </cell>
          <cell r="Q8">
            <v>17</v>
          </cell>
          <cell r="R8">
            <v>17</v>
          </cell>
          <cell r="S8">
            <v>17</v>
          </cell>
          <cell r="T8">
            <v>17</v>
          </cell>
          <cell r="U8">
            <v>17</v>
          </cell>
          <cell r="V8">
            <v>17</v>
          </cell>
          <cell r="W8">
            <v>17</v>
          </cell>
          <cell r="X8">
            <v>17</v>
          </cell>
          <cell r="Y8">
            <v>17</v>
          </cell>
          <cell r="Z8">
            <v>17</v>
          </cell>
          <cell r="AA8">
            <v>17</v>
          </cell>
          <cell r="AB8">
            <v>17</v>
          </cell>
          <cell r="AC8">
            <v>17</v>
          </cell>
          <cell r="AD8">
            <v>17</v>
          </cell>
          <cell r="AE8">
            <v>17</v>
          </cell>
          <cell r="AF8">
            <v>17</v>
          </cell>
          <cell r="AG8">
            <v>17</v>
          </cell>
          <cell r="AH8">
            <v>17</v>
          </cell>
        </row>
        <row r="9">
          <cell r="A9" t="str">
            <v>Nitrogen</v>
          </cell>
          <cell r="B9" t="str">
            <v>$0.05/std M3</v>
          </cell>
          <cell r="C9">
            <v>0</v>
          </cell>
          <cell r="D9" t="str">
            <v>std M3</v>
          </cell>
          <cell r="E9">
            <v>0.05</v>
          </cell>
          <cell r="F9">
            <v>0.05</v>
          </cell>
          <cell r="G9">
            <v>0.05</v>
          </cell>
          <cell r="H9">
            <v>0.05</v>
          </cell>
          <cell r="I9">
            <v>0.05</v>
          </cell>
          <cell r="J9">
            <v>0.05</v>
          </cell>
          <cell r="K9">
            <v>0.05</v>
          </cell>
          <cell r="L9">
            <v>0.05</v>
          </cell>
          <cell r="M9">
            <v>0.05</v>
          </cell>
          <cell r="N9">
            <v>0.05</v>
          </cell>
          <cell r="O9">
            <v>0.05</v>
          </cell>
          <cell r="P9">
            <v>0.05</v>
          </cell>
          <cell r="Q9">
            <v>0.05</v>
          </cell>
          <cell r="R9">
            <v>0.05</v>
          </cell>
          <cell r="S9">
            <v>0.05</v>
          </cell>
          <cell r="T9">
            <v>0.05</v>
          </cell>
          <cell r="U9">
            <v>0.05</v>
          </cell>
          <cell r="V9">
            <v>0.05</v>
          </cell>
          <cell r="W9">
            <v>0.05</v>
          </cell>
          <cell r="X9">
            <v>0.05</v>
          </cell>
          <cell r="Y9">
            <v>0.05</v>
          </cell>
          <cell r="Z9">
            <v>0.05</v>
          </cell>
          <cell r="AA9">
            <v>0.05</v>
          </cell>
          <cell r="AB9">
            <v>0.05</v>
          </cell>
          <cell r="AC9">
            <v>0.05</v>
          </cell>
          <cell r="AD9">
            <v>0.05</v>
          </cell>
          <cell r="AE9">
            <v>0.05</v>
          </cell>
          <cell r="AF9">
            <v>0.05</v>
          </cell>
          <cell r="AG9">
            <v>0.05</v>
          </cell>
          <cell r="AH9">
            <v>0.05</v>
          </cell>
        </row>
        <row r="10">
          <cell r="A10" t="str">
            <v>Worker</v>
          </cell>
          <cell r="B10" t="str">
            <v>$13000 average, to be escalated by 2.5% per year</v>
          </cell>
          <cell r="C10">
            <v>0</v>
          </cell>
          <cell r="D10" t="str">
            <v>$/yr</v>
          </cell>
          <cell r="E10">
            <v>0</v>
          </cell>
          <cell r="F10">
            <v>0</v>
          </cell>
          <cell r="G10">
            <v>13546</v>
          </cell>
          <cell r="H10">
            <v>14231.099999999999</v>
          </cell>
          <cell r="I10">
            <v>14955.646874999995</v>
          </cell>
          <cell r="J10">
            <v>15721.526234374995</v>
          </cell>
          <cell r="K10">
            <v>16516.352282421867</v>
          </cell>
          <cell r="L10">
            <v>17341.093678974601</v>
          </cell>
          <cell r="M10">
            <v>18226.901454051989</v>
          </cell>
          <cell r="N10">
            <v>19146.161434333892</v>
          </cell>
          <cell r="O10">
            <v>20115.831837888731</v>
          </cell>
          <cell r="P10">
            <v>21138.254629334177</v>
          </cell>
          <cell r="Q10">
            <v>22199.226165453212</v>
          </cell>
          <cell r="R10">
            <v>23334.149122337702</v>
          </cell>
          <cell r="S10">
            <v>24511.943710713003</v>
          </cell>
          <cell r="T10">
            <v>25751.964828888697</v>
          </cell>
          <cell r="U10">
            <v>27057.035697826632</v>
          </cell>
          <cell r="V10">
            <v>28430.093008357882</v>
          </cell>
          <cell r="W10">
            <v>29874.191110173146</v>
          </cell>
          <cell r="X10">
            <v>31372.72530894895</v>
          </cell>
          <cell r="Y10">
            <v>32960.969527714486</v>
          </cell>
          <cell r="Z10">
            <v>34629.618610055033</v>
          </cell>
          <cell r="AA10">
            <v>36382.743052189056</v>
          </cell>
          <cell r="AB10">
            <v>38224.619419206123</v>
          </cell>
          <cell r="AC10">
            <v>40159.740777303421</v>
          </cell>
          <cell r="AD10">
            <v>42192.827654154389</v>
          </cell>
          <cell r="AE10">
            <v>44328.839554145954</v>
          </cell>
          <cell r="AF10">
            <v>46572.987056574588</v>
          </cell>
          <cell r="AG10">
            <v>48930.744526313669</v>
          </cell>
          <cell r="AH10">
            <v>51407.86346795829</v>
          </cell>
        </row>
        <row r="11">
          <cell r="A11" t="str">
            <v>Hydrogen - Reformer</v>
          </cell>
          <cell r="B11" t="str">
            <v>fixed at ratio to methane</v>
          </cell>
          <cell r="C11">
            <v>0</v>
          </cell>
          <cell r="D11" t="str">
            <v>Nm3</v>
          </cell>
          <cell r="E11">
            <v>0</v>
          </cell>
          <cell r="G11">
            <v>0.63846274691357874</v>
          </cell>
          <cell r="H11">
            <v>0.63846274691357874</v>
          </cell>
          <cell r="I11">
            <v>0.63846274691357874</v>
          </cell>
          <cell r="J11">
            <v>0.63846274691357874</v>
          </cell>
          <cell r="K11">
            <v>0.63846274691357874</v>
          </cell>
          <cell r="L11">
            <v>0.63846274691357874</v>
          </cell>
          <cell r="M11">
            <v>0.63846274691357874</v>
          </cell>
          <cell r="N11">
            <v>0.63846274691357874</v>
          </cell>
          <cell r="O11">
            <v>0.63846274691357874</v>
          </cell>
          <cell r="P11">
            <v>0.63846274691357874</v>
          </cell>
          <cell r="Q11">
            <v>0.63846274691357874</v>
          </cell>
          <cell r="R11">
            <v>0.65761662932098619</v>
          </cell>
          <cell r="S11">
            <v>0.67734512820061576</v>
          </cell>
          <cell r="T11">
            <v>0.69766548204663426</v>
          </cell>
          <cell r="U11">
            <v>0.71859544650803331</v>
          </cell>
          <cell r="V11">
            <v>0.74015330990327433</v>
          </cell>
          <cell r="W11">
            <v>0.76235790920037261</v>
          </cell>
          <cell r="X11">
            <v>0.7852286464763838</v>
          </cell>
          <cell r="Y11">
            <v>0.80878550587067533</v>
          </cell>
          <cell r="Z11">
            <v>0.8330490710467956</v>
          </cell>
          <cell r="AA11">
            <v>0.85804054317819944</v>
          </cell>
          <cell r="AB11">
            <v>0.88378175947354554</v>
          </cell>
          <cell r="AC11">
            <v>0.91029521225775201</v>
          </cell>
          <cell r="AD11">
            <v>0.93760406862548451</v>
          </cell>
          <cell r="AE11">
            <v>0.96573219068424909</v>
          </cell>
          <cell r="AF11">
            <v>0.99470415640477661</v>
          </cell>
          <cell r="AG11">
            <v>1.0245452810969198</v>
          </cell>
          <cell r="AH11">
            <v>1.0552816395298275</v>
          </cell>
        </row>
        <row r="12">
          <cell r="A12" t="str">
            <v>Propylene</v>
          </cell>
          <cell r="B12" t="str">
            <v>methane * 0.9157</v>
          </cell>
          <cell r="C12">
            <v>0</v>
          </cell>
          <cell r="D12" t="str">
            <v>$/ton</v>
          </cell>
          <cell r="E12">
            <v>0</v>
          </cell>
          <cell r="F12">
            <v>32.548596246176011</v>
          </cell>
          <cell r="G12">
            <v>32.548596246176011</v>
          </cell>
          <cell r="H12">
            <v>32.548596246176011</v>
          </cell>
          <cell r="I12">
            <v>32.548596246176011</v>
          </cell>
          <cell r="J12">
            <v>32.548596246176011</v>
          </cell>
          <cell r="K12">
            <v>32.548596246176011</v>
          </cell>
          <cell r="L12">
            <v>32.548596246176011</v>
          </cell>
          <cell r="M12">
            <v>32.548596246176011</v>
          </cell>
          <cell r="N12">
            <v>32.548596246176011</v>
          </cell>
          <cell r="O12">
            <v>32.548596246176011</v>
          </cell>
          <cell r="P12">
            <v>32.548596246176011</v>
          </cell>
          <cell r="Q12">
            <v>32.548596246176011</v>
          </cell>
          <cell r="R12">
            <v>33.525054133561291</v>
          </cell>
          <cell r="S12">
            <v>34.530805757568132</v>
          </cell>
          <cell r="T12">
            <v>35.566729930295175</v>
          </cell>
          <cell r="U12">
            <v>36.633731828204034</v>
          </cell>
          <cell r="V12">
            <v>37.732743783050154</v>
          </cell>
          <cell r="W12">
            <v>38.864726096541659</v>
          </cell>
          <cell r="X12">
            <v>40.030667879437907</v>
          </cell>
          <cell r="Y12">
            <v>41.231587915821045</v>
          </cell>
          <cell r="Z12">
            <v>42.468535553295681</v>
          </cell>
          <cell r="AA12">
            <v>43.742591619894554</v>
          </cell>
          <cell r="AB12">
            <v>45.054869368491396</v>
          </cell>
          <cell r="AC12">
            <v>46.406515449546141</v>
          </cell>
          <cell r="AD12">
            <v>47.798710913032522</v>
          </cell>
          <cell r="AE12">
            <v>49.232672240423497</v>
          </cell>
          <cell r="AF12">
            <v>50.709652407636206</v>
          </cell>
          <cell r="AG12">
            <v>52.230941979865293</v>
          </cell>
          <cell r="AH12">
            <v>53.79787023926125</v>
          </cell>
        </row>
        <row r="13">
          <cell r="A13" t="str">
            <v>Catalyst (LLDPE)</v>
          </cell>
          <cell r="B13">
            <v>0</v>
          </cell>
          <cell r="C13">
            <v>0</v>
          </cell>
          <cell r="D13" t="str">
            <v>$/ton LLDPE</v>
          </cell>
          <cell r="E13">
            <v>19.013865573983026</v>
          </cell>
          <cell r="F13">
            <v>19.3751290198887</v>
          </cell>
          <cell r="G13">
            <v>19.812447928090315</v>
          </cell>
          <cell r="H13">
            <v>20.306808433013874</v>
          </cell>
          <cell r="I13">
            <v>20.820182803511411</v>
          </cell>
          <cell r="J13">
            <v>21.352571039582937</v>
          </cell>
          <cell r="K13">
            <v>21.884959275654463</v>
          </cell>
          <cell r="L13">
            <v>22.417347511725989</v>
          </cell>
          <cell r="M13">
            <v>22.987763478945478</v>
          </cell>
          <cell r="N13">
            <v>23.558179446164971</v>
          </cell>
          <cell r="O13">
            <v>24.147609278958441</v>
          </cell>
          <cell r="P13">
            <v>24.756052977325901</v>
          </cell>
          <cell r="Q13">
            <v>25.364496675693356</v>
          </cell>
          <cell r="R13">
            <v>26.010968105208782</v>
          </cell>
          <cell r="S13">
            <v>26.657439534724201</v>
          </cell>
          <cell r="T13">
            <v>27.322924829813608</v>
          </cell>
          <cell r="U13">
            <v>28.007423990476997</v>
          </cell>
          <cell r="V13">
            <v>28.710937016714368</v>
          </cell>
          <cell r="W13">
            <v>29.433463908525724</v>
          </cell>
          <cell r="X13">
            <v>30.155990800337079</v>
          </cell>
          <cell r="Y13">
            <v>30.909890570345507</v>
          </cell>
          <cell r="Z13">
            <v>31.682637834604144</v>
          </cell>
          <cell r="AA13">
            <v>32.474703780469241</v>
          </cell>
          <cell r="AB13">
            <v>33.286571374980966</v>
          </cell>
          <cell r="AC13">
            <v>34.118735659355487</v>
          </cell>
          <cell r="AD13">
            <v>34.971704050839371</v>
          </cell>
          <cell r="AE13">
            <v>35.845996652110351</v>
          </cell>
          <cell r="AF13">
            <v>36.742146568413105</v>
          </cell>
          <cell r="AG13">
            <v>37.660700232623434</v>
          </cell>
          <cell r="AH13">
            <v>38.602217738439016</v>
          </cell>
        </row>
        <row r="14">
          <cell r="A14" t="str">
            <v>Ethylene (Transfer)</v>
          </cell>
          <cell r="B14">
            <v>0</v>
          </cell>
          <cell r="C14">
            <v>0</v>
          </cell>
          <cell r="D14" t="str">
            <v>$/ton</v>
          </cell>
          <cell r="E14">
            <v>0</v>
          </cell>
          <cell r="F14">
            <v>0</v>
          </cell>
          <cell r="G14">
            <v>0</v>
          </cell>
          <cell r="H14">
            <v>0</v>
          </cell>
          <cell r="I14">
            <v>0</v>
          </cell>
          <cell r="J14">
            <v>329.38502610927588</v>
          </cell>
          <cell r="K14">
            <v>331.98766118099729</v>
          </cell>
          <cell r="L14">
            <v>333.97305245152791</v>
          </cell>
          <cell r="M14">
            <v>336.67711703416199</v>
          </cell>
          <cell r="N14">
            <v>339.24092101481102</v>
          </cell>
          <cell r="O14">
            <v>345.2097862522661</v>
          </cell>
          <cell r="P14">
            <v>350.41465571815678</v>
          </cell>
          <cell r="Q14">
            <v>355.82306669261396</v>
          </cell>
          <cell r="R14">
            <v>361.4449983878863</v>
          </cell>
          <cell r="S14">
            <v>366.26042526646603</v>
          </cell>
          <cell r="T14">
            <v>372.2487955777944</v>
          </cell>
          <cell r="U14">
            <v>378.21541400097635</v>
          </cell>
          <cell r="V14">
            <v>384.45712027367603</v>
          </cell>
          <cell r="W14">
            <v>390.85150621425839</v>
          </cell>
          <cell r="X14">
            <v>397.14533435843288</v>
          </cell>
          <cell r="Y14">
            <v>403.69073189653864</v>
          </cell>
          <cell r="Z14">
            <v>410.3151834775756</v>
          </cell>
          <cell r="AA14">
            <v>417.01855093022908</v>
          </cell>
          <cell r="AB14">
            <v>423.80063976584171</v>
          </cell>
          <cell r="AC14">
            <v>430.66119644890358</v>
          </cell>
          <cell r="AD14">
            <v>437.59990556626491</v>
          </cell>
          <cell r="AE14">
            <v>444.61638689171377</v>
          </cell>
          <cell r="AF14">
            <v>451.71019234245614</v>
          </cell>
          <cell r="AG14">
            <v>458.88080282392832</v>
          </cell>
          <cell r="AH14">
            <v>466.12762495926012</v>
          </cell>
        </row>
        <row r="15">
          <cell r="A15" t="str">
            <v>Ethylene (Market)</v>
          </cell>
          <cell r="B15">
            <v>0</v>
          </cell>
          <cell r="C15">
            <v>0</v>
          </cell>
          <cell r="D15" t="str">
            <v>$/ton</v>
          </cell>
          <cell r="E15">
            <v>398.51430960387404</v>
          </cell>
          <cell r="F15">
            <v>341.31615941915805</v>
          </cell>
          <cell r="G15">
            <v>323.48703635073281</v>
          </cell>
          <cell r="H15">
            <v>328.45511575313981</v>
          </cell>
          <cell r="I15">
            <v>324.99663286028039</v>
          </cell>
          <cell r="J15">
            <v>328.8320182764931</v>
          </cell>
          <cell r="K15">
            <v>333.1038628266981</v>
          </cell>
          <cell r="L15">
            <v>336.94363671606953</v>
          </cell>
          <cell r="M15">
            <v>341.46148192391337</v>
          </cell>
          <cell r="N15">
            <v>345.88114471036766</v>
          </cell>
          <cell r="O15">
            <v>352.77185037658626</v>
          </cell>
          <cell r="P15">
            <v>359.21525900270967</v>
          </cell>
          <cell r="Q15">
            <v>365.8011466848298</v>
          </cell>
          <cell r="R15">
            <v>372.7114988715204</v>
          </cell>
          <cell r="S15">
            <v>379.05729768652617</v>
          </cell>
          <cell r="T15">
            <v>386.31165690445602</v>
          </cell>
          <cell r="U15">
            <v>393.63828980068342</v>
          </cell>
          <cell r="V15">
            <v>401.24498419157317</v>
          </cell>
          <cell r="W15">
            <v>409.04605434998081</v>
          </cell>
          <cell r="X15">
            <v>416.77673405090297</v>
          </cell>
          <cell r="Y15">
            <v>424.82788732757706</v>
          </cell>
          <cell r="Z15">
            <v>433.02111280930291</v>
          </cell>
          <cell r="AA15">
            <v>441.35848213553533</v>
          </cell>
          <cell r="AB15">
            <v>449.84208173257349</v>
          </cell>
          <cell r="AC15">
            <v>458.47401225812894</v>
          </cell>
          <cell r="AD15">
            <v>467.25638800887924</v>
          </cell>
          <cell r="AE15">
            <v>476.19133628950573</v>
          </cell>
          <cell r="AF15">
            <v>485.28099674165804</v>
          </cell>
          <cell r="AG15">
            <v>494.52752063123705</v>
          </cell>
          <cell r="AH15">
            <v>503.93307009233149</v>
          </cell>
        </row>
        <row r="16">
          <cell r="A16" t="str">
            <v>Ethylene (NWE)</v>
          </cell>
          <cell r="B16">
            <v>0</v>
          </cell>
          <cell r="C16">
            <v>0</v>
          </cell>
          <cell r="D16" t="str">
            <v>$/ton</v>
          </cell>
          <cell r="E16">
            <v>569.30615657696296</v>
          </cell>
          <cell r="F16">
            <v>487.5945134559401</v>
          </cell>
          <cell r="G16">
            <v>462.12433764390397</v>
          </cell>
          <cell r="H16">
            <v>469.22159393305691</v>
          </cell>
          <cell r="I16">
            <v>464.2809040861149</v>
          </cell>
          <cell r="J16">
            <v>469.76002610927588</v>
          </cell>
          <cell r="K16">
            <v>475.86266118099729</v>
          </cell>
          <cell r="L16">
            <v>481.34805245152791</v>
          </cell>
          <cell r="M16">
            <v>487.80211703416199</v>
          </cell>
          <cell r="N16">
            <v>494.11592101481102</v>
          </cell>
          <cell r="O16">
            <v>503.9597862522661</v>
          </cell>
          <cell r="P16">
            <v>513.16465571815672</v>
          </cell>
          <cell r="Q16">
            <v>522.57306669261402</v>
          </cell>
          <cell r="R16">
            <v>532.44499838788636</v>
          </cell>
          <cell r="S16">
            <v>541.51042526646597</v>
          </cell>
          <cell r="T16">
            <v>551.87379557779445</v>
          </cell>
          <cell r="U16">
            <v>562.34041400097635</v>
          </cell>
          <cell r="V16">
            <v>573.20712027367597</v>
          </cell>
          <cell r="W16">
            <v>584.35150621425839</v>
          </cell>
          <cell r="X16">
            <v>595.39533435843293</v>
          </cell>
          <cell r="Y16">
            <v>606.89698189653859</v>
          </cell>
          <cell r="Z16">
            <v>618.60158972757563</v>
          </cell>
          <cell r="AA16">
            <v>630.51211733647904</v>
          </cell>
          <cell r="AB16">
            <v>642.63154533224792</v>
          </cell>
          <cell r="AC16">
            <v>654.96287465446994</v>
          </cell>
          <cell r="AD16">
            <v>667.50912572697041</v>
          </cell>
          <cell r="AE16">
            <v>680.27333755643679</v>
          </cell>
          <cell r="AF16">
            <v>693.25856677379727</v>
          </cell>
          <cell r="AG16">
            <v>706.46788661605297</v>
          </cell>
          <cell r="AH16">
            <v>719.90438584618789</v>
          </cell>
        </row>
        <row r="17">
          <cell r="A17" t="str">
            <v>Butene-1 (Transfer)</v>
          </cell>
          <cell r="B17">
            <v>1</v>
          </cell>
          <cell r="C17" t="str">
            <v>* NWE</v>
          </cell>
          <cell r="D17" t="str">
            <v>$/ton</v>
          </cell>
          <cell r="E17">
            <v>850</v>
          </cell>
          <cell r="F17">
            <v>790.74399999999991</v>
          </cell>
          <cell r="G17">
            <v>762.74400000000003</v>
          </cell>
          <cell r="H17">
            <v>774.30000000000007</v>
          </cell>
          <cell r="I17">
            <v>771.97500000000002</v>
          </cell>
          <cell r="J17">
            <v>781.60799999999995</v>
          </cell>
          <cell r="K17">
            <v>791.88800000000003</v>
          </cell>
          <cell r="L17">
            <v>801.72</v>
          </cell>
          <cell r="M17">
            <v>813.65700000000004</v>
          </cell>
          <cell r="N17">
            <v>825.17400000000009</v>
          </cell>
          <cell r="O17">
            <v>840.74</v>
          </cell>
          <cell r="P17">
            <v>855.41399999999999</v>
          </cell>
          <cell r="Q17">
            <v>869.76800000000003</v>
          </cell>
          <cell r="R17">
            <v>886.46400000000006</v>
          </cell>
          <cell r="S17">
            <v>901.48599999999999</v>
          </cell>
          <cell r="T17">
            <v>918.24300000000005</v>
          </cell>
          <cell r="U17">
            <v>933.88200000000006</v>
          </cell>
          <cell r="V17">
            <v>952.81000000000006</v>
          </cell>
          <cell r="W17">
            <v>970.596</v>
          </cell>
          <cell r="X17">
            <v>988.07800000000009</v>
          </cell>
          <cell r="Y17">
            <v>1006.2773500000001</v>
          </cell>
          <cell r="Z17">
            <v>1024.76911875</v>
          </cell>
          <cell r="AA17">
            <v>1043.55655259375</v>
          </cell>
          <cell r="AB17">
            <v>1062.6428774304684</v>
          </cell>
          <cell r="AC17">
            <v>1082.0312956636519</v>
          </cell>
          <cell r="AD17">
            <v>1101.7249830101005</v>
          </cell>
          <cell r="AE17">
            <v>1121.7270851640817</v>
          </cell>
          <cell r="AF17">
            <v>1142.0407143113807</v>
          </cell>
          <cell r="AG17">
            <v>1162.6689454878172</v>
          </cell>
          <cell r="AH17">
            <v>1183.614812776631</v>
          </cell>
        </row>
        <row r="18">
          <cell r="A18" t="str">
            <v>Butene-1 (Market)</v>
          </cell>
          <cell r="B18">
            <v>1</v>
          </cell>
          <cell r="C18" t="str">
            <v>* NWE</v>
          </cell>
          <cell r="D18" t="str">
            <v>$/ton</v>
          </cell>
          <cell r="E18">
            <v>730</v>
          </cell>
          <cell r="F18">
            <v>668.46399999999994</v>
          </cell>
          <cell r="G18">
            <v>637.70400000000006</v>
          </cell>
          <cell r="H18">
            <v>646.14</v>
          </cell>
          <cell r="I18">
            <v>640.57499999999993</v>
          </cell>
          <cell r="J18">
            <v>646.84799999999996</v>
          </cell>
          <cell r="K18">
            <v>653.76800000000003</v>
          </cell>
          <cell r="L18">
            <v>660.24</v>
          </cell>
          <cell r="M18">
            <v>668.577</v>
          </cell>
          <cell r="N18">
            <v>676.49400000000003</v>
          </cell>
          <cell r="O18">
            <v>688.34</v>
          </cell>
          <cell r="P18">
            <v>699.17399999999998</v>
          </cell>
          <cell r="Q18">
            <v>709.68799999999999</v>
          </cell>
          <cell r="R18">
            <v>722.30400000000009</v>
          </cell>
          <cell r="S18">
            <v>733.24599999999998</v>
          </cell>
          <cell r="T18">
            <v>745.803</v>
          </cell>
          <cell r="U18">
            <v>757.12200000000007</v>
          </cell>
          <cell r="V18">
            <v>771.61</v>
          </cell>
          <cell r="W18">
            <v>784.83600000000001</v>
          </cell>
          <cell r="X18">
            <v>797.75800000000004</v>
          </cell>
          <cell r="Y18">
            <v>811.19934999999998</v>
          </cell>
          <cell r="Z18">
            <v>824.81416875000002</v>
          </cell>
          <cell r="AA18">
            <v>838.6027288437499</v>
          </cell>
          <cell r="AB18">
            <v>852.56520808671848</v>
          </cell>
          <cell r="AC18">
            <v>866.70168458630826</v>
          </cell>
          <cell r="AD18">
            <v>881.01213165582328</v>
          </cell>
          <cell r="AE18">
            <v>895.49641252594768</v>
          </cell>
          <cell r="AF18">
            <v>910.15427485729333</v>
          </cell>
          <cell r="AG18">
            <v>924.98534504737756</v>
          </cell>
          <cell r="AH18">
            <v>939.98912232518035</v>
          </cell>
        </row>
        <row r="19">
          <cell r="A19" t="str">
            <v>Butene-1 (NWE)</v>
          </cell>
          <cell r="B19">
            <v>0</v>
          </cell>
          <cell r="C19">
            <v>0</v>
          </cell>
          <cell r="D19" t="str">
            <v>$/ton</v>
          </cell>
          <cell r="E19">
            <v>730</v>
          </cell>
          <cell r="F19">
            <v>668.46399999999994</v>
          </cell>
          <cell r="G19">
            <v>637.70400000000006</v>
          </cell>
          <cell r="H19">
            <v>646.14</v>
          </cell>
          <cell r="I19">
            <v>640.57499999999993</v>
          </cell>
          <cell r="J19">
            <v>646.84799999999996</v>
          </cell>
          <cell r="K19">
            <v>653.76800000000003</v>
          </cell>
          <cell r="L19">
            <v>660.24</v>
          </cell>
          <cell r="M19">
            <v>668.577</v>
          </cell>
          <cell r="N19">
            <v>676.49400000000003</v>
          </cell>
          <cell r="O19">
            <v>688.34</v>
          </cell>
          <cell r="P19">
            <v>699.17399999999998</v>
          </cell>
          <cell r="Q19">
            <v>709.68799999999999</v>
          </cell>
          <cell r="R19">
            <v>722.30400000000009</v>
          </cell>
          <cell r="S19">
            <v>733.24599999999998</v>
          </cell>
          <cell r="T19">
            <v>745.803</v>
          </cell>
          <cell r="U19">
            <v>757.12200000000007</v>
          </cell>
          <cell r="V19">
            <v>771.61</v>
          </cell>
          <cell r="W19">
            <v>784.83600000000001</v>
          </cell>
          <cell r="X19">
            <v>797.75800000000004</v>
          </cell>
          <cell r="Y19">
            <v>811.19934999999998</v>
          </cell>
          <cell r="Z19">
            <v>824.81416875000002</v>
          </cell>
          <cell r="AA19">
            <v>838.6027288437499</v>
          </cell>
          <cell r="AB19">
            <v>852.56520808671848</v>
          </cell>
          <cell r="AC19">
            <v>866.70168458630826</v>
          </cell>
          <cell r="AD19">
            <v>881.01213165582328</v>
          </cell>
          <cell r="AE19">
            <v>895.49641252594768</v>
          </cell>
          <cell r="AF19">
            <v>910.15427485729333</v>
          </cell>
          <cell r="AG19">
            <v>924.98534504737756</v>
          </cell>
          <cell r="AH19">
            <v>939.98912232518035</v>
          </cell>
        </row>
        <row r="20">
          <cell r="A20" t="str">
            <v>Catalyst (HDPE)</v>
          </cell>
          <cell r="B20">
            <v>0</v>
          </cell>
          <cell r="C20">
            <v>0</v>
          </cell>
          <cell r="D20" t="str">
            <v>$/ton HDPE</v>
          </cell>
          <cell r="E20">
            <v>19.013865573983026</v>
          </cell>
          <cell r="F20">
            <v>19.3751290198887</v>
          </cell>
          <cell r="G20">
            <v>19.812447928090315</v>
          </cell>
          <cell r="H20">
            <v>20.306808433013874</v>
          </cell>
          <cell r="I20">
            <v>20.820182803511411</v>
          </cell>
          <cell r="J20">
            <v>21.352571039582937</v>
          </cell>
          <cell r="K20">
            <v>21.884959275654463</v>
          </cell>
          <cell r="L20">
            <v>22.417347511725989</v>
          </cell>
          <cell r="M20">
            <v>22.987763478945478</v>
          </cell>
          <cell r="N20">
            <v>23.558179446164971</v>
          </cell>
          <cell r="O20">
            <v>24.147609278958441</v>
          </cell>
          <cell r="P20">
            <v>24.756052977325901</v>
          </cell>
          <cell r="Q20">
            <v>25.364496675693356</v>
          </cell>
          <cell r="R20">
            <v>26.010968105208782</v>
          </cell>
          <cell r="S20">
            <v>26.657439534724201</v>
          </cell>
          <cell r="T20">
            <v>27.322924829813608</v>
          </cell>
          <cell r="U20">
            <v>28.007423990476997</v>
          </cell>
          <cell r="V20">
            <v>28.710937016714368</v>
          </cell>
          <cell r="W20">
            <v>29.433463908525724</v>
          </cell>
          <cell r="X20">
            <v>30.155990800337079</v>
          </cell>
          <cell r="Y20">
            <v>30.909890570345507</v>
          </cell>
          <cell r="Z20">
            <v>31.682637834604144</v>
          </cell>
          <cell r="AA20">
            <v>32.474703780469241</v>
          </cell>
          <cell r="AB20">
            <v>33.286571374980966</v>
          </cell>
          <cell r="AC20">
            <v>34.118735659355487</v>
          </cell>
          <cell r="AD20">
            <v>34.971704050839371</v>
          </cell>
          <cell r="AE20">
            <v>35.845996652110351</v>
          </cell>
          <cell r="AF20">
            <v>36.742146568413105</v>
          </cell>
          <cell r="AG20">
            <v>37.660700232623434</v>
          </cell>
          <cell r="AH20">
            <v>38.602217738439016</v>
          </cell>
        </row>
        <row r="21">
          <cell r="A21" t="str">
            <v>Catalyst (MEG)</v>
          </cell>
          <cell r="B21">
            <v>0</v>
          </cell>
          <cell r="C21">
            <v>0</v>
          </cell>
          <cell r="D21" t="str">
            <v>$/ton MEG</v>
          </cell>
          <cell r="E21">
            <v>11.863442766503693</v>
          </cell>
          <cell r="F21">
            <v>12.088848179067263</v>
          </cell>
          <cell r="G21">
            <v>12.361707362696849</v>
          </cell>
          <cell r="H21">
            <v>12.670156874625945</v>
          </cell>
          <cell r="I21">
            <v>12.990469829321544</v>
          </cell>
          <cell r="J21">
            <v>13.322646226783649</v>
          </cell>
          <cell r="K21">
            <v>13.654822624245751</v>
          </cell>
          <cell r="L21">
            <v>13.986999021707856</v>
          </cell>
          <cell r="M21">
            <v>14.342902304702966</v>
          </cell>
          <cell r="N21">
            <v>14.698805587698077</v>
          </cell>
          <cell r="O21">
            <v>15.066572313459691</v>
          </cell>
          <cell r="P21">
            <v>15.446202481987809</v>
          </cell>
          <cell r="Q21">
            <v>15.825832650515927</v>
          </cell>
          <cell r="R21">
            <v>16.229189704577053</v>
          </cell>
          <cell r="S21">
            <v>16.632546758638178</v>
          </cell>
          <cell r="T21">
            <v>17.047767255465807</v>
          </cell>
          <cell r="U21">
            <v>17.474851195059941</v>
          </cell>
          <cell r="V21">
            <v>17.913798577420579</v>
          </cell>
          <cell r="W21">
            <v>18.364609402547718</v>
          </cell>
          <cell r="X21">
            <v>18.81542022767486</v>
          </cell>
          <cell r="Y21">
            <v>19.285805733366729</v>
          </cell>
          <cell r="Z21">
            <v>19.767950876700898</v>
          </cell>
          <cell r="AA21">
            <v>20.262149648618418</v>
          </cell>
          <cell r="AB21">
            <v>20.768703389833874</v>
          </cell>
          <cell r="AC21">
            <v>21.28792097457972</v>
          </cell>
          <cell r="AD21">
            <v>21.82011899894421</v>
          </cell>
          <cell r="AE21">
            <v>22.365621973917811</v>
          </cell>
          <cell r="AF21">
            <v>22.924762523265755</v>
          </cell>
          <cell r="AG21">
            <v>23.497881586347397</v>
          </cell>
          <cell r="AH21">
            <v>24.085328626006081</v>
          </cell>
        </row>
        <row r="22">
          <cell r="A22" t="str">
            <v>Oxygen</v>
          </cell>
          <cell r="B22">
            <v>0</v>
          </cell>
          <cell r="C22">
            <v>0</v>
          </cell>
          <cell r="D22" t="str">
            <v>$/ton</v>
          </cell>
          <cell r="E22">
            <v>57.534934556052903</v>
          </cell>
          <cell r="F22">
            <v>58.628098312617901</v>
          </cell>
          <cell r="G22">
            <v>59.95140180740713</v>
          </cell>
          <cell r="H22">
            <v>61.447310105864503</v>
          </cell>
          <cell r="I22">
            <v>63.000753338877928</v>
          </cell>
          <cell r="J22">
            <v>64.611731506447413</v>
          </cell>
          <cell r="K22">
            <v>66.222709674016897</v>
          </cell>
          <cell r="L22">
            <v>67.833687841586382</v>
          </cell>
          <cell r="M22">
            <v>69.559735878267958</v>
          </cell>
          <cell r="N22">
            <v>71.285783914949548</v>
          </cell>
          <cell r="O22">
            <v>73.069366886187183</v>
          </cell>
          <cell r="P22">
            <v>74.910484791980878</v>
          </cell>
          <cell r="Q22">
            <v>76.751602697774572</v>
          </cell>
          <cell r="R22">
            <v>78.707790472680372</v>
          </cell>
          <cell r="S22">
            <v>80.663978247586172</v>
          </cell>
          <cell r="T22">
            <v>82.677700957048032</v>
          </cell>
          <cell r="U22">
            <v>84.748958601065937</v>
          </cell>
          <cell r="V22">
            <v>86.877751179639887</v>
          </cell>
          <cell r="W22">
            <v>89.064078692769897</v>
          </cell>
          <cell r="X22">
            <v>91.250406205899907</v>
          </cell>
          <cell r="Y22">
            <v>93.5316663610474</v>
          </cell>
          <cell r="Z22">
            <v>95.869958020073582</v>
          </cell>
          <cell r="AA22">
            <v>98.266706970575413</v>
          </cell>
          <cell r="AB22">
            <v>100.72337464483978</v>
          </cell>
          <cell r="AC22">
            <v>103.24145901096077</v>
          </cell>
          <cell r="AD22">
            <v>105.82249548623477</v>
          </cell>
          <cell r="AE22">
            <v>108.46805787339063</v>
          </cell>
          <cell r="AF22">
            <v>111.17975932022539</v>
          </cell>
          <cell r="AG22">
            <v>113.95925330323101</v>
          </cell>
          <cell r="AH22">
            <v>116.80823463581179</v>
          </cell>
        </row>
        <row r="23">
          <cell r="A23" t="str">
            <v>DEG (Export)</v>
          </cell>
          <cell r="B23">
            <v>0</v>
          </cell>
          <cell r="C23">
            <v>0</v>
          </cell>
          <cell r="D23" t="str">
            <v>$/ton</v>
          </cell>
          <cell r="E23">
            <v>504.83590781180197</v>
          </cell>
          <cell r="F23">
            <v>525.26493238830369</v>
          </cell>
          <cell r="G23">
            <v>511.1429950318842</v>
          </cell>
          <cell r="H23">
            <v>519.5322865147424</v>
          </cell>
          <cell r="I23">
            <v>519.45336652409947</v>
          </cell>
          <cell r="J23">
            <v>527.48423267330827</v>
          </cell>
          <cell r="K23">
            <v>535.81937067579418</v>
          </cell>
          <cell r="L23">
            <v>543.76656194907991</v>
          </cell>
          <cell r="M23">
            <v>552.63609839389346</v>
          </cell>
          <cell r="N23">
            <v>561.39422867079998</v>
          </cell>
          <cell r="O23">
            <v>572.62852509793129</v>
          </cell>
          <cell r="P23">
            <v>583.66178099870785</v>
          </cell>
          <cell r="Q23">
            <v>594.76568403862029</v>
          </cell>
          <cell r="R23">
            <v>606.5259976347561</v>
          </cell>
          <cell r="S23">
            <v>617.76665198466219</v>
          </cell>
          <cell r="T23">
            <v>629.93009282937396</v>
          </cell>
          <cell r="U23">
            <v>642.31830778980031</v>
          </cell>
          <cell r="V23">
            <v>655.10274662130405</v>
          </cell>
          <cell r="W23">
            <v>668.21055789510513</v>
          </cell>
          <cell r="X23">
            <v>681.20914660611277</v>
          </cell>
          <cell r="Y23">
            <v>694.7671031579639</v>
          </cell>
          <cell r="Z23">
            <v>708.59490075170015</v>
          </cell>
          <cell r="AA23">
            <v>722.69790997451935</v>
          </cell>
          <cell r="AB23">
            <v>737.08160830324073</v>
          </cell>
          <cell r="AC23">
            <v>751.75158223170615</v>
          </cell>
          <cell r="AD23">
            <v>766.7135294405216</v>
          </cell>
          <cell r="AE23">
            <v>781.97326100998271</v>
          </cell>
          <cell r="AF23">
            <v>797.53670367704513</v>
          </cell>
          <cell r="AG23">
            <v>813.40990213721238</v>
          </cell>
          <cell r="AH23">
            <v>829.59902139223982</v>
          </cell>
        </row>
        <row r="24">
          <cell r="A24" t="str">
            <v>TEG (Export)</v>
          </cell>
          <cell r="B24">
            <v>0</v>
          </cell>
          <cell r="C24">
            <v>0</v>
          </cell>
          <cell r="D24" t="str">
            <v>$/ton</v>
          </cell>
          <cell r="E24">
            <v>504.83590781180197</v>
          </cell>
          <cell r="F24">
            <v>525.26493238830369</v>
          </cell>
          <cell r="G24">
            <v>511.1429950318842</v>
          </cell>
          <cell r="H24">
            <v>519.5322865147424</v>
          </cell>
          <cell r="I24">
            <v>519.45336652409947</v>
          </cell>
          <cell r="J24">
            <v>527.48423267330827</v>
          </cell>
          <cell r="K24">
            <v>535.81937067579418</v>
          </cell>
          <cell r="L24">
            <v>543.76656194907991</v>
          </cell>
          <cell r="M24">
            <v>552.63609839389346</v>
          </cell>
          <cell r="N24">
            <v>561.39422867079998</v>
          </cell>
          <cell r="O24">
            <v>572.62852509793129</v>
          </cell>
          <cell r="P24">
            <v>583.66178099870785</v>
          </cell>
          <cell r="Q24">
            <v>594.76568403862029</v>
          </cell>
          <cell r="R24">
            <v>606.5259976347561</v>
          </cell>
          <cell r="S24">
            <v>617.76665198466219</v>
          </cell>
          <cell r="T24">
            <v>629.93009282937396</v>
          </cell>
          <cell r="U24">
            <v>642.31830778980031</v>
          </cell>
          <cell r="V24">
            <v>655.10274662130405</v>
          </cell>
          <cell r="W24">
            <v>668.21055789510513</v>
          </cell>
          <cell r="X24">
            <v>681.20914660611277</v>
          </cell>
          <cell r="Y24">
            <v>694.7671031579639</v>
          </cell>
          <cell r="Z24">
            <v>708.59490075170015</v>
          </cell>
          <cell r="AA24">
            <v>722.69790997451935</v>
          </cell>
          <cell r="AB24">
            <v>737.08160830324073</v>
          </cell>
          <cell r="AC24">
            <v>751.75158223170615</v>
          </cell>
          <cell r="AD24">
            <v>766.7135294405216</v>
          </cell>
          <cell r="AE24">
            <v>781.97326100998271</v>
          </cell>
          <cell r="AF24">
            <v>797.53670367704513</v>
          </cell>
          <cell r="AG24">
            <v>813.40990213721238</v>
          </cell>
          <cell r="AH24">
            <v>829.59902139223982</v>
          </cell>
        </row>
        <row r="25">
          <cell r="A25" t="str">
            <v>Oxygen (Internal)</v>
          </cell>
          <cell r="B25" t="str">
            <v>Direct into Current</v>
          </cell>
          <cell r="C25">
            <v>2</v>
          </cell>
          <cell r="D25" t="str">
            <v>$/ton</v>
          </cell>
          <cell r="E25">
            <v>0</v>
          </cell>
          <cell r="F25">
            <v>0</v>
          </cell>
          <cell r="G25">
            <v>0</v>
          </cell>
          <cell r="H25">
            <v>0</v>
          </cell>
          <cell r="I25">
            <v>0</v>
          </cell>
          <cell r="J25">
            <v>36.370543003982917</v>
          </cell>
          <cell r="K25">
            <v>35.647920332226917</v>
          </cell>
          <cell r="L25">
            <v>35.495409347815233</v>
          </cell>
          <cell r="M25">
            <v>35.709374301776421</v>
          </cell>
          <cell r="N25">
            <v>35.926926300713419</v>
          </cell>
          <cell r="O25">
            <v>36.153849780370187</v>
          </cell>
          <cell r="P25">
            <v>36.390395867163186</v>
          </cell>
          <cell r="Q25">
            <v>36.631075495528677</v>
          </cell>
          <cell r="R25">
            <v>36.887616904910523</v>
          </cell>
          <cell r="S25">
            <v>37.148755394496895</v>
          </cell>
          <cell r="T25">
            <v>37.420532393547298</v>
          </cell>
          <cell r="U25">
            <v>37.703250633092615</v>
          </cell>
          <cell r="V25">
            <v>37.997225011419118</v>
          </cell>
          <cell r="W25">
            <v>38.302783043249534</v>
          </cell>
          <cell r="X25">
            <v>38.614178200821314</v>
          </cell>
          <cell r="Y25">
            <v>38.941736809206958</v>
          </cell>
          <cell r="Z25">
            <v>39.28184846806635</v>
          </cell>
          <cell r="AA25">
            <v>39.635047935477829</v>
          </cell>
          <cell r="AB25">
            <v>40.001894523144891</v>
          </cell>
          <cell r="AC25">
            <v>40.382973276460952</v>
          </cell>
          <cell r="AD25">
            <v>40.77889621274069</v>
          </cell>
          <cell r="AE25">
            <v>41.190303620523558</v>
          </cell>
          <cell r="AF25">
            <v>41.617865423000751</v>
          </cell>
          <cell r="AG25">
            <v>42.062282608770559</v>
          </cell>
          <cell r="AH25">
            <v>43.914204537430805</v>
          </cell>
        </row>
        <row r="26">
          <cell r="A26" t="str">
            <v>Catalyst (Butene-1)</v>
          </cell>
          <cell r="B26" t="str">
            <v>0.0056$/lb in 1998</v>
          </cell>
          <cell r="C26">
            <v>0</v>
          </cell>
          <cell r="D26" t="str">
            <v>$/ton Butene-1</v>
          </cell>
          <cell r="E26">
            <v>12.104867121951218</v>
          </cell>
          <cell r="F26">
            <v>12.33485959726829</v>
          </cell>
          <cell r="G26">
            <v>12.61327154107317</v>
          </cell>
          <cell r="H26">
            <v>12.927998086243901</v>
          </cell>
          <cell r="I26">
            <v>13.254829498536584</v>
          </cell>
          <cell r="J26">
            <v>13.593765777951218</v>
          </cell>
          <cell r="K26">
            <v>13.932702057365852</v>
          </cell>
          <cell r="L26">
            <v>14.271638336780486</v>
          </cell>
          <cell r="M26">
            <v>14.634784350439023</v>
          </cell>
          <cell r="N26">
            <v>14.997930364097559</v>
          </cell>
          <cell r="O26">
            <v>15.373181244878047</v>
          </cell>
          <cell r="P26">
            <v>15.760536992780485</v>
          </cell>
          <cell r="Q26">
            <v>16.147892740682924</v>
          </cell>
          <cell r="R26">
            <v>16.559458222829267</v>
          </cell>
          <cell r="S26">
            <v>16.971023704975607</v>
          </cell>
          <cell r="T26">
            <v>17.394694054243899</v>
          </cell>
          <cell r="U26">
            <v>17.830469270634143</v>
          </cell>
          <cell r="V26">
            <v>18.278349354146339</v>
          </cell>
          <cell r="W26">
            <v>18.738334304780487</v>
          </cell>
          <cell r="X26">
            <v>19.198319255414631</v>
          </cell>
          <cell r="Y26">
            <v>19.678277236799996</v>
          </cell>
          <cell r="Z26">
            <v>20.170234167719997</v>
          </cell>
          <cell r="AA26">
            <v>20.674490021912995</v>
          </cell>
          <cell r="AB26">
            <v>21.191352272460815</v>
          </cell>
          <cell r="AC26">
            <v>21.721136079272334</v>
          </cell>
          <cell r="AD26">
            <v>22.264164481254138</v>
          </cell>
          <cell r="AE26">
            <v>22.820768593285489</v>
          </cell>
          <cell r="AF26">
            <v>23.391287808117625</v>
          </cell>
          <cell r="AG26">
            <v>23.976070003320565</v>
          </cell>
          <cell r="AH26">
            <v>24.57547175340358</v>
          </cell>
        </row>
        <row r="27">
          <cell r="A27" t="str">
            <v>Ethylene/Propylene Mix</v>
          </cell>
          <cell r="B27" t="str">
            <v>50% of C2 price</v>
          </cell>
          <cell r="C27">
            <v>0</v>
          </cell>
          <cell r="D27" t="str">
            <v>$/ton</v>
          </cell>
          <cell r="E27">
            <v>199.25715480193702</v>
          </cell>
          <cell r="F27">
            <v>170.65807970957903</v>
          </cell>
          <cell r="G27">
            <v>161.7435181753664</v>
          </cell>
          <cell r="H27">
            <v>164.2275578765699</v>
          </cell>
          <cell r="I27">
            <v>162.49831643014019</v>
          </cell>
          <cell r="J27">
            <v>164.41600913824655</v>
          </cell>
          <cell r="K27">
            <v>166.55193141334905</v>
          </cell>
          <cell r="L27">
            <v>168.47181835803477</v>
          </cell>
          <cell r="M27">
            <v>170.73074096195668</v>
          </cell>
          <cell r="N27">
            <v>172.94057235518383</v>
          </cell>
          <cell r="O27">
            <v>176.38592518829313</v>
          </cell>
          <cell r="P27">
            <v>179.60762950135484</v>
          </cell>
          <cell r="Q27">
            <v>182.9005733424149</v>
          </cell>
          <cell r="R27">
            <v>186.3557494357602</v>
          </cell>
          <cell r="S27">
            <v>189.52864884326308</v>
          </cell>
          <cell r="T27">
            <v>193.15582845222801</v>
          </cell>
          <cell r="U27">
            <v>196.81914490034171</v>
          </cell>
          <cell r="V27">
            <v>200.62249209578658</v>
          </cell>
          <cell r="W27">
            <v>204.5230271749904</v>
          </cell>
          <cell r="X27">
            <v>208.38836702545149</v>
          </cell>
          <cell r="Y27">
            <v>212.41394366378853</v>
          </cell>
          <cell r="Z27">
            <v>216.51055640465145</v>
          </cell>
          <cell r="AA27">
            <v>220.67924106776766</v>
          </cell>
          <cell r="AB27">
            <v>224.92104086628675</v>
          </cell>
          <cell r="AC27">
            <v>229.23700612906447</v>
          </cell>
          <cell r="AD27">
            <v>233.62819400443962</v>
          </cell>
          <cell r="AE27">
            <v>238.09566814475286</v>
          </cell>
          <cell r="AF27">
            <v>242.64049837082902</v>
          </cell>
          <cell r="AG27">
            <v>247.26376031561853</v>
          </cell>
          <cell r="AH27">
            <v>251.96653504616575</v>
          </cell>
        </row>
        <row r="28">
          <cell r="A28" t="str">
            <v>C4 Mix</v>
          </cell>
          <cell r="B28" t="str">
            <v>45% of C2 price</v>
          </cell>
          <cell r="C28">
            <v>0</v>
          </cell>
          <cell r="D28" t="str">
            <v>$/ton</v>
          </cell>
          <cell r="E28">
            <v>179.33143932174332</v>
          </cell>
          <cell r="F28">
            <v>153.59227173862112</v>
          </cell>
          <cell r="G28">
            <v>145.56916635782977</v>
          </cell>
          <cell r="H28">
            <v>147.80480208891291</v>
          </cell>
          <cell r="I28">
            <v>146.24848478712619</v>
          </cell>
          <cell r="J28">
            <v>147.97440822442189</v>
          </cell>
          <cell r="K28">
            <v>149.89673827201415</v>
          </cell>
          <cell r="L28">
            <v>151.62463652223127</v>
          </cell>
          <cell r="M28">
            <v>153.65766686576103</v>
          </cell>
          <cell r="N28">
            <v>155.64651511966548</v>
          </cell>
          <cell r="O28">
            <v>158.74733266946382</v>
          </cell>
          <cell r="P28">
            <v>161.64686655121938</v>
          </cell>
          <cell r="Q28">
            <v>164.61051600817342</v>
          </cell>
          <cell r="R28">
            <v>167.72017449218421</v>
          </cell>
          <cell r="S28">
            <v>170.5757839589368</v>
          </cell>
          <cell r="T28">
            <v>173.84024560700522</v>
          </cell>
          <cell r="U28">
            <v>177.13723041030755</v>
          </cell>
          <cell r="V28">
            <v>180.56024288620793</v>
          </cell>
          <cell r="W28">
            <v>184.07072445749139</v>
          </cell>
          <cell r="X28">
            <v>187.54953032290635</v>
          </cell>
          <cell r="Y28">
            <v>191.17254929740966</v>
          </cell>
          <cell r="Z28">
            <v>194.85950076418632</v>
          </cell>
          <cell r="AA28">
            <v>198.61131696099088</v>
          </cell>
          <cell r="AB28">
            <v>202.42893677965807</v>
          </cell>
          <cell r="AC28">
            <v>206.31330551615801</v>
          </cell>
          <cell r="AD28">
            <v>210.26537460399564</v>
          </cell>
          <cell r="AE28">
            <v>214.28610133027757</v>
          </cell>
          <cell r="AF28">
            <v>218.37644853374613</v>
          </cell>
          <cell r="AG28">
            <v>222.53738428405666</v>
          </cell>
          <cell r="AH28">
            <v>226.76988154154918</v>
          </cell>
        </row>
        <row r="29">
          <cell r="A29" t="str">
            <v>C5+ LAO's</v>
          </cell>
          <cell r="B29" t="str">
            <v>150% of C2 price</v>
          </cell>
          <cell r="C29">
            <v>0</v>
          </cell>
          <cell r="D29" t="str">
            <v>$/ton</v>
          </cell>
          <cell r="E29">
            <v>597.771464405811</v>
          </cell>
          <cell r="F29">
            <v>511.97423912873705</v>
          </cell>
          <cell r="G29">
            <v>485.23055452609918</v>
          </cell>
          <cell r="H29">
            <v>492.68267362970971</v>
          </cell>
          <cell r="I29">
            <v>487.49494929042055</v>
          </cell>
          <cell r="J29">
            <v>493.24802741473968</v>
          </cell>
          <cell r="K29">
            <v>499.6557942400471</v>
          </cell>
          <cell r="L29">
            <v>505.41545507410433</v>
          </cell>
          <cell r="M29">
            <v>512.19222288587002</v>
          </cell>
          <cell r="N29">
            <v>518.82171706555152</v>
          </cell>
          <cell r="O29">
            <v>529.15777556487944</v>
          </cell>
          <cell r="P29">
            <v>538.82288850406451</v>
          </cell>
          <cell r="Q29">
            <v>548.70172002724473</v>
          </cell>
          <cell r="R29">
            <v>559.06724830728069</v>
          </cell>
          <cell r="S29">
            <v>568.58594652978923</v>
          </cell>
          <cell r="T29">
            <v>579.46748535668405</v>
          </cell>
          <cell r="U29">
            <v>590.45743470102514</v>
          </cell>
          <cell r="V29">
            <v>601.86747628735975</v>
          </cell>
          <cell r="W29">
            <v>613.56908152497124</v>
          </cell>
          <cell r="X29">
            <v>625.16510107635452</v>
          </cell>
          <cell r="Y29">
            <v>637.24183099136553</v>
          </cell>
          <cell r="Z29">
            <v>649.53166921395439</v>
          </cell>
          <cell r="AA29">
            <v>662.0377232033029</v>
          </cell>
          <cell r="AB29">
            <v>674.76312259886026</v>
          </cell>
          <cell r="AC29">
            <v>687.71101838719346</v>
          </cell>
          <cell r="AD29">
            <v>700.88458201331889</v>
          </cell>
          <cell r="AE29">
            <v>714.28700443425862</v>
          </cell>
          <cell r="AF29">
            <v>727.92149511248704</v>
          </cell>
          <cell r="AG29">
            <v>741.79128094685564</v>
          </cell>
          <cell r="AH29">
            <v>755.89960513849724</v>
          </cell>
        </row>
        <row r="30">
          <cell r="A30" t="str">
            <v>Purge Gas</v>
          </cell>
          <cell r="B30" t="str">
            <v>Methane equivalent</v>
          </cell>
          <cell r="C30">
            <v>0</v>
          </cell>
          <cell r="D30" t="str">
            <v>$/ton</v>
          </cell>
          <cell r="E30">
            <v>0</v>
          </cell>
          <cell r="F30">
            <v>32.679611640000005</v>
          </cell>
          <cell r="G30">
            <v>32.679611640000005</v>
          </cell>
          <cell r="H30">
            <v>32.679611640000005</v>
          </cell>
          <cell r="I30">
            <v>32.679611640000005</v>
          </cell>
          <cell r="J30">
            <v>32.679611640000005</v>
          </cell>
          <cell r="K30">
            <v>32.679611640000005</v>
          </cell>
          <cell r="L30">
            <v>32.679611640000005</v>
          </cell>
          <cell r="M30">
            <v>32.679611640000005</v>
          </cell>
          <cell r="N30">
            <v>32.679611640000005</v>
          </cell>
          <cell r="O30">
            <v>32.679611640000005</v>
          </cell>
          <cell r="P30">
            <v>32.679611640000005</v>
          </cell>
          <cell r="Q30">
            <v>32.679611640000005</v>
          </cell>
          <cell r="R30">
            <v>32.679611640000005</v>
          </cell>
          <cell r="S30">
            <v>32.679611640000005</v>
          </cell>
          <cell r="T30">
            <v>32.679611640000005</v>
          </cell>
          <cell r="U30">
            <v>32.679611640000005</v>
          </cell>
          <cell r="V30">
            <v>32.679611640000005</v>
          </cell>
          <cell r="W30">
            <v>32.679611640000005</v>
          </cell>
          <cell r="X30">
            <v>32.679611640000005</v>
          </cell>
          <cell r="Y30">
            <v>32.679611640000005</v>
          </cell>
          <cell r="Z30">
            <v>32.679611640000005</v>
          </cell>
          <cell r="AA30">
            <v>32.679611640000005</v>
          </cell>
          <cell r="AB30">
            <v>32.679611640000005</v>
          </cell>
          <cell r="AC30">
            <v>32.679611640000005</v>
          </cell>
          <cell r="AD30">
            <v>32.679611640000005</v>
          </cell>
          <cell r="AE30">
            <v>32.679611640000005</v>
          </cell>
          <cell r="AF30">
            <v>32.679611640000005</v>
          </cell>
          <cell r="AG30">
            <v>32.679611640000005</v>
          </cell>
          <cell r="AH30">
            <v>32.679611640000005</v>
          </cell>
        </row>
        <row r="31">
          <cell r="A31" t="str">
            <v>Polymer Freight (Western Europe)</v>
          </cell>
          <cell r="B31">
            <v>0</v>
          </cell>
          <cell r="C31">
            <v>0</v>
          </cell>
          <cell r="D31" t="str">
            <v>$/ton</v>
          </cell>
          <cell r="E31">
            <v>60</v>
          </cell>
          <cell r="F31">
            <v>61.139999999999993</v>
          </cell>
          <cell r="G31">
            <v>62.52</v>
          </cell>
          <cell r="H31">
            <v>64.08</v>
          </cell>
          <cell r="I31">
            <v>65.7</v>
          </cell>
          <cell r="J31">
            <v>67.38</v>
          </cell>
          <cell r="K31">
            <v>69.06</v>
          </cell>
          <cell r="L31">
            <v>70.740000000000009</v>
          </cell>
          <cell r="M31">
            <v>72.540000000000006</v>
          </cell>
          <cell r="N31">
            <v>74.34</v>
          </cell>
          <cell r="O31">
            <v>76.2</v>
          </cell>
          <cell r="P31">
            <v>78.12</v>
          </cell>
          <cell r="Q31">
            <v>80.040000000000006</v>
          </cell>
          <cell r="R31">
            <v>82.080000000000013</v>
          </cell>
          <cell r="S31">
            <v>84.11999999999999</v>
          </cell>
          <cell r="T31">
            <v>86.22</v>
          </cell>
          <cell r="U31">
            <v>88.38000000000001</v>
          </cell>
          <cell r="V31">
            <v>90.6</v>
          </cell>
          <cell r="W31">
            <v>92.88</v>
          </cell>
          <cell r="X31">
            <v>95.160000000000011</v>
          </cell>
          <cell r="Y31">
            <v>97.539000000000001</v>
          </cell>
          <cell r="Z31">
            <v>99.977474999999998</v>
          </cell>
          <cell r="AA31">
            <v>102.47691187499998</v>
          </cell>
          <cell r="AB31">
            <v>105.03883467187497</v>
          </cell>
          <cell r="AC31">
            <v>107.66480553867183</v>
          </cell>
          <cell r="AD31">
            <v>110.35642567713862</v>
          </cell>
          <cell r="AE31">
            <v>113.11533631906707</v>
          </cell>
          <cell r="AF31">
            <v>115.94321972704374</v>
          </cell>
          <cell r="AG31">
            <v>118.84180022021982</v>
          </cell>
          <cell r="AH31">
            <v>121.81284522572531</v>
          </cell>
        </row>
        <row r="32">
          <cell r="A32" t="str">
            <v>Polymer Freight (East Asia)</v>
          </cell>
          <cell r="B32">
            <v>0</v>
          </cell>
          <cell r="C32">
            <v>0</v>
          </cell>
          <cell r="D32" t="str">
            <v>$/ton</v>
          </cell>
          <cell r="E32">
            <v>56</v>
          </cell>
          <cell r="F32">
            <v>57.063999999999993</v>
          </cell>
          <cell r="G32">
            <v>58.352000000000004</v>
          </cell>
          <cell r="H32">
            <v>59.808000000000007</v>
          </cell>
          <cell r="I32">
            <v>61.32</v>
          </cell>
          <cell r="J32">
            <v>62.887999999999998</v>
          </cell>
          <cell r="K32">
            <v>64.456000000000003</v>
          </cell>
          <cell r="L32">
            <v>66.024000000000001</v>
          </cell>
          <cell r="M32">
            <v>67.704000000000008</v>
          </cell>
          <cell r="N32">
            <v>69.384</v>
          </cell>
          <cell r="O32">
            <v>71.12</v>
          </cell>
          <cell r="P32">
            <v>72.912000000000006</v>
          </cell>
          <cell r="Q32">
            <v>74.704000000000008</v>
          </cell>
          <cell r="R32">
            <v>76.608000000000004</v>
          </cell>
          <cell r="S32">
            <v>78.512</v>
          </cell>
          <cell r="T32">
            <v>80.472000000000008</v>
          </cell>
          <cell r="U32">
            <v>82.488</v>
          </cell>
          <cell r="V32">
            <v>84.56</v>
          </cell>
          <cell r="W32">
            <v>86.688000000000002</v>
          </cell>
          <cell r="X32">
            <v>88.816000000000003</v>
          </cell>
          <cell r="Y32">
            <v>91.0364</v>
          </cell>
          <cell r="Z32">
            <v>93.312309999999997</v>
          </cell>
          <cell r="AA32">
            <v>95.645117749999983</v>
          </cell>
          <cell r="AB32">
            <v>98.036245693749976</v>
          </cell>
          <cell r="AC32">
            <v>100.48715183609372</v>
          </cell>
          <cell r="AD32">
            <v>102.99933063199605</v>
          </cell>
          <cell r="AE32">
            <v>105.57431389779593</v>
          </cell>
          <cell r="AF32">
            <v>108.21367174524082</v>
          </cell>
          <cell r="AG32">
            <v>110.91901353887184</v>
          </cell>
          <cell r="AH32">
            <v>113.69198887734363</v>
          </cell>
        </row>
        <row r="33">
          <cell r="A33" t="str">
            <v>Polymer Freight (West Asia)</v>
          </cell>
          <cell r="B33">
            <v>0</v>
          </cell>
          <cell r="C33">
            <v>0</v>
          </cell>
          <cell r="D33" t="str">
            <v>$/ton</v>
          </cell>
          <cell r="E33">
            <v>40</v>
          </cell>
          <cell r="F33">
            <v>40.76</v>
          </cell>
          <cell r="G33">
            <v>41.68</v>
          </cell>
          <cell r="H33">
            <v>42.72</v>
          </cell>
          <cell r="I33">
            <v>43.8</v>
          </cell>
          <cell r="J33">
            <v>44.92</v>
          </cell>
          <cell r="K33">
            <v>46.04</v>
          </cell>
          <cell r="L33">
            <v>47.160000000000004</v>
          </cell>
          <cell r="M33">
            <v>48.36</v>
          </cell>
          <cell r="N33">
            <v>49.56</v>
          </cell>
          <cell r="O33">
            <v>50.8</v>
          </cell>
          <cell r="P33">
            <v>52.08</v>
          </cell>
          <cell r="Q33">
            <v>53.36</v>
          </cell>
          <cell r="R33">
            <v>54.720000000000006</v>
          </cell>
          <cell r="S33">
            <v>56.08</v>
          </cell>
          <cell r="T33">
            <v>57.480000000000004</v>
          </cell>
          <cell r="U33">
            <v>58.92</v>
          </cell>
          <cell r="V33">
            <v>60.4</v>
          </cell>
          <cell r="W33">
            <v>61.92</v>
          </cell>
          <cell r="X33">
            <v>63.440000000000005</v>
          </cell>
          <cell r="Y33">
            <v>65.025999999999996</v>
          </cell>
          <cell r="Z33">
            <v>66.651650000000004</v>
          </cell>
          <cell r="AA33">
            <v>68.31794124999999</v>
          </cell>
          <cell r="AB33">
            <v>70.025889781249987</v>
          </cell>
          <cell r="AC33">
            <v>71.776537025781224</v>
          </cell>
          <cell r="AD33">
            <v>73.570950451425745</v>
          </cell>
          <cell r="AE33">
            <v>75.410224212711384</v>
          </cell>
          <cell r="AF33">
            <v>77.29547981802915</v>
          </cell>
          <cell r="AG33">
            <v>79.227866813479878</v>
          </cell>
          <cell r="AH33">
            <v>81.208563483816874</v>
          </cell>
        </row>
        <row r="34">
          <cell r="A34" t="str">
            <v>Polymer Freight (Iran)</v>
          </cell>
          <cell r="B34">
            <v>0</v>
          </cell>
          <cell r="C34">
            <v>0</v>
          </cell>
          <cell r="D34" t="str">
            <v>$/ton</v>
          </cell>
          <cell r="E34">
            <v>20</v>
          </cell>
          <cell r="F34">
            <v>20.38</v>
          </cell>
          <cell r="G34">
            <v>20.84</v>
          </cell>
          <cell r="H34">
            <v>21.36</v>
          </cell>
          <cell r="I34">
            <v>21.9</v>
          </cell>
          <cell r="J34">
            <v>22.46</v>
          </cell>
          <cell r="K34">
            <v>23.02</v>
          </cell>
          <cell r="L34">
            <v>23.580000000000002</v>
          </cell>
          <cell r="M34">
            <v>24.18</v>
          </cell>
          <cell r="N34">
            <v>24.78</v>
          </cell>
          <cell r="O34">
            <v>25.4</v>
          </cell>
          <cell r="P34">
            <v>26.04</v>
          </cell>
          <cell r="Q34">
            <v>26.68</v>
          </cell>
          <cell r="R34">
            <v>27.360000000000003</v>
          </cell>
          <cell r="S34">
            <v>28.04</v>
          </cell>
          <cell r="T34">
            <v>28.740000000000002</v>
          </cell>
          <cell r="U34">
            <v>29.46</v>
          </cell>
          <cell r="V34">
            <v>30.2</v>
          </cell>
          <cell r="W34">
            <v>30.96</v>
          </cell>
          <cell r="X34">
            <v>31.720000000000002</v>
          </cell>
          <cell r="Y34">
            <v>32.512999999999998</v>
          </cell>
          <cell r="Z34">
            <v>33.325825000000002</v>
          </cell>
          <cell r="AA34">
            <v>34.158970624999995</v>
          </cell>
          <cell r="AB34">
            <v>35.012944890624993</v>
          </cell>
          <cell r="AC34">
            <v>35.888268512890612</v>
          </cell>
          <cell r="AD34">
            <v>36.785475225712872</v>
          </cell>
          <cell r="AE34">
            <v>37.705112106355692</v>
          </cell>
          <cell r="AF34">
            <v>38.647739909014575</v>
          </cell>
          <cell r="AG34">
            <v>39.613933406739939</v>
          </cell>
          <cell r="AH34">
            <v>40.604281741908437</v>
          </cell>
        </row>
        <row r="35">
          <cell r="A35" t="str">
            <v>MEG Freight (Western Europe)</v>
          </cell>
          <cell r="B35">
            <v>0</v>
          </cell>
          <cell r="C35">
            <v>0</v>
          </cell>
          <cell r="D35" t="str">
            <v>$/ton</v>
          </cell>
          <cell r="E35">
            <v>67</v>
          </cell>
          <cell r="F35">
            <v>68.272999999999996</v>
          </cell>
          <cell r="G35">
            <v>69.814000000000007</v>
          </cell>
          <cell r="H35">
            <v>71.555999999999997</v>
          </cell>
          <cell r="I35">
            <v>73.364999999999995</v>
          </cell>
          <cell r="J35">
            <v>75.241</v>
          </cell>
          <cell r="K35">
            <v>77.117000000000004</v>
          </cell>
          <cell r="L35">
            <v>78.993000000000009</v>
          </cell>
          <cell r="M35">
            <v>81.003</v>
          </cell>
          <cell r="N35">
            <v>83.013000000000005</v>
          </cell>
          <cell r="O35">
            <v>85.09</v>
          </cell>
          <cell r="P35">
            <v>87.234000000000009</v>
          </cell>
          <cell r="Q35">
            <v>89.378</v>
          </cell>
          <cell r="R35">
            <v>91.656000000000006</v>
          </cell>
          <cell r="S35">
            <v>93.933999999999997</v>
          </cell>
          <cell r="T35">
            <v>96.279000000000011</v>
          </cell>
          <cell r="U35">
            <v>98.691000000000003</v>
          </cell>
          <cell r="V35">
            <v>101.17</v>
          </cell>
          <cell r="W35">
            <v>103.71600000000001</v>
          </cell>
          <cell r="X35">
            <v>106.262</v>
          </cell>
          <cell r="Y35">
            <v>108.91855</v>
          </cell>
          <cell r="Z35">
            <v>111.64151375</v>
          </cell>
          <cell r="AA35">
            <v>114.43255159374999</v>
          </cell>
          <cell r="AB35">
            <v>117.29336538359372</v>
          </cell>
          <cell r="AC35">
            <v>120.22569951818355</v>
          </cell>
          <cell r="AD35">
            <v>123.23134200613812</v>
          </cell>
          <cell r="AE35">
            <v>126.31212555629156</v>
          </cell>
          <cell r="AF35">
            <v>129.46992869519883</v>
          </cell>
          <cell r="AG35">
            <v>132.70667691257881</v>
          </cell>
          <cell r="AH35">
            <v>136.02434383539327</v>
          </cell>
        </row>
        <row r="36">
          <cell r="A36" t="str">
            <v>MEG Freight (East Asia)</v>
          </cell>
          <cell r="B36">
            <v>0</v>
          </cell>
          <cell r="C36">
            <v>0</v>
          </cell>
          <cell r="D36" t="str">
            <v>$/ton</v>
          </cell>
          <cell r="E36">
            <v>45</v>
          </cell>
          <cell r="F36">
            <v>45.854999999999997</v>
          </cell>
          <cell r="G36">
            <v>46.89</v>
          </cell>
          <cell r="H36">
            <v>48.06</v>
          </cell>
          <cell r="I36">
            <v>49.274999999999999</v>
          </cell>
          <cell r="J36">
            <v>50.534999999999997</v>
          </cell>
          <cell r="K36">
            <v>51.795000000000002</v>
          </cell>
          <cell r="L36">
            <v>53.055</v>
          </cell>
          <cell r="M36">
            <v>54.405000000000001</v>
          </cell>
          <cell r="N36">
            <v>55.755000000000003</v>
          </cell>
          <cell r="O36">
            <v>57.15</v>
          </cell>
          <cell r="P36">
            <v>58.59</v>
          </cell>
          <cell r="Q36">
            <v>60.03</v>
          </cell>
          <cell r="R36">
            <v>61.56</v>
          </cell>
          <cell r="S36">
            <v>63.089999999999996</v>
          </cell>
          <cell r="T36">
            <v>64.665000000000006</v>
          </cell>
          <cell r="U36">
            <v>66.285000000000011</v>
          </cell>
          <cell r="V36">
            <v>67.95</v>
          </cell>
          <cell r="W36">
            <v>69.66</v>
          </cell>
          <cell r="X36">
            <v>71.37</v>
          </cell>
          <cell r="Y36">
            <v>73.154250000000005</v>
          </cell>
          <cell r="Z36">
            <v>74.983106250000006</v>
          </cell>
          <cell r="AA36">
            <v>76.857683906249989</v>
          </cell>
          <cell r="AB36">
            <v>78.779126003906228</v>
          </cell>
          <cell r="AC36">
            <v>80.748604154003871</v>
          </cell>
          <cell r="AD36">
            <v>82.767319257853956</v>
          </cell>
          <cell r="AE36">
            <v>84.836502239300302</v>
          </cell>
          <cell r="AF36">
            <v>86.957414795282801</v>
          </cell>
          <cell r="AG36">
            <v>89.131350165164861</v>
          </cell>
          <cell r="AH36">
            <v>91.359633919293984</v>
          </cell>
        </row>
        <row r="37">
          <cell r="A37" t="str">
            <v>MEG Freight (West Asia)</v>
          </cell>
          <cell r="B37">
            <v>0</v>
          </cell>
          <cell r="C37">
            <v>0</v>
          </cell>
          <cell r="D37" t="str">
            <v>$/ton</v>
          </cell>
          <cell r="E37">
            <v>40</v>
          </cell>
          <cell r="F37">
            <v>40.76</v>
          </cell>
          <cell r="G37">
            <v>41.68</v>
          </cell>
          <cell r="H37">
            <v>42.72</v>
          </cell>
          <cell r="I37">
            <v>43.8</v>
          </cell>
          <cell r="J37">
            <v>44.92</v>
          </cell>
          <cell r="K37">
            <v>46.04</v>
          </cell>
          <cell r="L37">
            <v>47.160000000000004</v>
          </cell>
          <cell r="M37">
            <v>48.36</v>
          </cell>
          <cell r="N37">
            <v>49.56</v>
          </cell>
          <cell r="O37">
            <v>50.8</v>
          </cell>
          <cell r="P37">
            <v>52.08</v>
          </cell>
          <cell r="Q37">
            <v>53.36</v>
          </cell>
          <cell r="R37">
            <v>54.720000000000006</v>
          </cell>
          <cell r="S37">
            <v>56.08</v>
          </cell>
          <cell r="T37">
            <v>57.480000000000004</v>
          </cell>
          <cell r="U37">
            <v>58.92</v>
          </cell>
          <cell r="V37">
            <v>60.4</v>
          </cell>
          <cell r="W37">
            <v>61.92</v>
          </cell>
          <cell r="X37">
            <v>63.440000000000005</v>
          </cell>
          <cell r="Y37">
            <v>65.025999999999996</v>
          </cell>
          <cell r="Z37">
            <v>66.651650000000004</v>
          </cell>
          <cell r="AA37">
            <v>68.31794124999999</v>
          </cell>
          <cell r="AB37">
            <v>70.025889781249987</v>
          </cell>
          <cell r="AC37">
            <v>71.776537025781224</v>
          </cell>
          <cell r="AD37">
            <v>73.570950451425745</v>
          </cell>
          <cell r="AE37">
            <v>75.410224212711384</v>
          </cell>
          <cell r="AF37">
            <v>77.29547981802915</v>
          </cell>
          <cell r="AG37">
            <v>79.227866813479878</v>
          </cell>
          <cell r="AH37">
            <v>81.208563483816874</v>
          </cell>
        </row>
        <row r="38">
          <cell r="A38" t="str">
            <v>MEG Freight (Iran)</v>
          </cell>
          <cell r="B38">
            <v>0</v>
          </cell>
          <cell r="C38">
            <v>0</v>
          </cell>
          <cell r="D38" t="str">
            <v>$/ton</v>
          </cell>
          <cell r="E38">
            <v>20</v>
          </cell>
          <cell r="F38">
            <v>20.38</v>
          </cell>
          <cell r="G38">
            <v>20.84</v>
          </cell>
          <cell r="H38">
            <v>21.36</v>
          </cell>
          <cell r="I38">
            <v>21.9</v>
          </cell>
          <cell r="J38">
            <v>22.46</v>
          </cell>
          <cell r="K38">
            <v>23.02</v>
          </cell>
          <cell r="L38">
            <v>23.580000000000002</v>
          </cell>
          <cell r="M38">
            <v>24.18</v>
          </cell>
          <cell r="N38">
            <v>24.78</v>
          </cell>
          <cell r="O38">
            <v>25.4</v>
          </cell>
          <cell r="P38">
            <v>26.04</v>
          </cell>
          <cell r="Q38">
            <v>26.68</v>
          </cell>
          <cell r="R38">
            <v>27.360000000000003</v>
          </cell>
          <cell r="S38">
            <v>28.04</v>
          </cell>
          <cell r="T38">
            <v>28.740000000000002</v>
          </cell>
          <cell r="U38">
            <v>29.46</v>
          </cell>
          <cell r="V38">
            <v>30.2</v>
          </cell>
          <cell r="W38">
            <v>30.96</v>
          </cell>
          <cell r="X38">
            <v>31.720000000000002</v>
          </cell>
          <cell r="Y38">
            <v>32.512999999999998</v>
          </cell>
          <cell r="Z38">
            <v>33.325825000000002</v>
          </cell>
          <cell r="AA38">
            <v>34.158970624999995</v>
          </cell>
          <cell r="AB38">
            <v>35.012944890624993</v>
          </cell>
          <cell r="AC38">
            <v>35.888268512890612</v>
          </cell>
          <cell r="AD38">
            <v>36.785475225712872</v>
          </cell>
          <cell r="AE38">
            <v>37.705112106355692</v>
          </cell>
          <cell r="AF38">
            <v>38.647739909014575</v>
          </cell>
          <cell r="AG38">
            <v>39.613933406739939</v>
          </cell>
          <cell r="AH38">
            <v>40.604281741908437</v>
          </cell>
        </row>
        <row r="39">
          <cell r="A39" t="str">
            <v>Styrene Freight (Western Europe)</v>
          </cell>
          <cell r="B39">
            <v>0</v>
          </cell>
          <cell r="C39">
            <v>0</v>
          </cell>
          <cell r="D39" t="str">
            <v>$/ton</v>
          </cell>
          <cell r="E39">
            <v>70</v>
          </cell>
          <cell r="F39">
            <v>71.33</v>
          </cell>
          <cell r="G39">
            <v>72.94</v>
          </cell>
          <cell r="H39">
            <v>74.760000000000005</v>
          </cell>
          <cell r="I39">
            <v>76.649999999999991</v>
          </cell>
          <cell r="J39">
            <v>78.61</v>
          </cell>
          <cell r="K39">
            <v>80.570000000000007</v>
          </cell>
          <cell r="L39">
            <v>82.53</v>
          </cell>
          <cell r="M39">
            <v>84.63000000000001</v>
          </cell>
          <cell r="N39">
            <v>86.73</v>
          </cell>
          <cell r="O39">
            <v>88.9</v>
          </cell>
          <cell r="P39">
            <v>91.14</v>
          </cell>
          <cell r="Q39">
            <v>93.38000000000001</v>
          </cell>
          <cell r="R39">
            <v>95.76</v>
          </cell>
          <cell r="S39">
            <v>98.14</v>
          </cell>
          <cell r="T39">
            <v>100.59</v>
          </cell>
          <cell r="U39">
            <v>103.11</v>
          </cell>
          <cell r="V39">
            <v>105.7</v>
          </cell>
          <cell r="W39">
            <v>108.36</v>
          </cell>
          <cell r="X39">
            <v>111.02000000000001</v>
          </cell>
          <cell r="Y39">
            <v>113.7955</v>
          </cell>
          <cell r="Z39">
            <v>116.6403875</v>
          </cell>
          <cell r="AA39">
            <v>119.55639718749998</v>
          </cell>
          <cell r="AB39">
            <v>122.54530711718746</v>
          </cell>
          <cell r="AC39">
            <v>125.60893979511714</v>
          </cell>
          <cell r="AD39">
            <v>128.74916328999504</v>
          </cell>
          <cell r="AE39">
            <v>131.9678923722449</v>
          </cell>
          <cell r="AF39">
            <v>135.26708968155103</v>
          </cell>
          <cell r="AG39">
            <v>138.64876692358979</v>
          </cell>
          <cell r="AH39">
            <v>142.11498609667953</v>
          </cell>
        </row>
        <row r="40">
          <cell r="A40" t="str">
            <v>Styrene Freight (East Asia)</v>
          </cell>
          <cell r="B40">
            <v>0</v>
          </cell>
          <cell r="C40">
            <v>0</v>
          </cell>
          <cell r="D40" t="str">
            <v>$/ton</v>
          </cell>
          <cell r="E40">
            <v>47</v>
          </cell>
          <cell r="F40">
            <v>47.892999999999994</v>
          </cell>
          <cell r="G40">
            <v>48.974000000000004</v>
          </cell>
          <cell r="H40">
            <v>50.196000000000005</v>
          </cell>
          <cell r="I40">
            <v>51.464999999999996</v>
          </cell>
          <cell r="J40">
            <v>52.780999999999999</v>
          </cell>
          <cell r="K40">
            <v>54.097000000000001</v>
          </cell>
          <cell r="L40">
            <v>55.413000000000004</v>
          </cell>
          <cell r="M40">
            <v>56.823</v>
          </cell>
          <cell r="N40">
            <v>58.233000000000004</v>
          </cell>
          <cell r="O40">
            <v>59.69</v>
          </cell>
          <cell r="P40">
            <v>61.194000000000003</v>
          </cell>
          <cell r="Q40">
            <v>62.698</v>
          </cell>
          <cell r="R40">
            <v>64.296000000000006</v>
          </cell>
          <cell r="S40">
            <v>65.893999999999991</v>
          </cell>
          <cell r="T40">
            <v>67.539000000000001</v>
          </cell>
          <cell r="U40">
            <v>69.231000000000009</v>
          </cell>
          <cell r="V40">
            <v>70.97</v>
          </cell>
          <cell r="W40">
            <v>72.756</v>
          </cell>
          <cell r="X40">
            <v>74.542000000000002</v>
          </cell>
          <cell r="Y40">
            <v>76.405550000000005</v>
          </cell>
          <cell r="Z40">
            <v>78.315688750000007</v>
          </cell>
          <cell r="AA40">
            <v>80.273580968749997</v>
          </cell>
          <cell r="AB40">
            <v>82.28042049296873</v>
          </cell>
          <cell r="AC40">
            <v>84.337431005292942</v>
          </cell>
          <cell r="AD40">
            <v>86.445866780425249</v>
          </cell>
          <cell r="AE40">
            <v>88.607013449935863</v>
          </cell>
          <cell r="AF40">
            <v>90.822188786184256</v>
          </cell>
          <cell r="AG40">
            <v>93.092743505838854</v>
          </cell>
          <cell r="AH40">
            <v>95.42006209348483</v>
          </cell>
        </row>
        <row r="41">
          <cell r="A41" t="str">
            <v>Styrene Freight (West Asia)</v>
          </cell>
          <cell r="B41">
            <v>0</v>
          </cell>
          <cell r="C41">
            <v>0</v>
          </cell>
          <cell r="D41" t="str">
            <v>$/ton</v>
          </cell>
          <cell r="E41">
            <v>42</v>
          </cell>
          <cell r="F41">
            <v>42.797999999999995</v>
          </cell>
          <cell r="G41">
            <v>43.764000000000003</v>
          </cell>
          <cell r="H41">
            <v>44.856000000000002</v>
          </cell>
          <cell r="I41">
            <v>45.99</v>
          </cell>
          <cell r="J41">
            <v>47.165999999999997</v>
          </cell>
          <cell r="K41">
            <v>48.341999999999999</v>
          </cell>
          <cell r="L41">
            <v>49.518000000000001</v>
          </cell>
          <cell r="M41">
            <v>50.778000000000006</v>
          </cell>
          <cell r="N41">
            <v>52.038000000000004</v>
          </cell>
          <cell r="O41">
            <v>53.34</v>
          </cell>
          <cell r="P41">
            <v>54.684000000000005</v>
          </cell>
          <cell r="Q41">
            <v>56.028000000000006</v>
          </cell>
          <cell r="R41">
            <v>57.456000000000003</v>
          </cell>
          <cell r="S41">
            <v>58.883999999999993</v>
          </cell>
          <cell r="T41">
            <v>60.353999999999999</v>
          </cell>
          <cell r="U41">
            <v>61.866000000000007</v>
          </cell>
          <cell r="V41">
            <v>63.42</v>
          </cell>
          <cell r="W41">
            <v>65.016000000000005</v>
          </cell>
          <cell r="X41">
            <v>66.612000000000009</v>
          </cell>
          <cell r="Y41">
            <v>68.277299999999997</v>
          </cell>
          <cell r="Z41">
            <v>69.984232500000005</v>
          </cell>
          <cell r="AA41">
            <v>71.733838312499998</v>
          </cell>
          <cell r="AB41">
            <v>73.527184270312475</v>
          </cell>
          <cell r="AC41">
            <v>75.36536387707028</v>
          </cell>
          <cell r="AD41">
            <v>77.249497973997023</v>
          </cell>
          <cell r="AE41">
            <v>79.180735423346945</v>
          </cell>
          <cell r="AF41">
            <v>81.160253808930619</v>
          </cell>
          <cell r="AG41">
            <v>83.189260154153871</v>
          </cell>
          <cell r="AH41">
            <v>85.268991658007721</v>
          </cell>
        </row>
        <row r="42">
          <cell r="A42" t="str">
            <v>Styrene Freight (Iran)</v>
          </cell>
          <cell r="B42">
            <v>0</v>
          </cell>
          <cell r="C42">
            <v>0</v>
          </cell>
          <cell r="D42" t="str">
            <v>$/ton</v>
          </cell>
          <cell r="E42">
            <v>21.5</v>
          </cell>
          <cell r="F42">
            <v>21.908499999999997</v>
          </cell>
          <cell r="G42">
            <v>22.403000000000002</v>
          </cell>
          <cell r="H42">
            <v>22.962</v>
          </cell>
          <cell r="I42">
            <v>23.5425</v>
          </cell>
          <cell r="J42">
            <v>24.144500000000001</v>
          </cell>
          <cell r="K42">
            <v>24.746500000000001</v>
          </cell>
          <cell r="L42">
            <v>25.348500000000001</v>
          </cell>
          <cell r="M42">
            <v>25.993500000000001</v>
          </cell>
          <cell r="N42">
            <v>26.638500000000001</v>
          </cell>
          <cell r="O42">
            <v>27.305</v>
          </cell>
          <cell r="P42">
            <v>27.993000000000002</v>
          </cell>
          <cell r="Q42">
            <v>28.681000000000001</v>
          </cell>
          <cell r="R42">
            <v>29.412000000000003</v>
          </cell>
          <cell r="S42">
            <v>30.142999999999997</v>
          </cell>
          <cell r="T42">
            <v>30.895500000000002</v>
          </cell>
          <cell r="U42">
            <v>31.669500000000003</v>
          </cell>
          <cell r="V42">
            <v>32.465000000000003</v>
          </cell>
          <cell r="W42">
            <v>33.282000000000004</v>
          </cell>
          <cell r="X42">
            <v>34.099000000000004</v>
          </cell>
          <cell r="Y42">
            <v>34.951475000000002</v>
          </cell>
          <cell r="Z42">
            <v>35.825261875000002</v>
          </cell>
          <cell r="AA42">
            <v>36.720893421874997</v>
          </cell>
          <cell r="AB42">
            <v>37.638915757421863</v>
          </cell>
          <cell r="AC42">
            <v>38.579888651357408</v>
          </cell>
          <cell r="AD42">
            <v>39.544385867641338</v>
          </cell>
          <cell r="AE42">
            <v>40.532995514332363</v>
          </cell>
          <cell r="AF42">
            <v>41.546320402190673</v>
          </cell>
          <cell r="AG42">
            <v>42.584978412245434</v>
          </cell>
          <cell r="AH42">
            <v>43.649602872551569</v>
          </cell>
        </row>
        <row r="43">
          <cell r="A43" t="str">
            <v>Packaging</v>
          </cell>
          <cell r="B43">
            <v>0</v>
          </cell>
          <cell r="C43">
            <v>0</v>
          </cell>
          <cell r="D43" t="str">
            <v>$/ton</v>
          </cell>
          <cell r="E43">
            <v>15</v>
          </cell>
          <cell r="F43">
            <v>15.284999999999998</v>
          </cell>
          <cell r="G43">
            <v>15.63</v>
          </cell>
          <cell r="H43">
            <v>16.02</v>
          </cell>
          <cell r="I43">
            <v>16.425000000000001</v>
          </cell>
          <cell r="J43">
            <v>16.844999999999999</v>
          </cell>
          <cell r="K43">
            <v>17.265000000000001</v>
          </cell>
          <cell r="L43">
            <v>17.685000000000002</v>
          </cell>
          <cell r="M43">
            <v>18.135000000000002</v>
          </cell>
          <cell r="N43">
            <v>18.585000000000001</v>
          </cell>
          <cell r="O43">
            <v>19.05</v>
          </cell>
          <cell r="P43">
            <v>19.53</v>
          </cell>
          <cell r="Q43">
            <v>20.010000000000002</v>
          </cell>
          <cell r="R43">
            <v>20.520000000000003</v>
          </cell>
          <cell r="S43">
            <v>21.029999999999998</v>
          </cell>
          <cell r="T43">
            <v>21.555</v>
          </cell>
          <cell r="U43">
            <v>22.095000000000002</v>
          </cell>
          <cell r="V43">
            <v>22.65</v>
          </cell>
          <cell r="W43">
            <v>23.22</v>
          </cell>
          <cell r="X43">
            <v>23.790000000000003</v>
          </cell>
          <cell r="Y43">
            <v>24.38475</v>
          </cell>
          <cell r="Z43">
            <v>24.99436875</v>
          </cell>
          <cell r="AA43">
            <v>25.619227968749996</v>
          </cell>
          <cell r="AB43">
            <v>26.259708667968741</v>
          </cell>
          <cell r="AC43">
            <v>26.916201384667957</v>
          </cell>
          <cell r="AD43">
            <v>27.589106419284654</v>
          </cell>
          <cell r="AE43">
            <v>28.278834079766767</v>
          </cell>
          <cell r="AF43">
            <v>28.985804931760935</v>
          </cell>
          <cell r="AG43">
            <v>29.710450055054956</v>
          </cell>
          <cell r="AH43">
            <v>30.453211306431328</v>
          </cell>
        </row>
        <row r="44">
          <cell r="A44" t="str">
            <v>Sales Support (LLDPE)</v>
          </cell>
          <cell r="B44">
            <v>0</v>
          </cell>
          <cell r="C44">
            <v>0</v>
          </cell>
          <cell r="D44" t="str">
            <v>$/ton</v>
          </cell>
          <cell r="E44">
            <v>28.337500000000002</v>
          </cell>
          <cell r="F44">
            <v>27.054449999999999</v>
          </cell>
          <cell r="G44">
            <v>32.823</v>
          </cell>
          <cell r="H44">
            <v>33.588600000000007</v>
          </cell>
          <cell r="I44">
            <v>34.4925</v>
          </cell>
          <cell r="J44">
            <v>34.9253</v>
          </cell>
          <cell r="K44">
            <v>35.335700000000003</v>
          </cell>
          <cell r="L44">
            <v>35.782650000000004</v>
          </cell>
          <cell r="M44">
            <v>36.209550000000007</v>
          </cell>
          <cell r="N44">
            <v>36.612450000000003</v>
          </cell>
          <cell r="O44">
            <v>37.147500000000001</v>
          </cell>
          <cell r="P44">
            <v>37.758000000000003</v>
          </cell>
          <cell r="Q44">
            <v>38.352499999999999</v>
          </cell>
          <cell r="R44">
            <v>38.988</v>
          </cell>
          <cell r="S44">
            <v>39.606499999999997</v>
          </cell>
          <cell r="T44">
            <v>40.236000000000004</v>
          </cell>
          <cell r="U44">
            <v>40.949400000000004</v>
          </cell>
          <cell r="V44">
            <v>41.600500000000004</v>
          </cell>
          <cell r="W44">
            <v>42.260400000000004</v>
          </cell>
          <cell r="X44">
            <v>42.901300000000006</v>
          </cell>
          <cell r="Y44">
            <v>43.571141726190483</v>
          </cell>
          <cell r="Z44">
            <v>44.251442061750502</v>
          </cell>
          <cell r="AA44">
            <v>44.942364302732962</v>
          </cell>
          <cell r="AB44">
            <v>45.644074294822332</v>
          </cell>
          <cell r="AC44">
            <v>46.356740473143482</v>
          </cell>
          <cell r="AD44">
            <v>47.080533902692096</v>
          </cell>
          <cell r="AE44">
            <v>47.815628319396204</v>
          </cell>
          <cell r="AF44">
            <v>48.562200171818994</v>
          </cell>
          <cell r="AG44">
            <v>49.320428663512679</v>
          </cell>
          <cell r="AH44">
            <v>50.090495796033636</v>
          </cell>
        </row>
        <row r="45">
          <cell r="A45" t="str">
            <v>Sales Support (HDPE)</v>
          </cell>
          <cell r="B45">
            <v>0</v>
          </cell>
          <cell r="C45">
            <v>0</v>
          </cell>
          <cell r="D45" t="str">
            <v>$/ton</v>
          </cell>
          <cell r="E45">
            <v>28.911500000000004</v>
          </cell>
          <cell r="F45">
            <v>25.627849999999999</v>
          </cell>
          <cell r="G45">
            <v>31.364200000000004</v>
          </cell>
          <cell r="H45">
            <v>32.146800000000006</v>
          </cell>
          <cell r="I45">
            <v>33.014250000000004</v>
          </cell>
          <cell r="J45">
            <v>33.40925</v>
          </cell>
          <cell r="K45">
            <v>33.781850000000006</v>
          </cell>
          <cell r="L45">
            <v>34.249950000000005</v>
          </cell>
          <cell r="M45">
            <v>34.577400000000004</v>
          </cell>
          <cell r="N45">
            <v>34.939800000000005</v>
          </cell>
          <cell r="O45">
            <v>35.496500000000005</v>
          </cell>
          <cell r="P45">
            <v>36.000300000000003</v>
          </cell>
          <cell r="Q45">
            <v>36.618300000000005</v>
          </cell>
          <cell r="R45">
            <v>37.141200000000005</v>
          </cell>
          <cell r="S45">
            <v>37.713799999999999</v>
          </cell>
          <cell r="T45">
            <v>38.296050000000001</v>
          </cell>
          <cell r="U45">
            <v>38.960850000000008</v>
          </cell>
          <cell r="V45">
            <v>39.562000000000005</v>
          </cell>
          <cell r="W45">
            <v>40.170600000000007</v>
          </cell>
          <cell r="X45">
            <v>40.760200000000005</v>
          </cell>
          <cell r="Y45">
            <v>41.37670784200386</v>
          </cell>
          <cell r="Z45">
            <v>42.002540513602568</v>
          </cell>
          <cell r="AA45">
            <v>42.637839055089621</v>
          </cell>
          <cell r="AB45">
            <v>43.2827466400269</v>
          </cell>
          <cell r="AC45">
            <v>43.937408607510925</v>
          </cell>
          <cell r="AD45">
            <v>44.601972494927026</v>
          </cell>
          <cell r="AE45">
            <v>45.276588071199029</v>
          </cell>
          <cell r="AF45">
            <v>45.961407370541821</v>
          </cell>
          <cell r="AG45">
            <v>46.656584726724383</v>
          </cell>
          <cell r="AH45">
            <v>47.362276807851131</v>
          </cell>
        </row>
        <row r="46">
          <cell r="A46" t="str">
            <v>Sales Support (MEG)</v>
          </cell>
          <cell r="B46">
            <v>0</v>
          </cell>
          <cell r="C46">
            <v>0</v>
          </cell>
          <cell r="D46" t="str">
            <v>$/ton</v>
          </cell>
          <cell r="E46">
            <v>12.949374899999999</v>
          </cell>
          <cell r="F46">
            <v>12.289139999999998</v>
          </cell>
          <cell r="G46">
            <v>14.25456</v>
          </cell>
          <cell r="H46">
            <v>13.200480000000001</v>
          </cell>
          <cell r="I46">
            <v>13.567049999999998</v>
          </cell>
          <cell r="J46">
            <v>13.711829999999999</v>
          </cell>
          <cell r="K46">
            <v>13.84653</v>
          </cell>
          <cell r="L46">
            <v>14.00652</v>
          </cell>
          <cell r="M46">
            <v>14.181570000000001</v>
          </cell>
          <cell r="N46">
            <v>14.310449999999999</v>
          </cell>
          <cell r="O46">
            <v>14.5161</v>
          </cell>
          <cell r="P46">
            <v>14.725619999999999</v>
          </cell>
          <cell r="Q46">
            <v>14.96748</v>
          </cell>
          <cell r="R46">
            <v>15.184800000000001</v>
          </cell>
          <cell r="S46">
            <v>15.478079999999999</v>
          </cell>
          <cell r="T46">
            <v>15.69204</v>
          </cell>
          <cell r="U46">
            <v>15.952590000000001</v>
          </cell>
          <cell r="V46">
            <v>16.217400000000001</v>
          </cell>
          <cell r="W46">
            <v>16.4862</v>
          </cell>
          <cell r="X46">
            <v>16.700579999999999</v>
          </cell>
          <cell r="Y46">
            <v>16.925214561971831</v>
          </cell>
          <cell r="Z46">
            <v>17.152870616995536</v>
          </cell>
          <cell r="AA46">
            <v>17.383588806280478</v>
          </cell>
          <cell r="AB46">
            <v>17.617410317688893</v>
          </cell>
          <cell r="AC46">
            <v>17.854376893088794</v>
          </cell>
          <cell r="AD46">
            <v>18.784209224817129</v>
          </cell>
          <cell r="AE46">
            <v>19.15461403590524</v>
          </cell>
          <cell r="AF46">
            <v>19.531798956782254</v>
          </cell>
          <cell r="AG46">
            <v>19.915871489930669</v>
          </cell>
          <cell r="AH46">
            <v>20.306940275388524</v>
          </cell>
        </row>
        <row r="47">
          <cell r="A47" t="str">
            <v>Sales Support (Styrene)</v>
          </cell>
          <cell r="B47">
            <v>0</v>
          </cell>
          <cell r="C47">
            <v>0</v>
          </cell>
          <cell r="D47" t="str">
            <v>$/ton</v>
          </cell>
          <cell r="E47">
            <v>14.783849999999999</v>
          </cell>
          <cell r="F47">
            <v>12.319709999999999</v>
          </cell>
          <cell r="G47">
            <v>17.161739999999998</v>
          </cell>
          <cell r="H47">
            <v>17.39772</v>
          </cell>
          <cell r="I47">
            <v>17.640449999999998</v>
          </cell>
          <cell r="J47">
            <v>17.788319999999999</v>
          </cell>
          <cell r="K47">
            <v>18.024660000000001</v>
          </cell>
          <cell r="L47">
            <v>18.286290000000001</v>
          </cell>
          <cell r="M47">
            <v>18.53397</v>
          </cell>
          <cell r="N47">
            <v>18.808020000000003</v>
          </cell>
          <cell r="O47">
            <v>19.126199999999997</v>
          </cell>
          <cell r="P47">
            <v>19.451879999999999</v>
          </cell>
          <cell r="Q47">
            <v>19.809899999999999</v>
          </cell>
          <cell r="R47">
            <v>20.191680000000002</v>
          </cell>
          <cell r="S47">
            <v>20.525279999999999</v>
          </cell>
          <cell r="T47">
            <v>20.908349999999999</v>
          </cell>
          <cell r="U47">
            <v>21.299579999999999</v>
          </cell>
          <cell r="V47">
            <v>21.698699999999999</v>
          </cell>
          <cell r="W47">
            <v>22.105439999999998</v>
          </cell>
          <cell r="X47">
            <v>22.50534</v>
          </cell>
          <cell r="Y47">
            <v>22.922587112394957</v>
          </cell>
          <cell r="Z47">
            <v>23.347569951190934</v>
          </cell>
          <cell r="AA47">
            <v>23.780431936105341</v>
          </cell>
          <cell r="AB47">
            <v>24.221319145845101</v>
          </cell>
          <cell r="AC47">
            <v>24.670380367404093</v>
          </cell>
          <cell r="AD47">
            <v>25.117452178491529</v>
          </cell>
          <cell r="AE47">
            <v>25.567342989755481</v>
          </cell>
          <cell r="AF47">
            <v>26.025292012521998</v>
          </cell>
          <cell r="AG47">
            <v>26.491443581307347</v>
          </cell>
          <cell r="AH47">
            <v>26.965944615873006</v>
          </cell>
        </row>
        <row r="48">
          <cell r="A48" t="str">
            <v>LLDPE price (Western Europe)</v>
          </cell>
          <cell r="B48">
            <v>0</v>
          </cell>
          <cell r="C48">
            <v>0</v>
          </cell>
          <cell r="D48" t="str">
            <v>$/ton</v>
          </cell>
          <cell r="E48">
            <v>623.77266671155905</v>
          </cell>
          <cell r="F48">
            <v>640.02978399268511</v>
          </cell>
          <cell r="G48">
            <v>627.34633444320423</v>
          </cell>
          <cell r="H48">
            <v>635.86551514896905</v>
          </cell>
          <cell r="I48">
            <v>633.51709875493214</v>
          </cell>
          <cell r="J48">
            <v>641.18641724338329</v>
          </cell>
          <cell r="K48">
            <v>649.86760728656941</v>
          </cell>
          <cell r="L48">
            <v>657.87986305880293</v>
          </cell>
          <cell r="M48">
            <v>687.70567510775834</v>
          </cell>
          <cell r="N48">
            <v>696.95216420479846</v>
          </cell>
          <cell r="O48">
            <v>709.64221079593221</v>
          </cell>
          <cell r="P48">
            <v>721.791848865926</v>
          </cell>
          <cell r="Q48">
            <v>734.0430353444757</v>
          </cell>
          <cell r="R48">
            <v>746.98656513890705</v>
          </cell>
          <cell r="S48">
            <v>759.04804488098137</v>
          </cell>
          <cell r="T48">
            <v>772.43386986249266</v>
          </cell>
          <cell r="U48">
            <v>785.98212635551852</v>
          </cell>
          <cell r="V48">
            <v>799.97670010011939</v>
          </cell>
          <cell r="W48">
            <v>814.29517281285587</v>
          </cell>
          <cell r="X48">
            <v>828.40877348461947</v>
          </cell>
          <cell r="Y48">
            <v>843.12916054936306</v>
          </cell>
          <cell r="Z48">
            <v>858.10104172724584</v>
          </cell>
          <cell r="AA48">
            <v>873.32841939239927</v>
          </cell>
          <cell r="AB48">
            <v>888.8153507186795</v>
          </cell>
          <cell r="AC48">
            <v>904.5659481423636</v>
          </cell>
          <cell r="AD48">
            <v>920.58437981796931</v>
          </cell>
          <cell r="AE48">
            <v>936.87487006664117</v>
          </cell>
          <cell r="AF48">
            <v>953.44169981653147</v>
          </cell>
          <cell r="AG48">
            <v>970.28920703457686</v>
          </cell>
          <cell r="AH48">
            <v>987.42178714904992</v>
          </cell>
        </row>
        <row r="49">
          <cell r="A49" t="str">
            <v>LLDPE price (East Asia)</v>
          </cell>
          <cell r="B49">
            <v>0</v>
          </cell>
          <cell r="C49">
            <v>0</v>
          </cell>
          <cell r="D49" t="str">
            <v>$/ton</v>
          </cell>
          <cell r="E49">
            <v>549.74749999999995</v>
          </cell>
          <cell r="F49">
            <v>524.85632999999996</v>
          </cell>
          <cell r="G49">
            <v>636.76620000000003</v>
          </cell>
          <cell r="H49">
            <v>651.61883999999998</v>
          </cell>
          <cell r="I49">
            <v>669.15449999999998</v>
          </cell>
          <cell r="J49">
            <v>677.55081999999993</v>
          </cell>
          <cell r="K49">
            <v>685.51258000000007</v>
          </cell>
          <cell r="L49">
            <v>694.18340999999998</v>
          </cell>
          <cell r="M49">
            <v>724.19100000000003</v>
          </cell>
          <cell r="N49">
            <v>732.24900000000002</v>
          </cell>
          <cell r="O49">
            <v>742.95</v>
          </cell>
          <cell r="P49">
            <v>755.16000000000008</v>
          </cell>
          <cell r="Q49">
            <v>767.05000000000007</v>
          </cell>
          <cell r="R49">
            <v>779.7600000000001</v>
          </cell>
          <cell r="S49">
            <v>792.13</v>
          </cell>
          <cell r="T49">
            <v>804.72</v>
          </cell>
          <cell r="U49">
            <v>818.98800000000006</v>
          </cell>
          <cell r="V49">
            <v>832.01</v>
          </cell>
          <cell r="W49">
            <v>845.20799999999997</v>
          </cell>
          <cell r="X49">
            <v>858.02600000000007</v>
          </cell>
          <cell r="Y49">
            <v>871.42283452380957</v>
          </cell>
          <cell r="Z49">
            <v>885.02884123500996</v>
          </cell>
          <cell r="AA49">
            <v>898.84728605465909</v>
          </cell>
          <cell r="AB49">
            <v>912.88148589644652</v>
          </cell>
          <cell r="AC49">
            <v>927.13480946286973</v>
          </cell>
          <cell r="AD49">
            <v>941.61067805384187</v>
          </cell>
          <cell r="AE49">
            <v>956.31256638792399</v>
          </cell>
          <cell r="AF49">
            <v>971.2440034363799</v>
          </cell>
          <cell r="AG49">
            <v>986.40857327025356</v>
          </cell>
          <cell r="AH49">
            <v>1001.8099159206726</v>
          </cell>
        </row>
        <row r="50">
          <cell r="A50" t="str">
            <v>LLDPE price (West Asia)</v>
          </cell>
          <cell r="B50">
            <v>0</v>
          </cell>
          <cell r="C50">
            <v>0</v>
          </cell>
          <cell r="D50" t="str">
            <v>$/ton</v>
          </cell>
          <cell r="E50">
            <v>549.74749999999995</v>
          </cell>
          <cell r="F50">
            <v>524.85632999999996</v>
          </cell>
          <cell r="G50">
            <v>636.76620000000003</v>
          </cell>
          <cell r="H50">
            <v>651.61883999999998</v>
          </cell>
          <cell r="I50">
            <v>669.15449999999998</v>
          </cell>
          <cell r="J50">
            <v>677.55081999999993</v>
          </cell>
          <cell r="K50">
            <v>685.51258000000007</v>
          </cell>
          <cell r="L50">
            <v>694.18340999999998</v>
          </cell>
          <cell r="M50">
            <v>724.19100000000003</v>
          </cell>
          <cell r="N50">
            <v>732.24900000000002</v>
          </cell>
          <cell r="O50">
            <v>742.95</v>
          </cell>
          <cell r="P50">
            <v>755.16000000000008</v>
          </cell>
          <cell r="Q50">
            <v>767.05000000000007</v>
          </cell>
          <cell r="R50">
            <v>779.7600000000001</v>
          </cell>
          <cell r="S50">
            <v>792.13</v>
          </cell>
          <cell r="T50">
            <v>804.72</v>
          </cell>
          <cell r="U50">
            <v>818.98800000000006</v>
          </cell>
          <cell r="V50">
            <v>832.01</v>
          </cell>
          <cell r="W50">
            <v>845.20799999999997</v>
          </cell>
          <cell r="X50">
            <v>858.02600000000007</v>
          </cell>
          <cell r="Y50">
            <v>871.42283452380957</v>
          </cell>
          <cell r="Z50">
            <v>885.02884123500996</v>
          </cell>
          <cell r="AA50">
            <v>898.84728605465909</v>
          </cell>
          <cell r="AB50">
            <v>912.88148589644652</v>
          </cell>
          <cell r="AC50">
            <v>927.13480946286973</v>
          </cell>
          <cell r="AD50">
            <v>941.61067805384187</v>
          </cell>
          <cell r="AE50">
            <v>956.31256638792399</v>
          </cell>
          <cell r="AF50">
            <v>971.2440034363799</v>
          </cell>
          <cell r="AG50">
            <v>986.40857327025356</v>
          </cell>
          <cell r="AH50">
            <v>1001.8099159206726</v>
          </cell>
        </row>
        <row r="51">
          <cell r="A51" t="str">
            <v>LLDPE price (Iran)</v>
          </cell>
          <cell r="B51">
            <v>0</v>
          </cell>
          <cell r="C51">
            <v>0</v>
          </cell>
          <cell r="D51" t="str">
            <v>$/ton</v>
          </cell>
          <cell r="E51">
            <v>549.74749999999995</v>
          </cell>
          <cell r="F51">
            <v>524.85632999999996</v>
          </cell>
          <cell r="G51">
            <v>636.76620000000003</v>
          </cell>
          <cell r="H51">
            <v>651.61883999999998</v>
          </cell>
          <cell r="I51">
            <v>669.15449999999998</v>
          </cell>
          <cell r="J51">
            <v>677.55081999999993</v>
          </cell>
          <cell r="K51">
            <v>685.51258000000007</v>
          </cell>
          <cell r="L51">
            <v>694.18340999999998</v>
          </cell>
          <cell r="M51">
            <v>724.19100000000003</v>
          </cell>
          <cell r="N51">
            <v>732.24900000000002</v>
          </cell>
          <cell r="O51">
            <v>742.95</v>
          </cell>
          <cell r="P51">
            <v>755.16000000000008</v>
          </cell>
          <cell r="Q51">
            <v>767.05000000000007</v>
          </cell>
          <cell r="R51">
            <v>779.7600000000001</v>
          </cell>
          <cell r="S51">
            <v>792.13</v>
          </cell>
          <cell r="T51">
            <v>804.72</v>
          </cell>
          <cell r="U51">
            <v>818.98800000000006</v>
          </cell>
          <cell r="V51">
            <v>832.01</v>
          </cell>
          <cell r="W51">
            <v>845.20799999999997</v>
          </cell>
          <cell r="X51">
            <v>858.02600000000007</v>
          </cell>
          <cell r="Y51">
            <v>871.42283452380957</v>
          </cell>
          <cell r="Z51">
            <v>885.02884123500996</v>
          </cell>
          <cell r="AA51">
            <v>898.84728605465909</v>
          </cell>
          <cell r="AB51">
            <v>912.88148589644652</v>
          </cell>
          <cell r="AC51">
            <v>927.13480946286973</v>
          </cell>
          <cell r="AD51">
            <v>941.61067805384187</v>
          </cell>
          <cell r="AE51">
            <v>956.31256638792399</v>
          </cell>
          <cell r="AF51">
            <v>971.2440034363799</v>
          </cell>
          <cell r="AG51">
            <v>986.40857327025356</v>
          </cell>
          <cell r="AH51">
            <v>1001.8099159206726</v>
          </cell>
        </row>
        <row r="52">
          <cell r="A52" t="str">
            <v>HDPE price (Western Europe)</v>
          </cell>
          <cell r="B52">
            <v>0</v>
          </cell>
          <cell r="C52">
            <v>0</v>
          </cell>
          <cell r="D52" t="str">
            <v>$/ton</v>
          </cell>
          <cell r="E52">
            <v>710.47582374822866</v>
          </cell>
          <cell r="F52">
            <v>646.76540813299584</v>
          </cell>
          <cell r="G52">
            <v>633.96608778763573</v>
          </cell>
          <cell r="H52">
            <v>642.58258064594872</v>
          </cell>
          <cell r="I52">
            <v>640.22330870601218</v>
          </cell>
          <cell r="J52">
            <v>647.9824670444159</v>
          </cell>
          <cell r="K52">
            <v>656.763798109915</v>
          </cell>
          <cell r="L52">
            <v>664.86968801856585</v>
          </cell>
          <cell r="M52">
            <v>695.02131343273174</v>
          </cell>
          <cell r="N52">
            <v>704.37531204646177</v>
          </cell>
          <cell r="O52">
            <v>717.20787474650251</v>
          </cell>
          <cell r="P52">
            <v>729.49520593423961</v>
          </cell>
          <cell r="Q52">
            <v>741.8853159858279</v>
          </cell>
          <cell r="R52">
            <v>754.97566687474807</v>
          </cell>
          <cell r="S52">
            <v>767.17537561769859</v>
          </cell>
          <cell r="T52">
            <v>780.71328773578159</v>
          </cell>
          <cell r="U52">
            <v>794.41588044057153</v>
          </cell>
          <cell r="V52">
            <v>808.56988840630311</v>
          </cell>
          <cell r="W52">
            <v>823.05167924347916</v>
          </cell>
          <cell r="X52">
            <v>837.32680459758592</v>
          </cell>
          <cell r="Y52">
            <v>852.21570455409187</v>
          </cell>
          <cell r="Z52">
            <v>867.35928280131304</v>
          </cell>
          <cell r="AA52">
            <v>882.76160188080587</v>
          </cell>
          <cell r="AB52">
            <v>898.42678027076079</v>
          </cell>
          <cell r="AC52">
            <v>914.35899287017992</v>
          </cell>
          <cell r="AD52">
            <v>930.56247147658655</v>
          </cell>
          <cell r="AE52">
            <v>947.04150525671332</v>
          </cell>
          <cell r="AF52">
            <v>963.80044120960645</v>
          </cell>
          <cell r="AG52">
            <v>980.84368462155533</v>
          </cell>
          <cell r="AH52">
            <v>998.17569951223538</v>
          </cell>
        </row>
        <row r="53">
          <cell r="A53" t="str">
            <v>HDPE price (East Asia)</v>
          </cell>
          <cell r="B53">
            <v>0</v>
          </cell>
          <cell r="C53">
            <v>0</v>
          </cell>
          <cell r="D53" t="str">
            <v>$/ton</v>
          </cell>
          <cell r="E53">
            <v>560.88310000000001</v>
          </cell>
          <cell r="F53">
            <v>497.1802899999999</v>
          </cell>
          <cell r="G53">
            <v>608.46547999999996</v>
          </cell>
          <cell r="H53">
            <v>623.64792</v>
          </cell>
          <cell r="I53">
            <v>640.47645</v>
          </cell>
          <cell r="J53">
            <v>648.1394499999999</v>
          </cell>
          <cell r="K53">
            <v>655.36788999999999</v>
          </cell>
          <cell r="L53">
            <v>664.44902999999999</v>
          </cell>
          <cell r="M53">
            <v>691.548</v>
          </cell>
          <cell r="N53">
            <v>698.79600000000005</v>
          </cell>
          <cell r="O53">
            <v>709.93000000000006</v>
          </cell>
          <cell r="P53">
            <v>720.00599999999997</v>
          </cell>
          <cell r="Q53">
            <v>732.36599999999999</v>
          </cell>
          <cell r="R53">
            <v>742.82400000000007</v>
          </cell>
          <cell r="S53">
            <v>754.27599999999995</v>
          </cell>
          <cell r="T53">
            <v>765.92100000000005</v>
          </cell>
          <cell r="U53">
            <v>779.2170000000001</v>
          </cell>
          <cell r="V53">
            <v>791.24</v>
          </cell>
          <cell r="W53">
            <v>803.41200000000003</v>
          </cell>
          <cell r="X53">
            <v>815.20400000000006</v>
          </cell>
          <cell r="Y53">
            <v>827.53415684007712</v>
          </cell>
          <cell r="Z53">
            <v>840.05081027205131</v>
          </cell>
          <cell r="AA53">
            <v>852.75678110179228</v>
          </cell>
          <cell r="AB53">
            <v>865.65493280053795</v>
          </cell>
          <cell r="AC53">
            <v>878.74817215021847</v>
          </cell>
          <cell r="AD53">
            <v>892.0394498985404</v>
          </cell>
          <cell r="AE53">
            <v>905.53176142398058</v>
          </cell>
          <cell r="AF53">
            <v>919.22814741083641</v>
          </cell>
          <cell r="AG53">
            <v>933.13169453448756</v>
          </cell>
          <cell r="AH53">
            <v>947.24553615702268</v>
          </cell>
        </row>
        <row r="54">
          <cell r="A54" t="str">
            <v>HDPE price (West Asia)</v>
          </cell>
          <cell r="B54">
            <v>0</v>
          </cell>
          <cell r="C54">
            <v>0</v>
          </cell>
          <cell r="D54" t="str">
            <v>$/ton</v>
          </cell>
          <cell r="E54">
            <v>560.88310000000001</v>
          </cell>
          <cell r="F54">
            <v>497.1802899999999</v>
          </cell>
          <cell r="G54">
            <v>608.46547999999996</v>
          </cell>
          <cell r="H54">
            <v>623.64792</v>
          </cell>
          <cell r="I54">
            <v>640.47645</v>
          </cell>
          <cell r="J54">
            <v>648.1394499999999</v>
          </cell>
          <cell r="K54">
            <v>655.36788999999999</v>
          </cell>
          <cell r="L54">
            <v>664.44902999999999</v>
          </cell>
          <cell r="M54">
            <v>691.548</v>
          </cell>
          <cell r="N54">
            <v>698.79600000000005</v>
          </cell>
          <cell r="O54">
            <v>709.93000000000006</v>
          </cell>
          <cell r="P54">
            <v>720.00599999999997</v>
          </cell>
          <cell r="Q54">
            <v>732.36599999999999</v>
          </cell>
          <cell r="R54">
            <v>742.82400000000007</v>
          </cell>
          <cell r="S54">
            <v>754.27599999999995</v>
          </cell>
          <cell r="T54">
            <v>765.92100000000005</v>
          </cell>
          <cell r="U54">
            <v>779.2170000000001</v>
          </cell>
          <cell r="V54">
            <v>791.24</v>
          </cell>
          <cell r="W54">
            <v>803.41200000000003</v>
          </cell>
          <cell r="X54">
            <v>815.20400000000006</v>
          </cell>
          <cell r="Y54">
            <v>827.53415684007712</v>
          </cell>
          <cell r="Z54">
            <v>840.05081027205131</v>
          </cell>
          <cell r="AA54">
            <v>852.75678110179228</v>
          </cell>
          <cell r="AB54">
            <v>865.65493280053795</v>
          </cell>
          <cell r="AC54">
            <v>878.74817215021847</v>
          </cell>
          <cell r="AD54">
            <v>892.0394498985404</v>
          </cell>
          <cell r="AE54">
            <v>905.53176142398058</v>
          </cell>
          <cell r="AF54">
            <v>919.22814741083641</v>
          </cell>
          <cell r="AG54">
            <v>933.13169453448756</v>
          </cell>
          <cell r="AH54">
            <v>947.24553615702268</v>
          </cell>
        </row>
        <row r="55">
          <cell r="A55" t="str">
            <v>HDPE price (Iran)</v>
          </cell>
          <cell r="B55">
            <v>0</v>
          </cell>
          <cell r="C55">
            <v>0</v>
          </cell>
          <cell r="D55" t="str">
            <v>$/ton</v>
          </cell>
          <cell r="E55">
            <v>560.88310000000001</v>
          </cell>
          <cell r="F55">
            <v>497.1802899999999</v>
          </cell>
          <cell r="G55">
            <v>608.46547999999996</v>
          </cell>
          <cell r="H55">
            <v>623.64792</v>
          </cell>
          <cell r="I55">
            <v>640.47645</v>
          </cell>
          <cell r="J55">
            <v>648.1394499999999</v>
          </cell>
          <cell r="K55">
            <v>655.36788999999999</v>
          </cell>
          <cell r="L55">
            <v>664.44902999999999</v>
          </cell>
          <cell r="M55">
            <v>691.548</v>
          </cell>
          <cell r="N55">
            <v>698.79600000000005</v>
          </cell>
          <cell r="O55">
            <v>709.93000000000006</v>
          </cell>
          <cell r="P55">
            <v>720.00599999999997</v>
          </cell>
          <cell r="Q55">
            <v>732.36599999999999</v>
          </cell>
          <cell r="R55">
            <v>742.82400000000007</v>
          </cell>
          <cell r="S55">
            <v>754.27599999999995</v>
          </cell>
          <cell r="T55">
            <v>765.92100000000005</v>
          </cell>
          <cell r="U55">
            <v>779.2170000000001</v>
          </cell>
          <cell r="V55">
            <v>791.24</v>
          </cell>
          <cell r="W55">
            <v>803.41200000000003</v>
          </cell>
          <cell r="X55">
            <v>815.20400000000006</v>
          </cell>
          <cell r="Y55">
            <v>827.53415684007712</v>
          </cell>
          <cell r="Z55">
            <v>840.05081027205131</v>
          </cell>
          <cell r="AA55">
            <v>852.75678110179228</v>
          </cell>
          <cell r="AB55">
            <v>865.65493280053795</v>
          </cell>
          <cell r="AC55">
            <v>878.74817215021847</v>
          </cell>
          <cell r="AD55">
            <v>892.0394498985404</v>
          </cell>
          <cell r="AE55">
            <v>905.53176142398058</v>
          </cell>
          <cell r="AF55">
            <v>919.22814741083641</v>
          </cell>
          <cell r="AG55">
            <v>933.13169453448756</v>
          </cell>
          <cell r="AH55">
            <v>947.24553615702268</v>
          </cell>
        </row>
        <row r="56">
          <cell r="A56" t="str">
            <v>MEG price (Western Europe)</v>
          </cell>
          <cell r="B56">
            <v>0</v>
          </cell>
          <cell r="C56">
            <v>0</v>
          </cell>
          <cell r="D56" t="str">
            <v>$/ton</v>
          </cell>
          <cell r="E56">
            <v>484.16326052190362</v>
          </cell>
          <cell r="F56">
            <v>479.73806619966626</v>
          </cell>
          <cell r="G56">
            <v>466.09303650331174</v>
          </cell>
          <cell r="H56">
            <v>473.50223528434793</v>
          </cell>
          <cell r="I56">
            <v>472.95603625930096</v>
          </cell>
          <cell r="J56">
            <v>479.99094124938068</v>
          </cell>
          <cell r="K56">
            <v>487.30418643045442</v>
          </cell>
          <cell r="L56">
            <v>494.24702588464498</v>
          </cell>
          <cell r="M56">
            <v>517.54757332743452</v>
          </cell>
          <cell r="N56">
            <v>525.44695523748794</v>
          </cell>
          <cell r="O56">
            <v>535.71741555355686</v>
          </cell>
          <cell r="P56">
            <v>545.77190434657768</v>
          </cell>
          <cell r="Q56">
            <v>555.88661259770072</v>
          </cell>
          <cell r="R56">
            <v>566.59910882585132</v>
          </cell>
          <cell r="S56">
            <v>576.80097776295861</v>
          </cell>
          <cell r="T56">
            <v>587.87144234722132</v>
          </cell>
          <cell r="U56">
            <v>599.13571767130463</v>
          </cell>
          <cell r="V56">
            <v>610.7590788611634</v>
          </cell>
          <cell r="W56">
            <v>622.67076125130927</v>
          </cell>
          <cell r="X56">
            <v>634.46736870155826</v>
          </cell>
          <cell r="Y56">
            <v>646.75324600086162</v>
          </cell>
          <cell r="Z56">
            <v>659.25687505969177</v>
          </cell>
          <cell r="AA56">
            <v>671.9814647927127</v>
          </cell>
          <cell r="AB56">
            <v>684.93024846547235</v>
          </cell>
          <cell r="AC56">
            <v>698.10648290637471</v>
          </cell>
          <cell r="AD56">
            <v>711.5134476640311</v>
          </cell>
          <cell r="AE56">
            <v>725.15444410775399</v>
          </cell>
          <cell r="AF56">
            <v>739.03279446887291</v>
          </cell>
          <cell r="AG56">
            <v>753.15184082048063</v>
          </cell>
          <cell r="AH56">
            <v>767.51494399312548</v>
          </cell>
        </row>
        <row r="57">
          <cell r="A57" t="str">
            <v>MEG price (East Asia)</v>
          </cell>
          <cell r="B57">
            <v>0</v>
          </cell>
          <cell r="C57">
            <v>0</v>
          </cell>
          <cell r="D57" t="str">
            <v>$/ton</v>
          </cell>
          <cell r="E57">
            <v>418.69645509999998</v>
          </cell>
          <cell r="F57">
            <v>397.34885999999995</v>
          </cell>
          <cell r="G57">
            <v>460.89744000000002</v>
          </cell>
          <cell r="H57">
            <v>426.81551999999999</v>
          </cell>
          <cell r="I57">
            <v>438.66795000000002</v>
          </cell>
          <cell r="J57">
            <v>443.34916999999996</v>
          </cell>
          <cell r="K57">
            <v>447.70446999999996</v>
          </cell>
          <cell r="L57">
            <v>452.87747999999999</v>
          </cell>
          <cell r="M57">
            <v>472.71900000000005</v>
          </cell>
          <cell r="N57">
            <v>477.01500000000004</v>
          </cell>
          <cell r="O57">
            <v>483.87</v>
          </cell>
          <cell r="P57">
            <v>490.85400000000004</v>
          </cell>
          <cell r="Q57">
            <v>498.91600000000005</v>
          </cell>
          <cell r="R57">
            <v>506.16</v>
          </cell>
          <cell r="S57">
            <v>515.93599999999992</v>
          </cell>
          <cell r="T57">
            <v>523.06799999999998</v>
          </cell>
          <cell r="U57">
            <v>531.75300000000004</v>
          </cell>
          <cell r="V57">
            <v>540.58000000000004</v>
          </cell>
          <cell r="W57">
            <v>549.54</v>
          </cell>
          <cell r="X57">
            <v>556.68600000000004</v>
          </cell>
          <cell r="Y57">
            <v>564.17381873239435</v>
          </cell>
          <cell r="Z57">
            <v>571.76235389985129</v>
          </cell>
          <cell r="AA57">
            <v>579.45296020934916</v>
          </cell>
          <cell r="AB57">
            <v>587.24701058962989</v>
          </cell>
          <cell r="AC57">
            <v>595.14589643629313</v>
          </cell>
          <cell r="AD57">
            <v>626.14030749390429</v>
          </cell>
          <cell r="AE57">
            <v>638.48713453017479</v>
          </cell>
          <cell r="AF57">
            <v>651.05996522607506</v>
          </cell>
          <cell r="AG57">
            <v>663.86238299768911</v>
          </cell>
          <cell r="AH57">
            <v>676.89800917961747</v>
          </cell>
        </row>
        <row r="58">
          <cell r="A58" t="str">
            <v>MEG price (West Asia)</v>
          </cell>
          <cell r="B58">
            <v>0</v>
          </cell>
          <cell r="C58">
            <v>0</v>
          </cell>
          <cell r="D58" t="str">
            <v>$/ton</v>
          </cell>
          <cell r="E58">
            <v>418.69645509999998</v>
          </cell>
          <cell r="F58">
            <v>397.34885999999995</v>
          </cell>
          <cell r="G58">
            <v>460.89744000000002</v>
          </cell>
          <cell r="H58">
            <v>426.81551999999999</v>
          </cell>
          <cell r="I58">
            <v>438.66795000000002</v>
          </cell>
          <cell r="J58">
            <v>443.34916999999996</v>
          </cell>
          <cell r="K58">
            <v>447.70446999999996</v>
          </cell>
          <cell r="L58">
            <v>452.87747999999999</v>
          </cell>
          <cell r="M58">
            <v>472.71900000000005</v>
          </cell>
          <cell r="N58">
            <v>477.01500000000004</v>
          </cell>
          <cell r="O58">
            <v>483.87</v>
          </cell>
          <cell r="P58">
            <v>490.85400000000004</v>
          </cell>
          <cell r="Q58">
            <v>498.91600000000005</v>
          </cell>
          <cell r="R58">
            <v>506.16</v>
          </cell>
          <cell r="S58">
            <v>515.93599999999992</v>
          </cell>
          <cell r="T58">
            <v>523.06799999999998</v>
          </cell>
          <cell r="U58">
            <v>531.75300000000004</v>
          </cell>
          <cell r="V58">
            <v>540.58000000000004</v>
          </cell>
          <cell r="W58">
            <v>549.54</v>
          </cell>
          <cell r="X58">
            <v>556.68600000000004</v>
          </cell>
          <cell r="Y58">
            <v>564.17381873239435</v>
          </cell>
          <cell r="Z58">
            <v>571.76235389985129</v>
          </cell>
          <cell r="AA58">
            <v>579.45296020934916</v>
          </cell>
          <cell r="AB58">
            <v>587.24701058962989</v>
          </cell>
          <cell r="AC58">
            <v>595.14589643629313</v>
          </cell>
          <cell r="AD58">
            <v>626.14030749390429</v>
          </cell>
          <cell r="AE58">
            <v>638.48713453017479</v>
          </cell>
          <cell r="AF58">
            <v>651.05996522607506</v>
          </cell>
          <cell r="AG58">
            <v>663.86238299768911</v>
          </cell>
          <cell r="AH58">
            <v>676.89800917961747</v>
          </cell>
        </row>
        <row r="59">
          <cell r="A59" t="str">
            <v>MEG price (Iran)</v>
          </cell>
          <cell r="B59">
            <v>0</v>
          </cell>
          <cell r="C59">
            <v>0</v>
          </cell>
          <cell r="D59" t="str">
            <v>$/ton</v>
          </cell>
          <cell r="E59">
            <v>418.69645509999998</v>
          </cell>
          <cell r="F59">
            <v>397.34885999999995</v>
          </cell>
          <cell r="G59">
            <v>460.89744000000002</v>
          </cell>
          <cell r="H59">
            <v>426.81551999999999</v>
          </cell>
          <cell r="I59">
            <v>438.66795000000002</v>
          </cell>
          <cell r="J59">
            <v>443.34916999999996</v>
          </cell>
          <cell r="K59">
            <v>447.70446999999996</v>
          </cell>
          <cell r="L59">
            <v>452.87747999999999</v>
          </cell>
          <cell r="M59">
            <v>472.71900000000005</v>
          </cell>
          <cell r="N59">
            <v>477.01500000000004</v>
          </cell>
          <cell r="O59">
            <v>483.87</v>
          </cell>
          <cell r="P59">
            <v>490.85400000000004</v>
          </cell>
          <cell r="Q59">
            <v>498.91600000000005</v>
          </cell>
          <cell r="R59">
            <v>506.16</v>
          </cell>
          <cell r="S59">
            <v>515.93599999999992</v>
          </cell>
          <cell r="T59">
            <v>523.06799999999998</v>
          </cell>
          <cell r="U59">
            <v>531.75300000000004</v>
          </cell>
          <cell r="V59">
            <v>540.58000000000004</v>
          </cell>
          <cell r="W59">
            <v>549.54</v>
          </cell>
          <cell r="X59">
            <v>556.68600000000004</v>
          </cell>
          <cell r="Y59">
            <v>564.17381873239435</v>
          </cell>
          <cell r="Z59">
            <v>571.76235389985129</v>
          </cell>
          <cell r="AA59">
            <v>579.45296020934916</v>
          </cell>
          <cell r="AB59">
            <v>587.24701058962989</v>
          </cell>
          <cell r="AC59">
            <v>595.14589643629313</v>
          </cell>
          <cell r="AD59">
            <v>626.14030749390429</v>
          </cell>
          <cell r="AE59">
            <v>638.48713453017479</v>
          </cell>
          <cell r="AF59">
            <v>651.05996522607506</v>
          </cell>
          <cell r="AG59">
            <v>663.86238299768911</v>
          </cell>
          <cell r="AH59">
            <v>676.89800917961747</v>
          </cell>
        </row>
        <row r="60">
          <cell r="A60" t="str">
            <v>Styrene price (Western Europe)</v>
          </cell>
          <cell r="B60">
            <v>0</v>
          </cell>
          <cell r="C60">
            <v>0</v>
          </cell>
          <cell r="D60" t="str">
            <v>$/ton</v>
          </cell>
          <cell r="E60">
            <v>587.97210304479756</v>
          </cell>
          <cell r="F60">
            <v>554.49500410845587</v>
          </cell>
          <cell r="G60">
            <v>537.03919011458345</v>
          </cell>
          <cell r="H60">
            <v>548.30309709354185</v>
          </cell>
          <cell r="I60">
            <v>563.74464231134345</v>
          </cell>
          <cell r="J60">
            <v>574.20603240267815</v>
          </cell>
          <cell r="K60">
            <v>582.59132056376382</v>
          </cell>
          <cell r="L60">
            <v>591.08804561476029</v>
          </cell>
          <cell r="M60">
            <v>618.6454608282877</v>
          </cell>
          <cell r="N60">
            <v>627.87278725387137</v>
          </cell>
          <cell r="O60">
            <v>640.42210345864532</v>
          </cell>
          <cell r="P60">
            <v>653.08803443777288</v>
          </cell>
          <cell r="Q60">
            <v>665.71677006608832</v>
          </cell>
          <cell r="R60">
            <v>679.15612927043594</v>
          </cell>
          <cell r="S60">
            <v>692.04581721398461</v>
          </cell>
          <cell r="T60">
            <v>705.8073287701153</v>
          </cell>
          <cell r="U60">
            <v>720.50817130864368</v>
          </cell>
          <cell r="V60">
            <v>735.2020851405598</v>
          </cell>
          <cell r="W60">
            <v>750.26009180149686</v>
          </cell>
          <cell r="X60">
            <v>765.19585133178259</v>
          </cell>
          <cell r="Y60">
            <v>780.75723280308512</v>
          </cell>
          <cell r="Z60">
            <v>796.61843594087031</v>
          </cell>
          <cell r="AA60">
            <v>812.78472596504275</v>
          </cell>
          <cell r="AB60">
            <v>829.26144396796076</v>
          </cell>
          <cell r="AC60">
            <v>846.05400741729659</v>
          </cell>
          <cell r="AD60">
            <v>863.18392945912819</v>
          </cell>
          <cell r="AE60">
            <v>880.65791389606761</v>
          </cell>
          <cell r="AF60">
            <v>898.48279572056185</v>
          </cell>
          <cell r="AG60">
            <v>916.66554362612135</v>
          </cell>
          <cell r="AH60">
            <v>935.21326256504722</v>
          </cell>
        </row>
        <row r="61">
          <cell r="A61" t="str">
            <v>Styrene price (East Asia)</v>
          </cell>
          <cell r="B61">
            <v>0</v>
          </cell>
          <cell r="C61">
            <v>0</v>
          </cell>
          <cell r="D61" t="str">
            <v>$/ton</v>
          </cell>
          <cell r="E61">
            <v>478.01114999999999</v>
          </cell>
          <cell r="F61">
            <v>398.33729</v>
          </cell>
          <cell r="G61">
            <v>554.89625999999998</v>
          </cell>
          <cell r="H61">
            <v>562.52627999999993</v>
          </cell>
          <cell r="I61">
            <v>570.37455</v>
          </cell>
          <cell r="J61">
            <v>575.15567999999996</v>
          </cell>
          <cell r="K61">
            <v>582.79733999999996</v>
          </cell>
          <cell r="L61">
            <v>591.25671</v>
          </cell>
          <cell r="M61">
            <v>617.79900000000009</v>
          </cell>
          <cell r="N61">
            <v>626.93400000000008</v>
          </cell>
          <cell r="O61">
            <v>637.54</v>
          </cell>
          <cell r="P61">
            <v>648.39600000000007</v>
          </cell>
          <cell r="Q61">
            <v>660.33</v>
          </cell>
          <cell r="R61">
            <v>673.05600000000004</v>
          </cell>
          <cell r="S61">
            <v>684.17599999999993</v>
          </cell>
          <cell r="T61">
            <v>696.94500000000005</v>
          </cell>
          <cell r="U61">
            <v>709.98599999999999</v>
          </cell>
          <cell r="V61">
            <v>723.29</v>
          </cell>
          <cell r="W61">
            <v>736.84800000000007</v>
          </cell>
          <cell r="X61">
            <v>750.178</v>
          </cell>
          <cell r="Y61">
            <v>764.0862370798319</v>
          </cell>
          <cell r="Z61">
            <v>778.25233170636454</v>
          </cell>
          <cell r="AA61">
            <v>792.6810645368447</v>
          </cell>
          <cell r="AB61">
            <v>807.37730486150338</v>
          </cell>
          <cell r="AC61">
            <v>822.34601224680307</v>
          </cell>
          <cell r="AD61">
            <v>837.24840594971772</v>
          </cell>
          <cell r="AE61">
            <v>852.24476632518281</v>
          </cell>
          <cell r="AF61">
            <v>867.50973375073329</v>
          </cell>
          <cell r="AG61">
            <v>883.04811937691159</v>
          </cell>
          <cell r="AH61">
            <v>898.86482052910026</v>
          </cell>
        </row>
        <row r="62">
          <cell r="A62" t="str">
            <v>Styrene price (West Asia)</v>
          </cell>
          <cell r="B62">
            <v>0</v>
          </cell>
          <cell r="C62">
            <v>0</v>
          </cell>
          <cell r="D62" t="str">
            <v>$/ton</v>
          </cell>
          <cell r="E62">
            <v>478.01114999999999</v>
          </cell>
          <cell r="F62">
            <v>398.33729</v>
          </cell>
          <cell r="G62">
            <v>554.89625999999998</v>
          </cell>
          <cell r="H62">
            <v>562.52627999999993</v>
          </cell>
          <cell r="I62">
            <v>570.37455</v>
          </cell>
          <cell r="J62">
            <v>575.15567999999996</v>
          </cell>
          <cell r="K62">
            <v>582.79733999999996</v>
          </cell>
          <cell r="L62">
            <v>591.25671</v>
          </cell>
          <cell r="M62">
            <v>617.79900000000009</v>
          </cell>
          <cell r="N62">
            <v>626.93400000000008</v>
          </cell>
          <cell r="O62">
            <v>637.54</v>
          </cell>
          <cell r="P62">
            <v>648.39600000000007</v>
          </cell>
          <cell r="Q62">
            <v>660.33</v>
          </cell>
          <cell r="R62">
            <v>673.05600000000004</v>
          </cell>
          <cell r="S62">
            <v>684.17599999999993</v>
          </cell>
          <cell r="T62">
            <v>696.94500000000005</v>
          </cell>
          <cell r="U62">
            <v>709.98599999999999</v>
          </cell>
          <cell r="V62">
            <v>723.29</v>
          </cell>
          <cell r="W62">
            <v>736.84800000000007</v>
          </cell>
          <cell r="X62">
            <v>750.178</v>
          </cell>
          <cell r="Y62">
            <v>764.0862370798319</v>
          </cell>
          <cell r="Z62">
            <v>778.25233170636454</v>
          </cell>
          <cell r="AA62">
            <v>792.6810645368447</v>
          </cell>
          <cell r="AB62">
            <v>807.37730486150338</v>
          </cell>
          <cell r="AC62">
            <v>822.34601224680307</v>
          </cell>
          <cell r="AD62">
            <v>837.24840594971772</v>
          </cell>
          <cell r="AE62">
            <v>852.24476632518281</v>
          </cell>
          <cell r="AF62">
            <v>867.50973375073329</v>
          </cell>
          <cell r="AG62">
            <v>883.04811937691159</v>
          </cell>
          <cell r="AH62">
            <v>898.86482052910026</v>
          </cell>
        </row>
        <row r="63">
          <cell r="A63" t="str">
            <v>Styrene price (Iran)</v>
          </cell>
          <cell r="B63">
            <v>0</v>
          </cell>
          <cell r="C63">
            <v>0</v>
          </cell>
          <cell r="D63" t="str">
            <v>$/ton</v>
          </cell>
          <cell r="E63">
            <v>478.01114999999999</v>
          </cell>
          <cell r="F63">
            <v>398.33729</v>
          </cell>
          <cell r="G63">
            <v>554.89625999999998</v>
          </cell>
          <cell r="H63">
            <v>562.52627999999993</v>
          </cell>
          <cell r="I63">
            <v>570.37455</v>
          </cell>
          <cell r="J63">
            <v>575.15567999999996</v>
          </cell>
          <cell r="K63">
            <v>582.79733999999996</v>
          </cell>
          <cell r="L63">
            <v>591.25671</v>
          </cell>
          <cell r="M63">
            <v>617.79900000000009</v>
          </cell>
          <cell r="N63">
            <v>626.93400000000008</v>
          </cell>
          <cell r="O63">
            <v>637.54</v>
          </cell>
          <cell r="P63">
            <v>648.39600000000007</v>
          </cell>
          <cell r="Q63">
            <v>660.33</v>
          </cell>
          <cell r="R63">
            <v>673.05600000000004</v>
          </cell>
          <cell r="S63">
            <v>684.17599999999993</v>
          </cell>
          <cell r="T63">
            <v>696.94500000000005</v>
          </cell>
          <cell r="U63">
            <v>709.98599999999999</v>
          </cell>
          <cell r="V63">
            <v>723.29</v>
          </cell>
          <cell r="W63">
            <v>736.84800000000007</v>
          </cell>
          <cell r="X63">
            <v>750.178</v>
          </cell>
          <cell r="Y63">
            <v>764.0862370798319</v>
          </cell>
          <cell r="Z63">
            <v>778.25233170636454</v>
          </cell>
          <cell r="AA63">
            <v>792.6810645368447</v>
          </cell>
          <cell r="AB63">
            <v>807.37730486150338</v>
          </cell>
          <cell r="AC63">
            <v>822.34601224680307</v>
          </cell>
          <cell r="AD63">
            <v>837.24840594971772</v>
          </cell>
          <cell r="AE63">
            <v>852.24476632518281</v>
          </cell>
          <cell r="AF63">
            <v>867.50973375073329</v>
          </cell>
          <cell r="AG63">
            <v>883.04811937691159</v>
          </cell>
          <cell r="AH63">
            <v>898.86482052910026</v>
          </cell>
        </row>
        <row r="64">
          <cell r="A64" t="str">
            <v>Benzene</v>
          </cell>
          <cell r="B64">
            <v>0</v>
          </cell>
          <cell r="C64">
            <v>0</v>
          </cell>
          <cell r="D64" t="str">
            <v>$/ton</v>
          </cell>
          <cell r="E64">
            <v>316.587470472456</v>
          </cell>
          <cell r="F64">
            <v>294.96116730371529</v>
          </cell>
          <cell r="G64">
            <v>278.86411396856647</v>
          </cell>
          <cell r="H64">
            <v>286.90276591460321</v>
          </cell>
          <cell r="I64">
            <v>306.08905690504832</v>
          </cell>
          <cell r="J64">
            <v>313.18128138622689</v>
          </cell>
          <cell r="K64">
            <v>317.38858108555405</v>
          </cell>
          <cell r="L64">
            <v>322.0445481202018</v>
          </cell>
          <cell r="M64">
            <v>326.62485810968576</v>
          </cell>
          <cell r="N64">
            <v>331.27163583777474</v>
          </cell>
          <cell r="O64">
            <v>338.62073746862728</v>
          </cell>
          <cell r="P64">
            <v>346.19968041255549</v>
          </cell>
          <cell r="Q64">
            <v>353.74166101049497</v>
          </cell>
          <cell r="R64">
            <v>361.7761461211291</v>
          </cell>
          <cell r="S64">
            <v>369.48671156452934</v>
          </cell>
          <cell r="T64">
            <v>377.70313882900223</v>
          </cell>
          <cell r="U64">
            <v>386.94872869641864</v>
          </cell>
          <cell r="V64">
            <v>395.90583672046421</v>
          </cell>
          <cell r="W64">
            <v>405.09766940999737</v>
          </cell>
          <cell r="X64">
            <v>414.26213592314485</v>
          </cell>
          <cell r="Y64">
            <v>423.82090473153897</v>
          </cell>
          <cell r="Z64">
            <v>433.60023451620657</v>
          </cell>
          <cell r="AA64">
            <v>443.60521454598853</v>
          </cell>
          <cell r="AB64">
            <v>453.84105152055054</v>
          </cell>
          <cell r="AC64">
            <v>464.31307228000571</v>
          </cell>
          <cell r="AD64">
            <v>475.02672657705966</v>
          </cell>
          <cell r="AE64">
            <v>485.98758991312076</v>
          </cell>
          <cell r="AF64">
            <v>497.20136643985109</v>
          </cell>
          <cell r="AG64">
            <v>508.67389192766905</v>
          </cell>
          <cell r="AH64">
            <v>520.41113680274668</v>
          </cell>
        </row>
        <row r="65">
          <cell r="A65" t="str">
            <v>Land Cost (unit)</v>
          </cell>
          <cell r="B65">
            <v>0</v>
          </cell>
          <cell r="C65">
            <v>0</v>
          </cell>
          <cell r="D65" t="str">
            <v>$/m2</v>
          </cell>
          <cell r="E65">
            <v>0</v>
          </cell>
          <cell r="F65">
            <v>0</v>
          </cell>
          <cell r="G65">
            <v>0</v>
          </cell>
          <cell r="H65">
            <v>0</v>
          </cell>
          <cell r="I65">
            <v>0</v>
          </cell>
          <cell r="J65">
            <v>2</v>
          </cell>
          <cell r="K65">
            <v>2</v>
          </cell>
          <cell r="L65">
            <v>2</v>
          </cell>
          <cell r="M65">
            <v>2</v>
          </cell>
          <cell r="N65">
            <v>2</v>
          </cell>
          <cell r="O65">
            <v>2</v>
          </cell>
          <cell r="P65">
            <v>2</v>
          </cell>
          <cell r="Q65">
            <v>2</v>
          </cell>
          <cell r="R65">
            <v>2</v>
          </cell>
          <cell r="S65">
            <v>2</v>
          </cell>
          <cell r="T65">
            <v>2</v>
          </cell>
          <cell r="U65">
            <v>2</v>
          </cell>
          <cell r="V65">
            <v>2</v>
          </cell>
          <cell r="W65">
            <v>2</v>
          </cell>
          <cell r="X65">
            <v>2</v>
          </cell>
          <cell r="Y65">
            <v>2</v>
          </cell>
          <cell r="Z65">
            <v>2</v>
          </cell>
          <cell r="AA65">
            <v>2</v>
          </cell>
          <cell r="AB65">
            <v>2</v>
          </cell>
          <cell r="AC65">
            <v>2</v>
          </cell>
          <cell r="AD65">
            <v>2</v>
          </cell>
          <cell r="AE65">
            <v>2</v>
          </cell>
          <cell r="AF65">
            <v>2</v>
          </cell>
          <cell r="AG65">
            <v>2</v>
          </cell>
          <cell r="AH65">
            <v>2</v>
          </cell>
        </row>
        <row r="66">
          <cell r="A66" t="str">
            <v>Land Cost</v>
          </cell>
          <cell r="B66">
            <v>0</v>
          </cell>
          <cell r="C66">
            <v>0</v>
          </cell>
          <cell r="D66" t="str">
            <v>$ million</v>
          </cell>
          <cell r="E66">
            <v>0</v>
          </cell>
          <cell r="F66">
            <v>0</v>
          </cell>
          <cell r="G66">
            <v>0</v>
          </cell>
          <cell r="H66">
            <v>0</v>
          </cell>
          <cell r="I66">
            <v>0</v>
          </cell>
          <cell r="J66">
            <v>1.7</v>
          </cell>
          <cell r="K66">
            <v>1.7</v>
          </cell>
          <cell r="L66">
            <v>1.7</v>
          </cell>
          <cell r="M66">
            <v>1.7</v>
          </cell>
          <cell r="N66">
            <v>1.7</v>
          </cell>
          <cell r="O66">
            <v>1.7</v>
          </cell>
          <cell r="P66">
            <v>1.7</v>
          </cell>
          <cell r="Q66">
            <v>1.7</v>
          </cell>
          <cell r="R66">
            <v>1.7</v>
          </cell>
          <cell r="S66">
            <v>1.7</v>
          </cell>
          <cell r="T66">
            <v>1.7</v>
          </cell>
          <cell r="U66">
            <v>1.7</v>
          </cell>
          <cell r="V66">
            <v>1.7</v>
          </cell>
          <cell r="W66">
            <v>1.7</v>
          </cell>
          <cell r="X66">
            <v>1.7</v>
          </cell>
          <cell r="Y66">
            <v>1.7</v>
          </cell>
          <cell r="Z66">
            <v>1.7</v>
          </cell>
          <cell r="AA66">
            <v>1.7</v>
          </cell>
          <cell r="AB66">
            <v>1.7</v>
          </cell>
          <cell r="AC66">
            <v>1.7</v>
          </cell>
          <cell r="AD66">
            <v>1.7</v>
          </cell>
          <cell r="AE66">
            <v>1.7</v>
          </cell>
          <cell r="AF66">
            <v>1.7</v>
          </cell>
          <cell r="AG66">
            <v>1.7</v>
          </cell>
          <cell r="AH66">
            <v>1.7</v>
          </cell>
        </row>
        <row r="67">
          <cell r="A67" t="str">
            <v>Handling Cost (Polymers)</v>
          </cell>
          <cell r="B67">
            <v>0</v>
          </cell>
          <cell r="C67">
            <v>0</v>
          </cell>
          <cell r="D67" t="str">
            <v>$/ton</v>
          </cell>
          <cell r="E67">
            <v>5</v>
          </cell>
          <cell r="F67">
            <v>5.0949999999999998</v>
          </cell>
          <cell r="G67">
            <v>5.21</v>
          </cell>
          <cell r="H67">
            <v>5.34</v>
          </cell>
          <cell r="I67">
            <v>5.4749999999999996</v>
          </cell>
          <cell r="J67">
            <v>5.6150000000000002</v>
          </cell>
          <cell r="K67">
            <v>5.7549999999999999</v>
          </cell>
          <cell r="L67">
            <v>5.8950000000000005</v>
          </cell>
          <cell r="M67">
            <v>6.0449999999999999</v>
          </cell>
          <cell r="N67">
            <v>6.1950000000000003</v>
          </cell>
          <cell r="O67">
            <v>6.35</v>
          </cell>
          <cell r="P67">
            <v>6.51</v>
          </cell>
          <cell r="Q67">
            <v>6.67</v>
          </cell>
          <cell r="R67">
            <v>6.8400000000000007</v>
          </cell>
          <cell r="S67">
            <v>7.01</v>
          </cell>
          <cell r="T67">
            <v>7.1850000000000005</v>
          </cell>
          <cell r="U67">
            <v>7.3650000000000002</v>
          </cell>
          <cell r="V67">
            <v>7.55</v>
          </cell>
          <cell r="W67">
            <v>7.74</v>
          </cell>
          <cell r="X67">
            <v>7.9300000000000006</v>
          </cell>
          <cell r="Y67">
            <v>8.1282499999999995</v>
          </cell>
          <cell r="Z67">
            <v>8.3314562500000005</v>
          </cell>
          <cell r="AA67">
            <v>8.5397426562499987</v>
          </cell>
          <cell r="AB67">
            <v>8.7532362226562483</v>
          </cell>
          <cell r="AC67">
            <v>8.972067128222653</v>
          </cell>
          <cell r="AD67">
            <v>9.1963688064282181</v>
          </cell>
          <cell r="AE67">
            <v>9.426278026588923</v>
          </cell>
          <cell r="AF67">
            <v>9.6619349772536438</v>
          </cell>
          <cell r="AG67">
            <v>9.9034833516849847</v>
          </cell>
          <cell r="AH67">
            <v>10.151070435477109</v>
          </cell>
        </row>
        <row r="68">
          <cell r="A68" t="str">
            <v>Handling Cost (Bulk Liquid)</v>
          </cell>
          <cell r="B68">
            <v>0</v>
          </cell>
          <cell r="C68">
            <v>0</v>
          </cell>
          <cell r="D68" t="str">
            <v>$/ton</v>
          </cell>
          <cell r="E68">
            <v>3</v>
          </cell>
          <cell r="F68">
            <v>3.0569999999999995</v>
          </cell>
          <cell r="G68">
            <v>3.1260000000000003</v>
          </cell>
          <cell r="H68">
            <v>3.2040000000000002</v>
          </cell>
          <cell r="I68">
            <v>3.2850000000000001</v>
          </cell>
          <cell r="J68">
            <v>3.3689999999999998</v>
          </cell>
          <cell r="K68">
            <v>3.4530000000000003</v>
          </cell>
          <cell r="L68">
            <v>3.5369999999999999</v>
          </cell>
          <cell r="M68">
            <v>3.6270000000000002</v>
          </cell>
          <cell r="N68">
            <v>3.7170000000000005</v>
          </cell>
          <cell r="O68">
            <v>3.81</v>
          </cell>
          <cell r="P68">
            <v>3.9060000000000001</v>
          </cell>
          <cell r="Q68">
            <v>4.0020000000000007</v>
          </cell>
          <cell r="R68">
            <v>4.1040000000000001</v>
          </cell>
          <cell r="S68">
            <v>4.2059999999999995</v>
          </cell>
          <cell r="T68">
            <v>4.3109999999999999</v>
          </cell>
          <cell r="U68">
            <v>4.4190000000000005</v>
          </cell>
          <cell r="V68">
            <v>4.53</v>
          </cell>
          <cell r="W68">
            <v>4.6440000000000001</v>
          </cell>
          <cell r="X68">
            <v>4.758</v>
          </cell>
          <cell r="Y68">
            <v>4.8769499999999999</v>
          </cell>
          <cell r="Z68">
            <v>4.9988737499999996</v>
          </cell>
          <cell r="AA68">
            <v>5.1238455937499996</v>
          </cell>
          <cell r="AB68">
            <v>5.2519417335937488</v>
          </cell>
          <cell r="AC68">
            <v>5.3832402769335914</v>
          </cell>
          <cell r="AD68">
            <v>5.5178212838569305</v>
          </cell>
          <cell r="AE68">
            <v>5.6557668159533536</v>
          </cell>
          <cell r="AF68">
            <v>5.7971609863521865</v>
          </cell>
          <cell r="AG68">
            <v>5.9420900110109915</v>
          </cell>
          <cell r="AH68">
            <v>6.0906422612862663</v>
          </cell>
        </row>
        <row r="69">
          <cell r="A69">
            <v>0</v>
          </cell>
          <cell r="B69">
            <v>0</v>
          </cell>
          <cell r="C69">
            <v>0</v>
          </cell>
          <cell r="D69">
            <v>0</v>
          </cell>
        </row>
        <row r="70">
          <cell r="A70">
            <v>0</v>
          </cell>
          <cell r="B70">
            <v>0</v>
          </cell>
          <cell r="C70">
            <v>0</v>
          </cell>
          <cell r="D70">
            <v>0</v>
          </cell>
        </row>
        <row r="71">
          <cell r="A71">
            <v>0</v>
          </cell>
          <cell r="B71">
            <v>0</v>
          </cell>
          <cell r="C71">
            <v>0</v>
          </cell>
          <cell r="D71">
            <v>0</v>
          </cell>
        </row>
        <row r="72">
          <cell r="A72">
            <v>0</v>
          </cell>
          <cell r="B72">
            <v>0</v>
          </cell>
          <cell r="C72">
            <v>0</v>
          </cell>
          <cell r="D72">
            <v>0</v>
          </cell>
        </row>
        <row r="73">
          <cell r="A73">
            <v>0</v>
          </cell>
          <cell r="B73">
            <v>0</v>
          </cell>
          <cell r="C73">
            <v>0</v>
          </cell>
          <cell r="D73">
            <v>0</v>
          </cell>
        </row>
        <row r="74">
          <cell r="A74" t="str">
            <v>Year</v>
          </cell>
          <cell r="B74">
            <v>0</v>
          </cell>
          <cell r="C74">
            <v>0</v>
          </cell>
          <cell r="D74">
            <v>2000</v>
          </cell>
          <cell r="E74">
            <v>2001</v>
          </cell>
          <cell r="F74">
            <v>2002</v>
          </cell>
          <cell r="G74">
            <v>2003</v>
          </cell>
          <cell r="H74">
            <v>2004</v>
          </cell>
          <cell r="I74">
            <v>2005</v>
          </cell>
          <cell r="J74">
            <v>2006</v>
          </cell>
          <cell r="K74">
            <v>2007</v>
          </cell>
          <cell r="L74">
            <v>2008</v>
          </cell>
          <cell r="M74">
            <v>2009</v>
          </cell>
          <cell r="N74">
            <v>2010</v>
          </cell>
          <cell r="O74">
            <v>2011</v>
          </cell>
          <cell r="P74">
            <v>2012</v>
          </cell>
          <cell r="Q74">
            <v>2013</v>
          </cell>
          <cell r="R74">
            <v>2014</v>
          </cell>
          <cell r="S74">
            <v>2015</v>
          </cell>
          <cell r="T74">
            <v>2016</v>
          </cell>
          <cell r="U74">
            <v>2017</v>
          </cell>
          <cell r="V74">
            <v>2018</v>
          </cell>
          <cell r="W74">
            <v>2019</v>
          </cell>
          <cell r="X74">
            <v>2020</v>
          </cell>
          <cell r="Y74">
            <v>2021</v>
          </cell>
          <cell r="Z74">
            <v>2022</v>
          </cell>
          <cell r="AA74">
            <v>2023</v>
          </cell>
          <cell r="AB74">
            <v>2024</v>
          </cell>
          <cell r="AC74">
            <v>2025</v>
          </cell>
          <cell r="AD74">
            <v>2026</v>
          </cell>
          <cell r="AE74">
            <v>2027</v>
          </cell>
          <cell r="AF74">
            <v>2028</v>
          </cell>
          <cell r="AG74">
            <v>2029</v>
          </cell>
          <cell r="AH74">
            <v>2030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ms"/>
      <sheetName val="Time series"/>
      <sheetName val="Historic prices"/>
      <sheetName val="Gr.form vs C2-50"/>
      <sheetName val="Historic prices (3)"/>
      <sheetName val="Res nieuwe form"/>
      <sheetName val="Gr.Cash costs (3)"/>
      <sheetName val="Gr.Cash costs (2)"/>
      <sheetName val="Gr.Cash costs"/>
      <sheetName val="Gr.Prijzen"/>
      <sheetName val="ICM"/>
    </sheetNames>
    <sheetDataSet>
      <sheetData sheetId="0">
        <row r="1">
          <cell r="C1">
            <v>150</v>
          </cell>
        </row>
      </sheetData>
      <sheetData sheetId="1"/>
      <sheetData sheetId="2" refreshError="1"/>
      <sheetData sheetId="3" refreshError="1"/>
      <sheetData sheetId="4" refreshError="1"/>
      <sheetData sheetId="5"/>
      <sheetData sheetId="6" refreshError="1"/>
      <sheetData sheetId="7" refreshError="1"/>
      <sheetData sheetId="8" refreshError="1"/>
      <sheetData sheetId="9" refreshError="1"/>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shboard"/>
      <sheetName val="Loan"/>
      <sheetName val="Downstream units"/>
      <sheetName val="Financial Model_OPaL"/>
      <sheetName val="Datasheet"/>
      <sheetName val="Revenue_Profile"/>
      <sheetName val="Feedstock Mix (Input)"/>
      <sheetName val="Sensitivity Analysis_Inc Margin"/>
      <sheetName val="FM_Snr6"/>
      <sheetName val="FM_Snr4"/>
      <sheetName val="FM_Snr1"/>
      <sheetName val="FM_Snr2"/>
      <sheetName val="FM_Snr3"/>
      <sheetName val="FM_Snr5"/>
      <sheetName val="Products Output"/>
      <sheetName val="Yield_OPaL"/>
      <sheetName val="Material Balance"/>
      <sheetName val="mmbtu to MT conversion"/>
      <sheetName val="Base margins"/>
      <sheetName val="FM_BC"/>
      <sheetName val="Downstream units_Snr1"/>
      <sheetName val="Downstream units_Snr2"/>
      <sheetName val="Downstream units_Snr3"/>
      <sheetName val="Downstream units_Snr4"/>
      <sheetName val="Downstream units_Snr5"/>
      <sheetName val="Downstream units_Snr6"/>
    </sheetNames>
    <sheetDataSet>
      <sheetData sheetId="0" refreshError="1"/>
      <sheetData sheetId="1" refreshError="1"/>
      <sheetData sheetId="2" refreshError="1">
        <row r="7">
          <cell r="B7">
            <v>255.19532266042066</v>
          </cell>
        </row>
      </sheetData>
      <sheetData sheetId="3" refreshError="1">
        <row r="9">
          <cell r="E9">
            <v>15689.990551874998</v>
          </cell>
        </row>
        <row r="10">
          <cell r="E10">
            <v>3905.2498639053128</v>
          </cell>
        </row>
      </sheetData>
      <sheetData sheetId="4" refreshError="1">
        <row r="1">
          <cell r="K1">
            <v>67</v>
          </cell>
        </row>
        <row r="21">
          <cell r="H21">
            <v>78339.24473848255</v>
          </cell>
          <cell r="I21">
            <v>1169.2424587833218</v>
          </cell>
        </row>
        <row r="37">
          <cell r="H37">
            <v>50952.476666849107</v>
          </cell>
          <cell r="I37">
            <v>760.48472637088196</v>
          </cell>
        </row>
        <row r="48">
          <cell r="H48">
            <v>10005.607749999997</v>
          </cell>
          <cell r="I48">
            <v>149.33742910447759</v>
          </cell>
        </row>
        <row r="50">
          <cell r="H50">
            <v>37392.375821633439</v>
          </cell>
          <cell r="I50">
            <v>558.09516151691696</v>
          </cell>
        </row>
        <row r="61">
          <cell r="I61">
            <v>16.546910966250987</v>
          </cell>
        </row>
        <row r="65">
          <cell r="H65">
            <v>3344.9177633422792</v>
          </cell>
        </row>
        <row r="69">
          <cell r="H69">
            <v>4182.5870216417306</v>
          </cell>
          <cell r="I69">
            <v>62.426671964801955</v>
          </cell>
        </row>
        <row r="72">
          <cell r="H72">
            <v>44919.880606617444</v>
          </cell>
          <cell r="I72">
            <v>670.44597920324611</v>
          </cell>
        </row>
        <row r="77">
          <cell r="H77">
            <v>130002.47666684911</v>
          </cell>
          <cell r="I77">
            <v>1940.3354726395389</v>
          </cell>
        </row>
        <row r="81">
          <cell r="H81">
            <v>88344.852488482546</v>
          </cell>
          <cell r="I81">
            <v>1318.5798878877993</v>
          </cell>
        </row>
        <row r="85">
          <cell r="H85">
            <v>41657.624178366561</v>
          </cell>
          <cell r="I85">
            <v>621.75558475173966</v>
          </cell>
        </row>
        <row r="87">
          <cell r="H87">
            <v>7527.5047849840103</v>
          </cell>
          <cell r="I87">
            <v>112.35081768632851</v>
          </cell>
        </row>
        <row r="89">
          <cell r="H89">
            <v>95872.35727346655</v>
          </cell>
          <cell r="I89">
            <v>1430.9307055741276</v>
          </cell>
        </row>
        <row r="95">
          <cell r="H95">
            <v>34130.119393382556</v>
          </cell>
          <cell r="I95">
            <v>509.40476706541131</v>
          </cell>
        </row>
        <row r="97">
          <cell r="H97">
            <v>0.26253437833223836</v>
          </cell>
        </row>
        <row r="103">
          <cell r="H103">
            <v>0.21315062580203981</v>
          </cell>
        </row>
      </sheetData>
      <sheetData sheetId="5" refreshError="1"/>
      <sheetData sheetId="6" refreshError="1">
        <row r="18">
          <cell r="H18">
            <v>3691.1191326664589</v>
          </cell>
        </row>
        <row r="20">
          <cell r="B20">
            <v>2366</v>
          </cell>
        </row>
      </sheetData>
      <sheetData sheetId="7" refreshError="1">
        <row r="1">
          <cell r="C1" t="str">
            <v>Base Case</v>
          </cell>
          <cell r="F1" t="str">
            <v>244 KTPA High Ethane Case</v>
          </cell>
          <cell r="I1" t="str">
            <v>545 KTPA Ethane Import</v>
          </cell>
          <cell r="L1" t="str">
            <v>721 KTPA Ethane Import</v>
          </cell>
          <cell r="O1" t="str">
            <v>Additional 530 KTPA Naphtha</v>
          </cell>
          <cell r="R1" t="str">
            <v>Additional 385 KTPA C3</v>
          </cell>
          <cell r="U1" t="str">
            <v>Additional 247 KTPA Ethane in Base case</v>
          </cell>
        </row>
        <row r="3">
          <cell r="B3">
            <v>614</v>
          </cell>
          <cell r="E3">
            <v>779</v>
          </cell>
          <cell r="H3">
            <v>1080</v>
          </cell>
          <cell r="K3">
            <v>1256.2</v>
          </cell>
          <cell r="N3">
            <v>535.20000000000005</v>
          </cell>
          <cell r="Q3">
            <v>569</v>
          </cell>
          <cell r="T3">
            <v>782.4</v>
          </cell>
        </row>
        <row r="4">
          <cell r="B4">
            <v>1611</v>
          </cell>
          <cell r="E4">
            <v>1008</v>
          </cell>
          <cell r="H4">
            <v>1071</v>
          </cell>
          <cell r="K4">
            <v>1008</v>
          </cell>
          <cell r="N4">
            <v>2030.4</v>
          </cell>
          <cell r="Q4">
            <v>1610.75</v>
          </cell>
          <cell r="T4">
            <v>1560</v>
          </cell>
        </row>
        <row r="5">
          <cell r="B5">
            <v>291</v>
          </cell>
          <cell r="E5">
            <v>223</v>
          </cell>
          <cell r="H5">
            <v>245</v>
          </cell>
          <cell r="K5">
            <v>230.4</v>
          </cell>
          <cell r="N5">
            <v>246.4</v>
          </cell>
          <cell r="Q5">
            <v>697</v>
          </cell>
          <cell r="T5">
            <v>220</v>
          </cell>
        </row>
        <row r="6">
          <cell r="B6">
            <v>179</v>
          </cell>
          <cell r="E6">
            <v>127</v>
          </cell>
          <cell r="H6">
            <v>136</v>
          </cell>
          <cell r="K6">
            <v>128</v>
          </cell>
          <cell r="N6">
            <v>128</v>
          </cell>
          <cell r="Q6">
            <v>136</v>
          </cell>
          <cell r="T6">
            <v>128</v>
          </cell>
        </row>
        <row r="13">
          <cell r="B13">
            <v>0.44969573283858999</v>
          </cell>
          <cell r="E13">
            <v>0.51180814225549831</v>
          </cell>
          <cell r="H13">
            <v>0.54227804107424959</v>
          </cell>
          <cell r="K13">
            <v>0.56767025089605738</v>
          </cell>
          <cell r="N13">
            <v>0.4231891156462585</v>
          </cell>
          <cell r="Q13">
            <v>0.44727242552485269</v>
          </cell>
          <cell r="T13">
            <v>0.47732976509069286</v>
          </cell>
        </row>
        <row r="14">
          <cell r="B14">
            <v>0.15950389610389609</v>
          </cell>
          <cell r="E14">
            <v>0.14861113710809545</v>
          </cell>
          <cell r="H14">
            <v>0.13512796208530806</v>
          </cell>
          <cell r="K14">
            <v>0.12368260504842524</v>
          </cell>
          <cell r="N14">
            <v>0.16567183673469385</v>
          </cell>
          <cell r="Q14">
            <v>0.17143299311260474</v>
          </cell>
          <cell r="T14">
            <v>0.1458608385370205</v>
          </cell>
        </row>
        <row r="15">
          <cell r="B15">
            <v>2.3673914656771794E-2</v>
          </cell>
          <cell r="E15">
            <v>1.9746467009826862E-2</v>
          </cell>
          <cell r="H15">
            <v>1.792298578199052E-2</v>
          </cell>
          <cell r="K15">
            <v>1.6449767406390606E-2</v>
          </cell>
          <cell r="N15">
            <v>2.6463183673469379E-2</v>
          </cell>
          <cell r="Q15">
            <v>2.2352070367604348E-2</v>
          </cell>
          <cell r="T15">
            <v>2.2691168599464764E-2</v>
          </cell>
        </row>
        <row r="16">
          <cell r="B16">
            <v>5.2266478664192949E-2</v>
          </cell>
          <cell r="E16">
            <v>4.3039466541881143E-2</v>
          </cell>
          <cell r="H16">
            <v>3.8885260663507115E-2</v>
          </cell>
          <cell r="K16">
            <v>3.5580103713871734E-2</v>
          </cell>
          <cell r="N16">
            <v>5.9167444897959158E-2</v>
          </cell>
          <cell r="Q16">
            <v>4.7020184217077404E-2</v>
          </cell>
          <cell r="T16">
            <v>5.0430187332738616E-2</v>
          </cell>
        </row>
        <row r="17">
          <cell r="B17">
            <v>4.6124359554730987E-2</v>
          </cell>
          <cell r="E17">
            <v>4.4511839026672911E-2</v>
          </cell>
          <cell r="H17">
            <v>4.1307898894154829E-2</v>
          </cell>
          <cell r="K17">
            <v>3.8722260352322131E-2</v>
          </cell>
          <cell r="N17">
            <v>4.7270097823129249E-2</v>
          </cell>
          <cell r="Q17">
            <v>4.1174129698780183E-2</v>
          </cell>
          <cell r="T17">
            <v>4.3165845970859346E-2</v>
          </cell>
        </row>
        <row r="18">
          <cell r="B18">
            <v>5.8799788497217079E-2</v>
          </cell>
          <cell r="E18">
            <v>5.1647359850257375E-2</v>
          </cell>
          <cell r="H18">
            <v>4.6662312796208534E-2</v>
          </cell>
          <cell r="K18">
            <v>4.2696124456646077E-2</v>
          </cell>
          <cell r="N18">
            <v>6.6563375510204068E-2</v>
          </cell>
          <cell r="Q18">
            <v>5.2897707244212104E-2</v>
          </cell>
          <cell r="T18">
            <v>5.6733960749330938E-2</v>
          </cell>
        </row>
        <row r="19">
          <cell r="B19">
            <v>2.3536548423005565E-2</v>
          </cell>
          <cell r="E19">
            <v>3.1726987552643887E-2</v>
          </cell>
          <cell r="H19">
            <v>3.4588362085308057E-2</v>
          </cell>
          <cell r="K19">
            <v>3.7008830626096237E-2</v>
          </cell>
          <cell r="N19">
            <v>2.1033113469387753E-2</v>
          </cell>
          <cell r="Q19">
            <v>2.1811367355406192E-2</v>
          </cell>
          <cell r="T19">
            <v>2.6450858162355043E-2</v>
          </cell>
        </row>
        <row r="20">
          <cell r="B20">
            <v>6.2957402597402592E-4</v>
          </cell>
          <cell r="E20">
            <v>7.1653139915769763E-4</v>
          </cell>
          <cell r="H20">
            <v>7.5918925750394944E-4</v>
          </cell>
          <cell r="K20">
            <v>7.9473835125448038E-4</v>
          </cell>
          <cell r="N20">
            <v>5.9246476190476184E-4</v>
          </cell>
          <cell r="Q20">
            <v>6.2618139573479374E-4</v>
          </cell>
          <cell r="T20">
            <v>6.6826167112696993E-4</v>
          </cell>
        </row>
        <row r="21">
          <cell r="B21">
            <v>1.7639936549165122E-2</v>
          </cell>
          <cell r="E21">
            <v>9.2965247730463288E-3</v>
          </cell>
          <cell r="H21">
            <v>8.3992163033175353E-3</v>
          </cell>
          <cell r="K21">
            <v>7.6853024021962943E-3</v>
          </cell>
          <cell r="N21">
            <v>1.9969012653061221E-2</v>
          </cell>
          <cell r="Q21">
            <v>1.5869312173263629E-2</v>
          </cell>
          <cell r="T21">
            <v>1.7020188224799285E-2</v>
          </cell>
        </row>
        <row r="22">
          <cell r="B22">
            <v>0.15178560296846011</v>
          </cell>
          <cell r="E22">
            <v>0.14407814693495555</v>
          </cell>
          <cell r="H22">
            <v>0.13600236966824641</v>
          </cell>
          <cell r="K22">
            <v>0.12904903530847253</v>
          </cell>
          <cell r="N22">
            <v>0.15188832653061224</v>
          </cell>
          <cell r="Q22">
            <v>0.16039014189693798</v>
          </cell>
          <cell r="T22">
            <v>0.14149866190900981</v>
          </cell>
        </row>
        <row r="23">
          <cell r="B23">
            <v>1.6344167717996343E-2</v>
          </cell>
          <cell r="E23">
            <v>0</v>
          </cell>
          <cell r="H23">
            <v>0</v>
          </cell>
          <cell r="K23">
            <v>0</v>
          </cell>
          <cell r="N23">
            <v>1.8192028299319773E-2</v>
          </cell>
          <cell r="Q23">
            <v>1.9153487013525899E-2</v>
          </cell>
          <cell r="T23">
            <v>1.8150263752601894E-2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10">
          <cell r="E10">
            <v>3728.1</v>
          </cell>
        </row>
      </sheetData>
      <sheetData sheetId="20" refreshError="1">
        <row r="72">
          <cell r="H72">
            <v>43187.056087122895</v>
          </cell>
        </row>
      </sheetData>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wnstream-PolyDBN+New Projects"/>
      <sheetName val="Downstream units-PWC+8500hrs"/>
      <sheetName val="Dashboard"/>
      <sheetName val="Revenue_Profile"/>
      <sheetName val="Assumptions"/>
      <sheetName val="FM_BC"/>
      <sheetName val="Financial Model_OPaL"/>
      <sheetName val="Feedstock Mix (Input)"/>
      <sheetName val="Products Output"/>
      <sheetName val="Datasheet"/>
      <sheetName val="Sensitivity Analysis_Inc Margin"/>
      <sheetName val="Sensitivity Analysis_Margin"/>
      <sheetName val="FM_Snr6"/>
      <sheetName val="FM_Snr4"/>
      <sheetName val="FM_Snr1"/>
      <sheetName val="FM_Snr2"/>
      <sheetName val="FM_Snr3"/>
      <sheetName val="FM_Snr5"/>
      <sheetName val="Yield_OPaL"/>
      <sheetName val="Material Balance"/>
      <sheetName val="mmbtu to MT conversion"/>
    </sheetNames>
    <sheetDataSet>
      <sheetData sheetId="0"/>
      <sheetData sheetId="1"/>
      <sheetData sheetId="2">
        <row r="5">
          <cell r="A5" t="str">
            <v>Scenario 2</v>
          </cell>
        </row>
      </sheetData>
      <sheetData sheetId="3"/>
      <sheetData sheetId="4"/>
      <sheetData sheetId="5"/>
      <sheetData sheetId="6"/>
      <sheetData sheetId="7"/>
      <sheetData sheetId="8"/>
      <sheetData sheetId="9"/>
      <sheetData sheetId="10"/>
      <sheetData sheetId="11"/>
      <sheetData sheetId="12">
        <row r="11">
          <cell r="K11">
            <v>3610.4790187137983</v>
          </cell>
          <cell r="O11">
            <v>126.17656833986257</v>
          </cell>
        </row>
      </sheetData>
      <sheetData sheetId="13">
        <row r="11">
          <cell r="K11">
            <v>3412.1002601278142</v>
          </cell>
          <cell r="O11">
            <v>-72.202190246121518</v>
          </cell>
        </row>
      </sheetData>
      <sheetData sheetId="14">
        <row r="11">
          <cell r="K11">
            <v>3443.3026684199572</v>
          </cell>
          <cell r="O11">
            <v>-40.999781953978527</v>
          </cell>
        </row>
      </sheetData>
      <sheetData sheetId="15">
        <row r="11">
          <cell r="K11">
            <v>4175.8611765305295</v>
          </cell>
          <cell r="O11">
            <v>691.55872615659382</v>
          </cell>
        </row>
      </sheetData>
      <sheetData sheetId="16">
        <row r="11">
          <cell r="K11">
            <v>4334.5329293303594</v>
          </cell>
          <cell r="O11">
            <v>850.23047895642367</v>
          </cell>
        </row>
      </sheetData>
      <sheetData sheetId="17">
        <row r="11">
          <cell r="K11">
            <v>3653.6143988437993</v>
          </cell>
          <cell r="O11">
            <v>169.31194846986364</v>
          </cell>
        </row>
      </sheetData>
      <sheetData sheetId="18"/>
      <sheetData sheetId="19"/>
      <sheetData sheetId="20"/>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Bokde" refreshedDate="44550.714761226853" backgroundQuery="1" createdVersion="5" refreshedVersion="5" minRefreshableVersion="3" recordCount="0" supportSubquery="1" supportAdvancedDrill="1" xr:uid="{00000000-000A-0000-FFFF-FFFF00000000}">
  <cacheSource type="external" connectionId="1"/>
  <cacheFields count="3">
    <cacheField name="[Measures].[Sum of Amount]" caption="Sum of Amount" numFmtId="0" hierarchy="14" level="32767"/>
    <cacheField name="[Range].[Grade].[Grade]" caption="Grade" numFmtId="0" hierarchy="10" level="1">
      <sharedItems count="9">
        <s v="HD BLOW MOLDING"/>
        <s v="HD FILM"/>
        <s v="HD INJ"/>
        <s v="HD YARN"/>
        <s v="LLD FILM"/>
        <s v="PP INJ"/>
        <s v="PP RAFFIA"/>
        <s v="PP TQ"/>
        <s v="PP-ICP"/>
      </sharedItems>
    </cacheField>
    <cacheField name="[Range].[Period].[Period]" caption="Period" numFmtId="0" hierarchy="13" level="1">
      <sharedItems containsSemiMixedTypes="0" containsNonDate="0" containsDate="1" containsString="0" minDate="2018-01-10T00:00:00" maxDate="2022-01-01T00:00:00" count="129">
        <d v="2018-01-10T00:00:00"/>
        <d v="2018-01-17T00:00:00"/>
        <d v="2018-01-24T00:00:00"/>
        <d v="2018-01-31T00:00:00"/>
        <d v="2018-02-14T00:00:00"/>
        <d v="2018-02-28T00:00:00"/>
        <d v="2018-03-21T00:00:00"/>
        <d v="2018-03-31T00:00:00"/>
        <d v="2018-04-18T00:00:00"/>
        <d v="2018-04-30T00:00:00"/>
        <d v="2018-05-16T00:00:00"/>
        <d v="2018-05-31T00:00:00"/>
        <d v="2018-06-30T00:00:00"/>
        <d v="2018-07-11T00:00:00"/>
        <d v="2018-07-31T00:00:00"/>
        <d v="2018-08-16T00:00:00"/>
        <d v="2018-08-31T00:00:00"/>
        <d v="2018-09-30T00:00:00"/>
        <d v="2018-10-10T00:00:00"/>
        <d v="2018-10-31T00:00:00"/>
        <d v="2018-11-14T00:00:00"/>
        <d v="2018-11-21T00:00:00"/>
        <d v="2018-11-30T00:00:00"/>
        <d v="2018-12-31T00:00:00"/>
        <d v="2019-01-09T00:00:00"/>
        <d v="2019-01-31T00:00:00"/>
        <d v="2019-02-20T00:00:00"/>
        <d v="2019-02-28T00:00:00"/>
        <d v="2019-03-31T00:00:00"/>
        <d v="2019-04-10T00:00:00"/>
        <d v="2019-04-17T00:00:00"/>
        <d v="2019-04-24T00:00:00"/>
        <d v="2019-04-30T00:00:00"/>
        <d v="2019-05-01T00:00:00"/>
        <d v="2019-05-08T00:00:00"/>
        <d v="2019-05-15T00:00:00"/>
        <d v="2019-05-31T00:00:00"/>
        <d v="2019-06-04T00:00:00"/>
        <d v="2019-06-12T00:00:00"/>
        <d v="2019-06-19T00:00:00"/>
        <d v="2019-06-30T00:00:00"/>
        <d v="2019-07-10T00:00:00"/>
        <d v="2019-07-31T00:00:00"/>
        <d v="2019-08-07T00:00:00"/>
        <d v="2019-08-31T00:00:00"/>
        <d v="2019-09-11T00:00:00"/>
        <d v="2019-09-18T00:00:00"/>
        <d v="2019-09-30T00:00:00"/>
        <d v="2019-10-09T00:00:00"/>
        <d v="2019-10-16T00:00:00"/>
        <d v="2019-10-31T00:00:00"/>
        <d v="2019-11-06T00:00:00"/>
        <d v="2019-11-13T00:00:00"/>
        <d v="2019-11-20T00:00:00"/>
        <d v="2019-11-30T00:00:00"/>
        <d v="2019-12-31T00:00:00"/>
        <d v="2020-01-08T00:00:00"/>
        <d v="2020-01-15T00:00:00"/>
        <d v="2020-01-31T00:00:00"/>
        <d v="2020-02-12T00:00:00"/>
        <d v="2020-02-19T00:00:00"/>
        <d v="2020-02-29T00:00:00"/>
        <d v="2020-03-18T00:00:00"/>
        <d v="2020-03-31T00:00:00"/>
        <d v="2020-04-09T00:00:00"/>
        <d v="2020-04-30T00:00:00"/>
        <d v="2020-05-13T00:00:00"/>
        <d v="2020-05-20T00:00:00"/>
        <d v="2020-05-31T00:00:00"/>
        <d v="2020-06-10T00:00:00"/>
        <d v="2020-06-17T00:00:00"/>
        <d v="2020-06-30T00:00:00"/>
        <d v="2020-07-15T00:00:00"/>
        <d v="2020-07-22T00:00:00"/>
        <d v="2020-07-31T00:00:00"/>
        <d v="2020-08-05T00:00:00"/>
        <d v="2020-08-12T00:00:00"/>
        <d v="2020-08-31T00:00:00"/>
        <d v="2020-09-02T00:00:00"/>
        <d v="2020-09-09T00:00:00"/>
        <d v="2020-09-16T00:00:00"/>
        <d v="2020-09-30T00:00:00"/>
        <d v="2020-10-14T00:00:00"/>
        <d v="2020-10-21T00:00:00"/>
        <d v="2020-10-31T00:00:00"/>
        <d v="2020-11-18T00:00:00"/>
        <d v="2020-11-25T00:00:00"/>
        <d v="2020-11-30T00:00:00"/>
        <d v="2020-12-09T00:00:00"/>
        <d v="2020-12-16T00:00:00"/>
        <d v="2020-12-31T00:00:00"/>
        <d v="2021-01-06T00:00:00"/>
        <d v="2021-01-13T00:00:00"/>
        <d v="2021-01-20T00:00:00"/>
        <d v="2021-01-31T00:00:00"/>
        <d v="2021-02-03T00:00:00"/>
        <d v="2021-02-11T00:00:00"/>
        <d v="2021-02-17T00:00:00"/>
        <d v="2021-02-24T00:00:00"/>
        <d v="2021-02-28T00:00:00"/>
        <d v="2021-03-03T00:00:00"/>
        <d v="2021-03-10T00:00:00"/>
        <d v="2021-03-31T00:00:00"/>
        <d v="2021-04-14T00:00:00"/>
        <d v="2021-04-21T00:00:00"/>
        <d v="2021-04-30T00:00:00"/>
        <d v="2021-05-05T00:00:00"/>
        <d v="2021-05-19T00:00:00"/>
        <d v="2021-05-31T00:00:00"/>
        <d v="2021-06-09T00:00:00"/>
        <d v="2021-06-16T00:00:00"/>
        <d v="2021-06-30T00:00:00"/>
        <d v="2021-07-07T00:00:00"/>
        <d v="2021-07-14T00:00:00"/>
        <d v="2021-07-21T00:00:00"/>
        <d v="2021-07-31T00:00:00"/>
        <d v="2021-08-11T00:00:00"/>
        <d v="2021-08-18T00:00:00"/>
        <d v="2021-08-31T00:00:00"/>
        <d v="2021-09-22T00:00:00"/>
        <d v="2021-09-30T00:00:00"/>
        <d v="2021-10-06T00:00:00"/>
        <d v="2021-10-13T00:00:00"/>
        <d v="2021-10-31T00:00:00"/>
        <d v="2021-11-17T00:00:00"/>
        <d v="2021-11-30T00:00:00"/>
        <d v="2021-12-08T00:00:00"/>
        <d v="2021-12-15T00:00:00"/>
        <d v="2021-12-31T00:00:00"/>
      </sharedItems>
    </cacheField>
  </cacheFields>
  <cacheHierarchies count="17">
    <cacheHierarchy uniqueName="[Range].[Condition type]" caption="Condition type" attribute="1" defaultMemberUniqueName="[Range].[Condition type].[All]" allUniqueName="[Range].[Condition type].[All]" dimensionUniqueName="[Range]" displayFolder="" count="0" memberValueDatatype="130" unbalanced="0"/>
    <cacheHierarchy uniqueName="[Range].[Plant]" caption="Plant" attribute="1" defaultMemberUniqueName="[Range].[Plant].[All]" allUniqueName="[Range].[Plant].[All]" dimensionUniqueName="[Range]" displayFolder="" count="0" memberValueDatatype="130" unbalanced="0"/>
    <cacheHierarchy uniqueName="[Range].[Pricing Zone]" caption="Pricing Zone" attribute="1" defaultMemberUniqueName="[Range].[Pricing Zone].[All]" allUniqueName="[Range].[Pricing Zone].[All]" dimensionUniqueName="[Range]" displayFolder="" count="0" memberValueDatatype="130" unbalanced="0"/>
    <cacheHierarchy uniqueName="[Range].[Amount]" caption="Amount" attribute="1" defaultMemberUniqueName="[Range].[Amount].[All]" allUniqueName="[Range].[Amount].[All]" dimensionUniqueName="[Range]" displayFolder="" count="0" memberValueDatatype="20" unbalanced="0"/>
    <cacheHierarchy uniqueName="[Range].[Condition currency]" caption="Condition currency" attribute="1" defaultMemberUniqueName="[Range].[Condition currency].[All]" allUniqueName="[Range].[Condition currency].[All]" dimensionUniqueName="[Range]" displayFolder="" count="0" memberValueDatatype="130" unbalanced="0"/>
    <cacheHierarchy uniqueName="[Range].[Pricing unit]" caption="Pricing unit" attribute="1" defaultMemberUniqueName="[Range].[Pricing unit].[All]" allUniqueName="[Range].[Pricing unit].[All]" dimensionUniqueName="[Range]" displayFolder="" count="0" memberValueDatatype="20" unbalanced="0"/>
    <cacheHierarchy uniqueName="[Range].[Unit of measure]" caption="Unit of measure" attribute="1" defaultMemberUniqueName="[Range].[Unit of measure].[All]" allUniqueName="[Range].[Unit of measure].[All]" dimensionUniqueName="[Range]" displayFolder="" count="0" memberValueDatatype="130" unbalanced="0"/>
    <cacheHierarchy uniqueName="[Range].[Material]" caption="Material" attribute="1" defaultMemberUniqueName="[Range].[Material].[All]" allUniqueName="[Range].[Material].[All]" dimensionUniqueName="[Range]" displayFolder="" count="2" memberValueDatatype="130" unbalanced="0"/>
    <cacheHierarchy uniqueName="[Range].[Valid From]" caption="Valid From" attribute="1" time="1" defaultMemberUniqueName="[Range].[Valid From].[All]" allUniqueName="[Range].[Valid From].[All]" dimensionUniqueName="[Range]" displayFolder="" count="0" memberValueDatatype="7" unbalanced="0"/>
    <cacheHierarchy uniqueName="[Range].[Valid to]" caption="Valid to" attribute="1" time="1" defaultMemberUniqueName="[Range].[Valid to].[All]" allUniqueName="[Range].[Valid to].[All]" dimensionUniqueName="[Range]" displayFolder="" count="0" memberValueDatatype="7" unbalanced="0"/>
    <cacheHierarchy uniqueName="[Range].[Grade]" caption="Grade" attribute="1" defaultMemberUniqueName="[Range].[Grade].[All]" allUniqueName="[Range].[Grade].[All]" dimensionUniqueName="[Range]" displayFolder="" count="2" memberValueDatatype="130" unbalanced="0">
      <fieldsUsage count="2">
        <fieldUsage x="-1"/>
        <fieldUsage x="1"/>
      </fieldsUsage>
    </cacheHierarchy>
    <cacheHierarchy uniqueName="[Range].[USD to INR]" caption="USD to INR" attribute="1" defaultMemberUniqueName="[Range].[USD to INR].[All]" allUniqueName="[Range].[USD to INR].[All]" dimensionUniqueName="[Range]" displayFolder="" count="0" memberValueDatatype="5" unbalanced="0"/>
    <cacheHierarchy uniqueName="[Range].[Rate USD/MT]" caption="Rate USD/MT" attribute="1" defaultMemberUniqueName="[Range].[Rate USD/MT].[All]" allUniqueName="[Range].[Rate USD/MT].[All]" dimensionUniqueName="[Range]" displayFolder="" count="0" memberValueDatatype="5" unbalanced="0"/>
    <cacheHierarchy uniqueName="[Range].[Period]" caption="Period" attribute="1" time="1" defaultMemberUniqueName="[Range].[Period].[All]" allUniqueName="[Range].[Period].[All]" dimensionUniqueName="[Range]" displayFolder="" count="2" memberValueDatatype="7" unbalanced="0">
      <fieldsUsage count="2">
        <fieldUsage x="-1"/>
        <fieldUsage x="2"/>
      </fieldsUsage>
    </cacheHierarchy>
    <cacheHierarchy uniqueName="[Measures].[Sum of Amount]" caption="Sum of Amount" measure="1" displayFolder="" measureGroup="Range" count="0" oneField="1">
      <fieldsUsage count="1">
        <fieldUsage x="0"/>
      </fieldsUsage>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700-000000000000}"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EA14" firstHeaderRow="1" firstDataRow="2" firstDataCol="1"/>
  <pivotFields count="3">
    <pivotField dataField="1" showAll="0"/>
    <pivotField axis="axisRow" allDrilled="1" showAll="0" dataSourceSort="1" defaultAttributeDrillState="1">
      <items count="10">
        <item x="0"/>
        <item x="1"/>
        <item x="2"/>
        <item x="3"/>
        <item x="4"/>
        <item x="5"/>
        <item x="6"/>
        <item x="7"/>
        <item x="8"/>
        <item t="default"/>
      </items>
    </pivotField>
    <pivotField axis="axisCol" allDrilled="1" showAll="0" dataSourceSort="1" defaultAttributeDrillState="1">
      <items count="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s>
  <rowFields count="1">
    <field x="1"/>
  </rowFields>
  <rowItems count="10">
    <i>
      <x/>
    </i>
    <i>
      <x v="1"/>
    </i>
    <i>
      <x v="2"/>
    </i>
    <i>
      <x v="3"/>
    </i>
    <i>
      <x v="4"/>
    </i>
    <i>
      <x v="5"/>
    </i>
    <i>
      <x v="6"/>
    </i>
    <i>
      <x v="7"/>
    </i>
    <i>
      <x v="8"/>
    </i>
    <i t="grand">
      <x/>
    </i>
  </rowItems>
  <colFields count="1">
    <field x="2"/>
  </colFields>
  <colItems count="1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t="grand">
      <x/>
    </i>
  </colItems>
  <dataFields count="1">
    <dataField name="Sum of Amount" fld="0"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2!$A:$N">
        <x15:activeTabTopLevelEntity name="[Range]"/>
      </x15:pivotTableUISettings>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R1:AF51"/>
  <sheetViews>
    <sheetView topLeftCell="J1" zoomScaleNormal="100" workbookViewId="0">
      <selection activeCell="T14" sqref="T14"/>
    </sheetView>
  </sheetViews>
  <sheetFormatPr defaultRowHeight="15" x14ac:dyDescent="0.25"/>
  <cols>
    <col min="18" max="18" width="31" bestFit="1" customWidth="1"/>
    <col min="19" max="19" width="5.140625" bestFit="1" customWidth="1"/>
    <col min="20" max="20" width="12.28515625" bestFit="1" customWidth="1"/>
    <col min="21" max="21" width="10.5703125" bestFit="1" customWidth="1"/>
    <col min="22" max="22" width="5.140625" bestFit="1" customWidth="1"/>
    <col min="26" max="26" width="12.42578125" bestFit="1" customWidth="1"/>
    <col min="27" max="27" width="14.85546875" bestFit="1" customWidth="1"/>
    <col min="31" max="31" width="11.7109375" bestFit="1" customWidth="1"/>
  </cols>
  <sheetData>
    <row r="1" spans="18:24" x14ac:dyDescent="0.25">
      <c r="R1" s="4">
        <v>46527</v>
      </c>
    </row>
    <row r="2" spans="18:24" x14ac:dyDescent="0.25">
      <c r="R2" s="8" t="s">
        <v>28</v>
      </c>
      <c r="S2" s="8" t="s">
        <v>21</v>
      </c>
      <c r="T2" s="8" t="s">
        <v>27</v>
      </c>
      <c r="U2" t="s">
        <v>23</v>
      </c>
    </row>
    <row r="3" spans="18:24" x14ac:dyDescent="0.25">
      <c r="R3" s="6" t="s">
        <v>0</v>
      </c>
      <c r="S3" s="7">
        <v>22282</v>
      </c>
      <c r="T3" s="6">
        <v>6</v>
      </c>
      <c r="U3">
        <f>T3</f>
        <v>6</v>
      </c>
      <c r="V3" s="1">
        <f t="shared" ref="V3:V34" si="0">U3-T3</f>
        <v>0</v>
      </c>
    </row>
    <row r="4" spans="18:24" x14ac:dyDescent="0.25">
      <c r="R4" s="6" t="s">
        <v>1</v>
      </c>
      <c r="S4" s="7">
        <v>23377</v>
      </c>
      <c r="T4" s="6">
        <v>7</v>
      </c>
      <c r="U4">
        <f t="shared" ref="U4:U25" si="1">T4+U3</f>
        <v>13</v>
      </c>
      <c r="V4" s="1">
        <f t="shared" si="0"/>
        <v>6</v>
      </c>
    </row>
    <row r="5" spans="18:24" x14ac:dyDescent="0.25">
      <c r="R5" s="6" t="s">
        <v>2</v>
      </c>
      <c r="S5" s="7">
        <v>24473</v>
      </c>
      <c r="T5" s="6">
        <v>6</v>
      </c>
      <c r="U5">
        <f t="shared" si="1"/>
        <v>19</v>
      </c>
      <c r="V5" s="1">
        <f t="shared" si="0"/>
        <v>13</v>
      </c>
    </row>
    <row r="6" spans="18:24" x14ac:dyDescent="0.25">
      <c r="R6" s="6" t="s">
        <v>3</v>
      </c>
      <c r="S6" s="7">
        <v>24839</v>
      </c>
      <c r="T6" s="6">
        <v>21.5</v>
      </c>
      <c r="U6">
        <f t="shared" si="1"/>
        <v>40.5</v>
      </c>
      <c r="V6" s="1">
        <f t="shared" si="0"/>
        <v>19</v>
      </c>
    </row>
    <row r="7" spans="18:24" x14ac:dyDescent="0.25">
      <c r="R7" s="6" t="s">
        <v>4</v>
      </c>
      <c r="S7" s="7">
        <v>25936</v>
      </c>
      <c r="T7" s="6">
        <v>30</v>
      </c>
      <c r="U7">
        <f t="shared" si="1"/>
        <v>70.5</v>
      </c>
      <c r="V7" s="1">
        <f t="shared" si="0"/>
        <v>40.5</v>
      </c>
    </row>
    <row r="8" spans="18:24" x14ac:dyDescent="0.25">
      <c r="R8" s="6" t="s">
        <v>5</v>
      </c>
      <c r="S8" s="7">
        <v>30685</v>
      </c>
      <c r="T8" s="6">
        <v>55</v>
      </c>
      <c r="U8">
        <f t="shared" si="1"/>
        <v>125.5</v>
      </c>
      <c r="V8" s="1">
        <f t="shared" si="0"/>
        <v>70.5</v>
      </c>
    </row>
    <row r="9" spans="18:24" x14ac:dyDescent="0.25">
      <c r="R9" s="6" t="s">
        <v>6</v>
      </c>
      <c r="S9" s="7">
        <v>32878</v>
      </c>
      <c r="T9" s="6">
        <v>270</v>
      </c>
      <c r="U9">
        <f t="shared" si="1"/>
        <v>395.5</v>
      </c>
      <c r="V9" s="1">
        <f t="shared" si="0"/>
        <v>125.5</v>
      </c>
    </row>
    <row r="10" spans="18:24" x14ac:dyDescent="0.25">
      <c r="R10" s="6" t="s">
        <v>7</v>
      </c>
      <c r="S10" s="7">
        <v>33609</v>
      </c>
      <c r="T10" s="6">
        <v>130</v>
      </c>
      <c r="U10">
        <f t="shared" si="1"/>
        <v>525.5</v>
      </c>
      <c r="V10" s="1">
        <f t="shared" si="0"/>
        <v>395.5</v>
      </c>
      <c r="W10">
        <v>1990</v>
      </c>
      <c r="X10">
        <v>300</v>
      </c>
    </row>
    <row r="11" spans="18:24" x14ac:dyDescent="0.25">
      <c r="R11" s="6" t="s">
        <v>8</v>
      </c>
      <c r="S11" s="7">
        <v>35802</v>
      </c>
      <c r="T11" s="6">
        <v>240</v>
      </c>
      <c r="U11">
        <f t="shared" si="1"/>
        <v>765.5</v>
      </c>
      <c r="V11" s="1">
        <f t="shared" si="0"/>
        <v>525.5</v>
      </c>
    </row>
    <row r="12" spans="18:24" x14ac:dyDescent="0.25">
      <c r="R12" s="6" t="s">
        <v>9</v>
      </c>
      <c r="S12" s="7">
        <v>39821</v>
      </c>
      <c r="T12" s="6">
        <v>170</v>
      </c>
      <c r="U12">
        <f t="shared" si="1"/>
        <v>935.5</v>
      </c>
      <c r="V12" s="1">
        <f t="shared" si="0"/>
        <v>765.5</v>
      </c>
      <c r="W12">
        <v>2001</v>
      </c>
      <c r="X12">
        <v>800</v>
      </c>
    </row>
    <row r="13" spans="18:24" x14ac:dyDescent="0.25">
      <c r="R13" s="6" t="s">
        <v>10</v>
      </c>
      <c r="S13" s="7">
        <v>41648</v>
      </c>
      <c r="T13" s="6">
        <f>360-T11</f>
        <v>120</v>
      </c>
      <c r="U13">
        <f t="shared" si="1"/>
        <v>1055.5</v>
      </c>
      <c r="V13" s="1">
        <f t="shared" si="0"/>
        <v>935.5</v>
      </c>
    </row>
    <row r="14" spans="18:24" x14ac:dyDescent="0.25">
      <c r="R14" s="6" t="s">
        <v>6</v>
      </c>
      <c r="S14" s="7">
        <v>43110</v>
      </c>
      <c r="T14" s="6">
        <f>360-T9</f>
        <v>90</v>
      </c>
      <c r="U14">
        <f t="shared" si="1"/>
        <v>1145.5</v>
      </c>
      <c r="V14" s="1">
        <f t="shared" si="0"/>
        <v>1055.5</v>
      </c>
    </row>
    <row r="15" spans="18:24" x14ac:dyDescent="0.25">
      <c r="R15" s="6" t="s">
        <v>9</v>
      </c>
      <c r="S15" s="7">
        <v>43262</v>
      </c>
      <c r="T15" s="6">
        <f>300-T12</f>
        <v>130</v>
      </c>
      <c r="U15">
        <f t="shared" si="1"/>
        <v>1275.5</v>
      </c>
      <c r="V15" s="1">
        <f t="shared" si="0"/>
        <v>1145.5</v>
      </c>
    </row>
    <row r="16" spans="18:24" x14ac:dyDescent="0.25">
      <c r="R16" s="6" t="s">
        <v>2</v>
      </c>
      <c r="S16" s="7">
        <v>43477</v>
      </c>
      <c r="T16" s="6">
        <f>66-T5</f>
        <v>60</v>
      </c>
      <c r="U16">
        <f t="shared" si="1"/>
        <v>1335.5</v>
      </c>
      <c r="V16" s="1">
        <f t="shared" si="0"/>
        <v>1275.5</v>
      </c>
    </row>
    <row r="17" spans="18:32" x14ac:dyDescent="0.25">
      <c r="R17" s="6" t="s">
        <v>4</v>
      </c>
      <c r="S17" s="7">
        <v>43843</v>
      </c>
      <c r="T17" s="6">
        <f>90-T7</f>
        <v>60</v>
      </c>
      <c r="U17">
        <f t="shared" si="1"/>
        <v>1395.5</v>
      </c>
      <c r="V17" s="1">
        <f t="shared" si="0"/>
        <v>1335.5</v>
      </c>
      <c r="W17" s="3">
        <f>S16</f>
        <v>43477</v>
      </c>
      <c r="X17" s="1">
        <f>U16/1000</f>
        <v>1.3354999999999999</v>
      </c>
    </row>
    <row r="18" spans="18:32" x14ac:dyDescent="0.25">
      <c r="R18" s="6" t="s">
        <v>1</v>
      </c>
      <c r="S18" s="7">
        <v>43996</v>
      </c>
      <c r="T18" s="6">
        <f>66-T4</f>
        <v>59</v>
      </c>
      <c r="U18">
        <f t="shared" si="1"/>
        <v>1454.5</v>
      </c>
      <c r="V18" s="1">
        <f t="shared" si="0"/>
        <v>1395.5</v>
      </c>
      <c r="W18" s="3">
        <f>S17</f>
        <v>43843</v>
      </c>
      <c r="X18">
        <v>3791</v>
      </c>
      <c r="AC18" t="s">
        <v>21</v>
      </c>
      <c r="AD18" t="s">
        <v>22</v>
      </c>
      <c r="AE18" t="s">
        <v>23</v>
      </c>
      <c r="AF18" t="s">
        <v>25</v>
      </c>
    </row>
    <row r="19" spans="18:32" x14ac:dyDescent="0.25">
      <c r="R19" s="6" t="s">
        <v>7</v>
      </c>
      <c r="S19" s="7">
        <v>44211</v>
      </c>
      <c r="T19" s="6">
        <f>272-T10</f>
        <v>142</v>
      </c>
      <c r="U19">
        <f t="shared" si="1"/>
        <v>1596.5</v>
      </c>
      <c r="V19" s="1">
        <f t="shared" si="0"/>
        <v>1454.5</v>
      </c>
      <c r="W19" s="3">
        <f>S19</f>
        <v>44211</v>
      </c>
      <c r="X19">
        <v>4056</v>
      </c>
      <c r="AC19" s="3">
        <v>22282</v>
      </c>
      <c r="AD19">
        <v>6</v>
      </c>
      <c r="AE19">
        <f>AD19</f>
        <v>6</v>
      </c>
    </row>
    <row r="20" spans="18:32" x14ac:dyDescent="0.25">
      <c r="R20" s="6" t="s">
        <v>5</v>
      </c>
      <c r="S20" s="7">
        <v>45307</v>
      </c>
      <c r="T20" s="6">
        <f>95-T6</f>
        <v>73.5</v>
      </c>
      <c r="U20">
        <f t="shared" si="1"/>
        <v>1670</v>
      </c>
      <c r="V20" s="1">
        <f t="shared" si="0"/>
        <v>1596.5</v>
      </c>
      <c r="W20" s="3">
        <f>S20</f>
        <v>45307</v>
      </c>
      <c r="X20">
        <v>4969</v>
      </c>
      <c r="AC20" s="3">
        <v>23377</v>
      </c>
      <c r="AD20">
        <v>7</v>
      </c>
      <c r="AE20">
        <f t="shared" ref="AE20:AE47" si="2">AD20</f>
        <v>7</v>
      </c>
    </row>
    <row r="21" spans="18:32" x14ac:dyDescent="0.25">
      <c r="R21" s="6" t="s">
        <v>20</v>
      </c>
      <c r="S21" s="7">
        <v>45674</v>
      </c>
      <c r="T21" s="6">
        <v>200</v>
      </c>
      <c r="U21">
        <f t="shared" si="1"/>
        <v>1870</v>
      </c>
      <c r="V21" s="1">
        <f t="shared" si="0"/>
        <v>1670</v>
      </c>
      <c r="W21" s="3">
        <f>S25</f>
        <v>46559</v>
      </c>
      <c r="X21" s="1">
        <f>U25/1000</f>
        <v>7.94</v>
      </c>
      <c r="AC21" s="3">
        <v>24473</v>
      </c>
      <c r="AD21">
        <v>6</v>
      </c>
      <c r="AE21">
        <f t="shared" si="2"/>
        <v>6</v>
      </c>
    </row>
    <row r="22" spans="18:32" x14ac:dyDescent="0.25">
      <c r="R22" s="6" t="s">
        <v>9</v>
      </c>
      <c r="S22" s="7">
        <v>46040</v>
      </c>
      <c r="T22" s="6">
        <v>300</v>
      </c>
      <c r="U22">
        <f t="shared" si="1"/>
        <v>2170</v>
      </c>
      <c r="V22" s="1">
        <f t="shared" si="0"/>
        <v>1870</v>
      </c>
      <c r="Y22" t="s">
        <v>24</v>
      </c>
      <c r="Z22" t="s">
        <v>25</v>
      </c>
      <c r="AA22" t="s">
        <v>26</v>
      </c>
      <c r="AC22" s="3">
        <v>24839</v>
      </c>
      <c r="AD22">
        <v>21.5</v>
      </c>
      <c r="AE22">
        <f t="shared" si="2"/>
        <v>21.5</v>
      </c>
    </row>
    <row r="23" spans="18:32" x14ac:dyDescent="0.25">
      <c r="R23" s="6" t="s">
        <v>9</v>
      </c>
      <c r="S23" s="7">
        <v>46161</v>
      </c>
      <c r="T23" s="6">
        <v>70</v>
      </c>
      <c r="U23">
        <f t="shared" si="1"/>
        <v>2240</v>
      </c>
      <c r="V23" s="1">
        <f t="shared" si="0"/>
        <v>2170</v>
      </c>
      <c r="X23" s="1">
        <v>26664</v>
      </c>
      <c r="Y23" s="3">
        <v>26664</v>
      </c>
      <c r="Z23">
        <v>30</v>
      </c>
      <c r="AA23" s="5">
        <v>70.5</v>
      </c>
      <c r="AC23" s="3">
        <v>25936</v>
      </c>
      <c r="AD23">
        <v>30</v>
      </c>
      <c r="AE23">
        <f t="shared" si="2"/>
        <v>30</v>
      </c>
    </row>
    <row r="24" spans="18:32" x14ac:dyDescent="0.25">
      <c r="R24" s="6" t="s">
        <v>18</v>
      </c>
      <c r="S24" s="7">
        <v>46407</v>
      </c>
      <c r="T24" s="6">
        <v>1200</v>
      </c>
      <c r="U24">
        <f t="shared" si="1"/>
        <v>3440</v>
      </c>
      <c r="V24" s="1">
        <f t="shared" si="0"/>
        <v>2240</v>
      </c>
      <c r="X24" s="1">
        <v>27759</v>
      </c>
      <c r="Y24" s="3">
        <v>27759</v>
      </c>
      <c r="Z24">
        <v>50</v>
      </c>
      <c r="AA24" s="5">
        <v>70.5</v>
      </c>
      <c r="AC24" s="3">
        <v>26301</v>
      </c>
      <c r="AD24">
        <v>30</v>
      </c>
      <c r="AE24">
        <f t="shared" si="2"/>
        <v>30</v>
      </c>
      <c r="AF24">
        <v>30</v>
      </c>
    </row>
    <row r="25" spans="18:32" x14ac:dyDescent="0.25">
      <c r="R25" s="6" t="s">
        <v>19</v>
      </c>
      <c r="S25" s="7">
        <v>46559</v>
      </c>
      <c r="T25" s="6">
        <v>4500</v>
      </c>
      <c r="U25">
        <f t="shared" si="1"/>
        <v>7940</v>
      </c>
      <c r="V25" s="1">
        <f t="shared" si="0"/>
        <v>3440</v>
      </c>
      <c r="X25" s="1">
        <v>29586</v>
      </c>
      <c r="Y25" s="3">
        <v>29586</v>
      </c>
      <c r="Z25">
        <v>90</v>
      </c>
      <c r="AA25" s="5">
        <v>70.5</v>
      </c>
      <c r="AC25" s="3">
        <v>27397</v>
      </c>
      <c r="AD25">
        <v>30</v>
      </c>
      <c r="AE25">
        <f t="shared" si="2"/>
        <v>30</v>
      </c>
      <c r="AF25">
        <v>50</v>
      </c>
    </row>
    <row r="26" spans="18:32" x14ac:dyDescent="0.25">
      <c r="R26" s="120" t="s">
        <v>107</v>
      </c>
      <c r="S26" s="3">
        <v>47290</v>
      </c>
      <c r="T26" s="120">
        <v>300</v>
      </c>
      <c r="U26">
        <f>U25</f>
        <v>7940</v>
      </c>
      <c r="V26" s="1">
        <f t="shared" si="0"/>
        <v>7640</v>
      </c>
      <c r="X26" s="1">
        <v>31412</v>
      </c>
      <c r="Y26" s="3">
        <v>31412</v>
      </c>
      <c r="Z26">
        <v>170</v>
      </c>
      <c r="AA26" s="5">
        <v>125.5</v>
      </c>
      <c r="AC26" s="3">
        <v>29223</v>
      </c>
      <c r="AD26">
        <v>30</v>
      </c>
      <c r="AE26">
        <f t="shared" si="2"/>
        <v>30</v>
      </c>
      <c r="AF26">
        <v>90</v>
      </c>
    </row>
    <row r="27" spans="18:32" x14ac:dyDescent="0.25">
      <c r="R27" s="120" t="s">
        <v>108</v>
      </c>
      <c r="S27" s="3">
        <v>46926</v>
      </c>
      <c r="T27" s="120">
        <v>500</v>
      </c>
      <c r="U27">
        <f>U26</f>
        <v>7940</v>
      </c>
      <c r="V27" s="1">
        <f t="shared" si="0"/>
        <v>7440</v>
      </c>
      <c r="X27" s="1">
        <v>33603</v>
      </c>
      <c r="Y27" s="3">
        <v>33603</v>
      </c>
      <c r="Z27">
        <v>245</v>
      </c>
      <c r="AA27" s="5">
        <v>395.5</v>
      </c>
      <c r="AC27" s="3">
        <v>30685</v>
      </c>
      <c r="AD27">
        <v>55</v>
      </c>
      <c r="AE27">
        <f t="shared" si="2"/>
        <v>55</v>
      </c>
      <c r="AF27">
        <v>170</v>
      </c>
    </row>
    <row r="28" spans="18:32" x14ac:dyDescent="0.25">
      <c r="V28" s="1">
        <f t="shared" si="0"/>
        <v>0</v>
      </c>
      <c r="X28" s="1">
        <v>35064</v>
      </c>
      <c r="Y28" s="3">
        <v>35064</v>
      </c>
      <c r="Z28">
        <v>395</v>
      </c>
      <c r="AA28" s="5">
        <v>525.5</v>
      </c>
      <c r="AC28" s="3">
        <v>32878</v>
      </c>
      <c r="AD28">
        <v>270</v>
      </c>
      <c r="AE28">
        <f t="shared" si="2"/>
        <v>270</v>
      </c>
      <c r="AF28">
        <v>245</v>
      </c>
    </row>
    <row r="29" spans="18:32" x14ac:dyDescent="0.25">
      <c r="V29" s="1">
        <f t="shared" si="0"/>
        <v>0</v>
      </c>
      <c r="X29" s="1">
        <v>36891</v>
      </c>
      <c r="Y29" s="3">
        <v>36891</v>
      </c>
      <c r="Z29">
        <v>620</v>
      </c>
      <c r="AA29" s="5">
        <v>765.5</v>
      </c>
      <c r="AC29" s="3">
        <v>33609</v>
      </c>
      <c r="AD29">
        <v>130</v>
      </c>
      <c r="AE29">
        <f t="shared" si="2"/>
        <v>130</v>
      </c>
    </row>
    <row r="30" spans="18:32" x14ac:dyDescent="0.25">
      <c r="V30" s="1">
        <f t="shared" si="0"/>
        <v>0</v>
      </c>
      <c r="X30" s="1">
        <v>38717</v>
      </c>
      <c r="Y30" s="3">
        <v>38717</v>
      </c>
      <c r="Z30">
        <v>975</v>
      </c>
      <c r="AA30" s="5">
        <v>765.5</v>
      </c>
      <c r="AC30" s="3">
        <v>34705</v>
      </c>
      <c r="AD30">
        <v>130</v>
      </c>
      <c r="AE30">
        <f t="shared" si="2"/>
        <v>130</v>
      </c>
    </row>
    <row r="31" spans="18:32" x14ac:dyDescent="0.25">
      <c r="V31" s="1">
        <f t="shared" si="0"/>
        <v>0</v>
      </c>
      <c r="X31" s="1">
        <v>40543</v>
      </c>
      <c r="Y31" s="3">
        <v>40543</v>
      </c>
      <c r="Z31">
        <v>1860</v>
      </c>
      <c r="AA31" s="5">
        <v>935.5</v>
      </c>
      <c r="AC31" s="3">
        <v>35802</v>
      </c>
      <c r="AD31">
        <v>240</v>
      </c>
      <c r="AE31">
        <f t="shared" si="2"/>
        <v>240</v>
      </c>
      <c r="AF31">
        <v>395</v>
      </c>
    </row>
    <row r="32" spans="18:32" x14ac:dyDescent="0.25">
      <c r="V32" s="1">
        <f t="shared" si="0"/>
        <v>0</v>
      </c>
      <c r="X32" s="1">
        <v>42004</v>
      </c>
      <c r="Y32" s="3">
        <v>42004</v>
      </c>
      <c r="Z32">
        <v>2450</v>
      </c>
      <c r="AA32" s="5">
        <v>1055.5</v>
      </c>
      <c r="AC32" s="3">
        <v>39821</v>
      </c>
      <c r="AD32">
        <v>170</v>
      </c>
      <c r="AE32">
        <f t="shared" si="2"/>
        <v>170</v>
      </c>
      <c r="AF32">
        <v>620</v>
      </c>
    </row>
    <row r="33" spans="22:32" x14ac:dyDescent="0.25">
      <c r="V33" s="1">
        <f t="shared" si="0"/>
        <v>0</v>
      </c>
      <c r="X33" s="1">
        <v>42369</v>
      </c>
      <c r="Y33" s="3">
        <v>42369</v>
      </c>
      <c r="Z33">
        <v>2585</v>
      </c>
      <c r="AA33" s="5">
        <v>1055.5</v>
      </c>
      <c r="AC33" s="3">
        <v>41648</v>
      </c>
      <c r="AD33">
        <f>360-AD31</f>
        <v>120</v>
      </c>
      <c r="AE33">
        <f t="shared" si="2"/>
        <v>120</v>
      </c>
      <c r="AF33">
        <v>975</v>
      </c>
    </row>
    <row r="34" spans="22:32" x14ac:dyDescent="0.25">
      <c r="V34" s="1">
        <f t="shared" si="0"/>
        <v>0</v>
      </c>
      <c r="W34">
        <f>0.8/3</f>
        <v>0.26666666666666666</v>
      </c>
      <c r="X34" s="1">
        <v>42735</v>
      </c>
      <c r="Y34" s="3">
        <v>42735</v>
      </c>
      <c r="Z34">
        <v>2010</v>
      </c>
      <c r="AA34" s="5">
        <v>1055.5</v>
      </c>
      <c r="AC34" s="3">
        <v>43110</v>
      </c>
      <c r="AD34">
        <f>360-AD28</f>
        <v>90</v>
      </c>
      <c r="AE34">
        <f t="shared" si="2"/>
        <v>90</v>
      </c>
      <c r="AF34">
        <v>1860</v>
      </c>
    </row>
    <row r="35" spans="22:32" x14ac:dyDescent="0.25">
      <c r="V35" s="1">
        <f t="shared" ref="V35:V51" si="3">U35-T35</f>
        <v>0</v>
      </c>
      <c r="X35" s="1">
        <v>43100</v>
      </c>
      <c r="Y35" s="3">
        <v>43100</v>
      </c>
      <c r="Z35">
        <v>3008</v>
      </c>
      <c r="AA35" s="5">
        <v>1055.5</v>
      </c>
      <c r="AC35" s="3">
        <v>43262</v>
      </c>
      <c r="AD35">
        <f>300-AD32</f>
        <v>130</v>
      </c>
      <c r="AE35">
        <f t="shared" si="2"/>
        <v>130</v>
      </c>
      <c r="AF35">
        <v>2450</v>
      </c>
    </row>
    <row r="36" spans="22:32" x14ac:dyDescent="0.25">
      <c r="V36" s="1">
        <f t="shared" si="3"/>
        <v>0</v>
      </c>
      <c r="X36" s="1">
        <v>43465</v>
      </c>
      <c r="Y36" s="3">
        <v>43465</v>
      </c>
      <c r="Z36">
        <v>3493</v>
      </c>
      <c r="AA36" s="5">
        <v>1275.5</v>
      </c>
      <c r="AC36" s="3">
        <v>43477</v>
      </c>
      <c r="AD36">
        <f>66-AD21</f>
        <v>60</v>
      </c>
      <c r="AE36">
        <f t="shared" si="2"/>
        <v>60</v>
      </c>
      <c r="AF36">
        <v>2585</v>
      </c>
    </row>
    <row r="37" spans="22:32" x14ac:dyDescent="0.25">
      <c r="V37" s="1">
        <f t="shared" si="3"/>
        <v>0</v>
      </c>
      <c r="X37" s="1">
        <v>43830</v>
      </c>
      <c r="Y37" s="3">
        <v>43830</v>
      </c>
      <c r="Z37">
        <v>3543</v>
      </c>
      <c r="AA37" s="5">
        <v>1335.5</v>
      </c>
      <c r="AC37" s="3">
        <v>43843</v>
      </c>
      <c r="AD37">
        <f>90-AD23</f>
        <v>60</v>
      </c>
      <c r="AE37">
        <f t="shared" si="2"/>
        <v>60</v>
      </c>
      <c r="AF37">
        <v>2010</v>
      </c>
    </row>
    <row r="38" spans="22:32" x14ac:dyDescent="0.25">
      <c r="V38" s="1">
        <f t="shared" si="3"/>
        <v>0</v>
      </c>
      <c r="X38" s="1">
        <v>44196</v>
      </c>
      <c r="Y38" s="3">
        <v>44196</v>
      </c>
      <c r="Z38">
        <v>3791</v>
      </c>
      <c r="AA38" s="5">
        <v>1454.5</v>
      </c>
      <c r="AC38" s="3">
        <v>43996</v>
      </c>
      <c r="AD38">
        <f>66-AD20</f>
        <v>59</v>
      </c>
      <c r="AE38">
        <f t="shared" si="2"/>
        <v>59</v>
      </c>
      <c r="AF38">
        <v>3008</v>
      </c>
    </row>
    <row r="39" spans="22:32" x14ac:dyDescent="0.25">
      <c r="V39" s="1">
        <f t="shared" si="3"/>
        <v>0</v>
      </c>
      <c r="X39" s="1">
        <v>44561</v>
      </c>
      <c r="Y39" s="3">
        <v>44561</v>
      </c>
      <c r="Z39">
        <v>4057</v>
      </c>
      <c r="AA39" s="5">
        <v>1596.5</v>
      </c>
      <c r="AC39" s="3">
        <v>44211</v>
      </c>
      <c r="AD39">
        <f>272-AD29</f>
        <v>142</v>
      </c>
      <c r="AE39">
        <f t="shared" si="2"/>
        <v>142</v>
      </c>
      <c r="AF39">
        <v>3493</v>
      </c>
    </row>
    <row r="40" spans="22:32" x14ac:dyDescent="0.25">
      <c r="V40" s="1">
        <f t="shared" si="3"/>
        <v>0</v>
      </c>
      <c r="X40" s="1">
        <v>45657</v>
      </c>
      <c r="Y40" s="3">
        <v>45657</v>
      </c>
      <c r="Z40">
        <v>4969</v>
      </c>
      <c r="AA40" s="5">
        <v>1670</v>
      </c>
      <c r="AC40" s="3">
        <v>45307</v>
      </c>
      <c r="AD40">
        <f>95-AD22</f>
        <v>73.5</v>
      </c>
      <c r="AE40">
        <f t="shared" si="2"/>
        <v>73.5</v>
      </c>
      <c r="AF40">
        <v>3543</v>
      </c>
    </row>
    <row r="41" spans="22:32" x14ac:dyDescent="0.25">
      <c r="V41" s="1">
        <f t="shared" si="3"/>
        <v>0</v>
      </c>
      <c r="W41">
        <v>1.0681</v>
      </c>
      <c r="X41" s="1">
        <f>Y41</f>
        <v>45658</v>
      </c>
      <c r="Y41" s="3">
        <v>45658</v>
      </c>
      <c r="Z41" s="1">
        <f>Z40*W41</f>
        <v>5307.3888999999999</v>
      </c>
      <c r="AA41" s="5">
        <v>1870</v>
      </c>
      <c r="AC41" s="3">
        <v>45674</v>
      </c>
      <c r="AD41">
        <v>200</v>
      </c>
      <c r="AE41">
        <f t="shared" si="2"/>
        <v>200</v>
      </c>
      <c r="AF41">
        <v>3791</v>
      </c>
    </row>
    <row r="42" spans="22:32" x14ac:dyDescent="0.25">
      <c r="V42" s="1">
        <f t="shared" si="3"/>
        <v>0</v>
      </c>
      <c r="W42">
        <v>1.0681</v>
      </c>
      <c r="X42" s="1">
        <f t="shared" ref="X42:X51" si="4">Y42</f>
        <v>46024</v>
      </c>
      <c r="Y42" s="3">
        <v>46024</v>
      </c>
      <c r="Z42" s="1">
        <f t="shared" ref="Z42:Z51" si="5">Z41*W42</f>
        <v>5668.8220840900003</v>
      </c>
      <c r="AA42" s="5">
        <v>2240</v>
      </c>
      <c r="AC42" s="3">
        <v>46040</v>
      </c>
      <c r="AD42">
        <v>300</v>
      </c>
      <c r="AE42">
        <f t="shared" si="2"/>
        <v>300</v>
      </c>
      <c r="AF42">
        <v>4057</v>
      </c>
    </row>
    <row r="43" spans="22:32" x14ac:dyDescent="0.25">
      <c r="V43" s="1">
        <f t="shared" si="3"/>
        <v>0</v>
      </c>
      <c r="W43">
        <v>1.0681</v>
      </c>
      <c r="X43" s="1">
        <f t="shared" si="4"/>
        <v>46390</v>
      </c>
      <c r="Y43" s="3">
        <v>46390</v>
      </c>
      <c r="Z43" s="1">
        <f t="shared" si="5"/>
        <v>6054.8688680165296</v>
      </c>
      <c r="AA43" s="5">
        <v>3440</v>
      </c>
      <c r="AC43" s="3">
        <v>46161</v>
      </c>
      <c r="AD43">
        <v>70</v>
      </c>
      <c r="AE43">
        <f t="shared" si="2"/>
        <v>70</v>
      </c>
      <c r="AF43">
        <v>4969</v>
      </c>
    </row>
    <row r="44" spans="22:32" x14ac:dyDescent="0.25">
      <c r="V44" s="1">
        <f t="shared" si="3"/>
        <v>0</v>
      </c>
      <c r="W44">
        <v>1.0681</v>
      </c>
      <c r="X44" s="1">
        <f t="shared" si="4"/>
        <v>46756</v>
      </c>
      <c r="Y44" s="3">
        <v>46756</v>
      </c>
      <c r="Z44" s="1">
        <f t="shared" si="5"/>
        <v>6467.2054379284555</v>
      </c>
      <c r="AA44" s="5">
        <v>7940</v>
      </c>
      <c r="AC44" s="3">
        <v>46407</v>
      </c>
      <c r="AD44">
        <v>1200</v>
      </c>
      <c r="AE44">
        <f t="shared" si="2"/>
        <v>1200</v>
      </c>
      <c r="AF44">
        <v>6970</v>
      </c>
    </row>
    <row r="45" spans="22:32" x14ac:dyDescent="0.25">
      <c r="V45" s="1">
        <f t="shared" si="3"/>
        <v>0</v>
      </c>
      <c r="W45">
        <v>1.0681</v>
      </c>
      <c r="X45" s="1">
        <f t="shared" si="4"/>
        <v>47483</v>
      </c>
      <c r="Y45" s="3">
        <v>47483</v>
      </c>
      <c r="Z45" s="1">
        <f t="shared" si="5"/>
        <v>6907.6221282513834</v>
      </c>
      <c r="AA45" s="5">
        <v>7940</v>
      </c>
      <c r="AC45" s="3">
        <v>46559</v>
      </c>
      <c r="AD45">
        <v>4500</v>
      </c>
      <c r="AE45">
        <f t="shared" si="2"/>
        <v>4500</v>
      </c>
      <c r="AF45">
        <v>9776</v>
      </c>
    </row>
    <row r="46" spans="22:32" x14ac:dyDescent="0.25">
      <c r="V46" s="1">
        <f t="shared" si="3"/>
        <v>0</v>
      </c>
      <c r="W46">
        <v>1.0681</v>
      </c>
      <c r="X46" s="1">
        <f t="shared" si="4"/>
        <v>47848</v>
      </c>
      <c r="Y46" s="3">
        <v>47848</v>
      </c>
      <c r="Z46" s="1">
        <f t="shared" si="5"/>
        <v>7378.0311951853027</v>
      </c>
      <c r="AA46" s="5">
        <v>7940</v>
      </c>
      <c r="AC46" s="3">
        <v>47290</v>
      </c>
      <c r="AE46">
        <f t="shared" si="2"/>
        <v>0</v>
      </c>
    </row>
    <row r="47" spans="22:32" x14ac:dyDescent="0.25">
      <c r="V47" s="1">
        <f t="shared" si="3"/>
        <v>0</v>
      </c>
      <c r="W47">
        <v>1.0681</v>
      </c>
      <c r="X47" s="1">
        <f t="shared" si="4"/>
        <v>48213</v>
      </c>
      <c r="Y47" s="3">
        <v>48213</v>
      </c>
      <c r="Z47" s="1">
        <f t="shared" si="5"/>
        <v>7880.4751195774224</v>
      </c>
      <c r="AA47" s="5">
        <v>7940</v>
      </c>
      <c r="AC47" s="3">
        <v>49116</v>
      </c>
      <c r="AE47">
        <f t="shared" si="2"/>
        <v>0</v>
      </c>
    </row>
    <row r="48" spans="22:32" x14ac:dyDescent="0.25">
      <c r="V48" s="1">
        <f t="shared" si="3"/>
        <v>0</v>
      </c>
      <c r="W48">
        <v>1.0681</v>
      </c>
      <c r="X48" s="1">
        <f t="shared" si="4"/>
        <v>48579</v>
      </c>
      <c r="Y48" s="3">
        <v>48579</v>
      </c>
      <c r="Z48" s="1">
        <f t="shared" si="5"/>
        <v>8417.1354752206462</v>
      </c>
      <c r="AA48" s="5">
        <v>7940</v>
      </c>
    </row>
    <row r="49" spans="22:27" x14ac:dyDescent="0.25">
      <c r="V49" s="1">
        <f t="shared" si="3"/>
        <v>0</v>
      </c>
      <c r="W49">
        <v>1.0681</v>
      </c>
      <c r="X49" s="1">
        <f t="shared" si="4"/>
        <v>48944</v>
      </c>
      <c r="Y49" s="3">
        <v>48944</v>
      </c>
      <c r="Z49" s="1">
        <f t="shared" si="5"/>
        <v>8990.3424010831732</v>
      </c>
      <c r="AA49" s="5">
        <v>7940</v>
      </c>
    </row>
    <row r="50" spans="22:27" x14ac:dyDescent="0.25">
      <c r="V50" s="1">
        <f t="shared" si="3"/>
        <v>0</v>
      </c>
      <c r="W50">
        <v>1.0681</v>
      </c>
      <c r="X50" s="1">
        <f t="shared" si="4"/>
        <v>49309</v>
      </c>
      <c r="Y50" s="3">
        <v>49309</v>
      </c>
      <c r="Z50" s="1">
        <f t="shared" si="5"/>
        <v>9602.5847185969378</v>
      </c>
      <c r="AA50" s="5">
        <v>7940</v>
      </c>
    </row>
    <row r="51" spans="22:27" x14ac:dyDescent="0.25">
      <c r="V51" s="1">
        <f t="shared" si="3"/>
        <v>0</v>
      </c>
      <c r="W51">
        <v>1.0681</v>
      </c>
      <c r="X51" s="1">
        <f t="shared" si="4"/>
        <v>49644</v>
      </c>
      <c r="Y51" s="3">
        <v>49644</v>
      </c>
      <c r="Z51" s="1">
        <f t="shared" si="5"/>
        <v>10256.52073793339</v>
      </c>
      <c r="AA51" s="5">
        <v>7941</v>
      </c>
    </row>
  </sheetData>
  <sortState xmlns:xlrd2="http://schemas.microsoft.com/office/spreadsheetml/2017/richdata2" ref="R3:T25">
    <sortCondition ref="S3:S25"/>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F2:M23"/>
  <sheetViews>
    <sheetView workbookViewId="0">
      <selection activeCell="J23" sqref="J23"/>
    </sheetView>
  </sheetViews>
  <sheetFormatPr defaultRowHeight="15" x14ac:dyDescent="0.25"/>
  <cols>
    <col min="6" max="6" width="15.5703125" bestFit="1" customWidth="1"/>
    <col min="7" max="7" width="34.85546875" bestFit="1" customWidth="1"/>
    <col min="8" max="8" width="11" bestFit="1" customWidth="1"/>
  </cols>
  <sheetData>
    <row r="2" spans="6:12" x14ac:dyDescent="0.25">
      <c r="F2" s="6" t="s">
        <v>29</v>
      </c>
      <c r="G2" s="6">
        <v>500</v>
      </c>
      <c r="H2" s="6" t="s">
        <v>30</v>
      </c>
      <c r="I2" s="6"/>
    </row>
    <row r="3" spans="6:12" x14ac:dyDescent="0.25">
      <c r="F3" s="6" t="s">
        <v>31</v>
      </c>
      <c r="G3" s="6" t="s">
        <v>32</v>
      </c>
      <c r="H3" s="6"/>
      <c r="I3" s="6"/>
    </row>
    <row r="4" spans="6:12" x14ac:dyDescent="0.25">
      <c r="F4" s="6" t="s">
        <v>33</v>
      </c>
      <c r="G4" s="6" t="s">
        <v>34</v>
      </c>
      <c r="H4" s="11">
        <v>0.1</v>
      </c>
      <c r="I4" s="6"/>
    </row>
    <row r="5" spans="6:12" x14ac:dyDescent="0.25">
      <c r="F5" s="6"/>
      <c r="G5" s="6" t="s">
        <v>35</v>
      </c>
      <c r="H5" s="11">
        <v>0.85</v>
      </c>
      <c r="I5" s="6"/>
    </row>
    <row r="6" spans="6:12" x14ac:dyDescent="0.25">
      <c r="F6" s="6"/>
      <c r="G6" s="6" t="s">
        <v>36</v>
      </c>
      <c r="H6" s="11">
        <v>0.05</v>
      </c>
      <c r="I6" s="6"/>
    </row>
    <row r="7" spans="6:12" ht="21" x14ac:dyDescent="0.35">
      <c r="G7" s="871" t="s">
        <v>16</v>
      </c>
      <c r="H7" s="871"/>
      <c r="I7" s="871"/>
      <c r="J7" s="15"/>
      <c r="K7" s="15"/>
    </row>
    <row r="8" spans="6:12" x14ac:dyDescent="0.25">
      <c r="F8" s="6"/>
      <c r="G8" s="6" t="s">
        <v>39</v>
      </c>
      <c r="H8" s="6">
        <f>50*400000*75/10000000</f>
        <v>150</v>
      </c>
      <c r="I8" s="6" t="s">
        <v>37</v>
      </c>
    </row>
    <row r="9" spans="6:12" x14ac:dyDescent="0.25">
      <c r="F9" s="6"/>
      <c r="G9" s="6" t="s">
        <v>38</v>
      </c>
      <c r="H9" s="6">
        <v>2350</v>
      </c>
      <c r="I9" s="6" t="s">
        <v>37</v>
      </c>
    </row>
    <row r="10" spans="6:12" x14ac:dyDescent="0.25">
      <c r="F10" s="6"/>
      <c r="G10" s="6" t="s">
        <v>17</v>
      </c>
      <c r="H10" s="6">
        <f>H9*0.42</f>
        <v>987</v>
      </c>
      <c r="I10" s="6" t="s">
        <v>37</v>
      </c>
    </row>
    <row r="11" spans="6:12" x14ac:dyDescent="0.25">
      <c r="F11" s="6"/>
      <c r="G11" s="6" t="s">
        <v>40</v>
      </c>
      <c r="H11" s="6">
        <v>200</v>
      </c>
      <c r="I11" s="6" t="s">
        <v>37</v>
      </c>
    </row>
    <row r="12" spans="6:12" x14ac:dyDescent="0.25">
      <c r="F12" s="6"/>
      <c r="G12" s="6" t="s">
        <v>41</v>
      </c>
      <c r="H12" s="6">
        <v>200</v>
      </c>
      <c r="I12" s="6" t="s">
        <v>37</v>
      </c>
    </row>
    <row r="13" spans="6:12" ht="15.75" x14ac:dyDescent="0.25">
      <c r="F13" s="6"/>
      <c r="G13" s="12" t="s">
        <v>15</v>
      </c>
      <c r="H13" s="12">
        <f>SUM(H8:H12)</f>
        <v>3887</v>
      </c>
      <c r="I13" s="13" t="s">
        <v>37</v>
      </c>
      <c r="K13">
        <f>H13*0.3</f>
        <v>1166.0999999999999</v>
      </c>
    </row>
    <row r="14" spans="6:12" x14ac:dyDescent="0.25">
      <c r="F14" s="6"/>
      <c r="G14" s="6"/>
      <c r="H14" s="6"/>
      <c r="I14" s="6"/>
    </row>
    <row r="15" spans="6:12" ht="21" x14ac:dyDescent="0.35">
      <c r="G15" s="870" t="s">
        <v>42</v>
      </c>
      <c r="H15" s="870"/>
      <c r="I15" s="870"/>
      <c r="J15" s="870"/>
      <c r="K15" s="870"/>
      <c r="L15">
        <v>0.09</v>
      </c>
    </row>
    <row r="16" spans="6:12" x14ac:dyDescent="0.25">
      <c r="G16" s="8" t="s">
        <v>43</v>
      </c>
      <c r="H16" s="6">
        <v>12</v>
      </c>
      <c r="I16" s="6" t="s">
        <v>44</v>
      </c>
      <c r="J16" s="14">
        <f>150*0.9</f>
        <v>135</v>
      </c>
      <c r="K16" s="6" t="s">
        <v>37</v>
      </c>
    </row>
    <row r="17" spans="7:13" x14ac:dyDescent="0.25">
      <c r="G17" s="8" t="s">
        <v>45</v>
      </c>
      <c r="H17" s="6" t="s">
        <v>47</v>
      </c>
      <c r="I17" s="6" t="s">
        <v>44</v>
      </c>
      <c r="J17" s="10">
        <f>0.35*H9*0.9</f>
        <v>740.25</v>
      </c>
      <c r="K17" s="6" t="s">
        <v>37</v>
      </c>
    </row>
    <row r="18" spans="7:13" x14ac:dyDescent="0.25">
      <c r="G18" s="8" t="s">
        <v>46</v>
      </c>
      <c r="H18" s="6" t="s">
        <v>48</v>
      </c>
      <c r="I18" s="6" t="s">
        <v>44</v>
      </c>
      <c r="J18" s="10">
        <f>0.65*H9*0.9</f>
        <v>1374.75</v>
      </c>
      <c r="K18" s="6" t="s">
        <v>37</v>
      </c>
      <c r="L18" s="1">
        <f>J18-260</f>
        <v>1114.75</v>
      </c>
      <c r="M18" s="1">
        <f>200+L18</f>
        <v>1314.75</v>
      </c>
    </row>
    <row r="19" spans="7:13" x14ac:dyDescent="0.25">
      <c r="G19" s="8" t="s">
        <v>49</v>
      </c>
      <c r="H19" s="6" t="s">
        <v>50</v>
      </c>
      <c r="I19" s="6" t="s">
        <v>44</v>
      </c>
      <c r="J19" s="10">
        <f>H10*0.9</f>
        <v>888.30000000000007</v>
      </c>
      <c r="K19" s="6" t="s">
        <v>37</v>
      </c>
      <c r="L19" s="1">
        <f>J19-200</f>
        <v>688.30000000000007</v>
      </c>
    </row>
    <row r="20" spans="7:13" x14ac:dyDescent="0.25">
      <c r="G20" s="8" t="s">
        <v>51</v>
      </c>
      <c r="H20" s="6" t="s">
        <v>52</v>
      </c>
      <c r="I20" s="6" t="s">
        <v>44</v>
      </c>
      <c r="J20" s="869">
        <f>H13-SUM(J16:J19)</f>
        <v>748.69999999999982</v>
      </c>
      <c r="K20" s="6" t="s">
        <v>37</v>
      </c>
    </row>
    <row r="21" spans="7:13" x14ac:dyDescent="0.25">
      <c r="G21" s="8" t="s">
        <v>53</v>
      </c>
      <c r="H21" s="6" t="s">
        <v>54</v>
      </c>
      <c r="I21" s="6" t="s">
        <v>44</v>
      </c>
      <c r="J21" s="869"/>
      <c r="K21" s="6" t="s">
        <v>37</v>
      </c>
      <c r="L21" s="1">
        <f>L19+J20</f>
        <v>1437</v>
      </c>
    </row>
    <row r="22" spans="7:13" x14ac:dyDescent="0.25">
      <c r="G22" s="872" t="s">
        <v>113</v>
      </c>
      <c r="H22" s="873"/>
      <c r="I22" s="874"/>
      <c r="J22" s="122">
        <v>13</v>
      </c>
      <c r="K22" s="6" t="s">
        <v>37</v>
      </c>
      <c r="L22" s="1"/>
    </row>
    <row r="23" spans="7:13" x14ac:dyDescent="0.25">
      <c r="G23" s="8" t="s">
        <v>15</v>
      </c>
      <c r="H23" s="6">
        <v>45</v>
      </c>
      <c r="I23" s="6" t="s">
        <v>44</v>
      </c>
      <c r="J23" s="14">
        <f>SUM(J16:J22)</f>
        <v>3900</v>
      </c>
      <c r="K23" s="6" t="s">
        <v>37</v>
      </c>
    </row>
  </sheetData>
  <mergeCells count="4">
    <mergeCell ref="J20:J21"/>
    <mergeCell ref="G15:K15"/>
    <mergeCell ref="G7:I7"/>
    <mergeCell ref="G22:I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83"/>
  <sheetViews>
    <sheetView topLeftCell="A7" workbookViewId="0">
      <selection activeCell="D4" sqref="D4"/>
    </sheetView>
  </sheetViews>
  <sheetFormatPr defaultColWidth="9.140625" defaultRowHeight="12.75" x14ac:dyDescent="0.25"/>
  <cols>
    <col min="1" max="1" width="20.42578125" style="202" customWidth="1"/>
    <col min="2" max="2" width="10.85546875" style="202" customWidth="1"/>
    <col min="3" max="3" width="14.42578125" style="202" customWidth="1"/>
    <col min="4" max="4" width="8.5703125" style="202" customWidth="1"/>
    <col min="5" max="5" width="8.28515625" style="202" customWidth="1"/>
    <col min="6" max="6" width="9.85546875" style="202" customWidth="1"/>
    <col min="7" max="7" width="9.42578125" style="202" customWidth="1"/>
    <col min="8" max="8" width="9.5703125" style="202" customWidth="1"/>
    <col min="9" max="9" width="9.85546875" style="202" customWidth="1"/>
    <col min="10" max="10" width="12" style="202" bestFit="1" customWidth="1"/>
    <col min="11" max="11" width="13.42578125" style="202" customWidth="1"/>
    <col min="12" max="12" width="13.140625" style="202" customWidth="1"/>
    <col min="13" max="13" width="10" style="202" customWidth="1"/>
    <col min="14" max="14" width="9.28515625" style="202" customWidth="1"/>
    <col min="15" max="15" width="12.85546875" style="202" customWidth="1"/>
    <col min="16" max="16" width="14.28515625" style="203" customWidth="1"/>
    <col min="17" max="17" width="11.42578125" style="202" customWidth="1"/>
    <col min="18" max="18" width="12.140625" style="202" customWidth="1"/>
    <col min="19" max="19" width="11.7109375" style="202" customWidth="1"/>
    <col min="20" max="20" width="5" style="202" customWidth="1"/>
    <col min="21" max="21" width="1.85546875" style="202" customWidth="1"/>
    <col min="22" max="16384" width="9.140625" style="202"/>
  </cols>
  <sheetData>
    <row r="1" spans="1:17" ht="18.75" x14ac:dyDescent="0.25">
      <c r="A1" s="875" t="s">
        <v>238</v>
      </c>
      <c r="B1" s="875"/>
      <c r="C1" s="875"/>
      <c r="D1" s="875"/>
      <c r="E1" s="875"/>
      <c r="F1" s="875"/>
      <c r="G1" s="875"/>
      <c r="H1" s="875"/>
      <c r="I1" s="875"/>
      <c r="J1" s="875"/>
      <c r="K1" s="875"/>
      <c r="L1" s="875"/>
      <c r="M1" s="875"/>
      <c r="N1" s="875"/>
    </row>
    <row r="2" spans="1:17" x14ac:dyDescent="0.25">
      <c r="J2" s="876"/>
      <c r="K2" s="876"/>
      <c r="L2" s="876"/>
    </row>
    <row r="3" spans="1:17" ht="38.25" x14ac:dyDescent="0.2">
      <c r="A3" s="213" t="s">
        <v>237</v>
      </c>
      <c r="B3" s="213" t="s">
        <v>193</v>
      </c>
      <c r="C3" s="260" t="s">
        <v>236</v>
      </c>
      <c r="D3" s="259" t="s">
        <v>235</v>
      </c>
      <c r="E3" s="259" t="s">
        <v>234</v>
      </c>
      <c r="F3" s="259" t="s">
        <v>233</v>
      </c>
      <c r="G3" s="259" t="s">
        <v>232</v>
      </c>
      <c r="J3" s="258"/>
      <c r="K3" s="257"/>
      <c r="L3" s="257"/>
      <c r="P3" s="202"/>
    </row>
    <row r="4" spans="1:17" ht="15" x14ac:dyDescent="0.25">
      <c r="A4" s="247" t="s">
        <v>224</v>
      </c>
      <c r="B4" s="246" t="s">
        <v>231</v>
      </c>
      <c r="C4" s="208">
        <v>66.875</v>
      </c>
      <c r="D4" s="254">
        <f>63.63</f>
        <v>63.63</v>
      </c>
      <c r="E4" s="254">
        <f>63.63+5</f>
        <v>68.63</v>
      </c>
      <c r="F4" s="254">
        <f>63.63+7</f>
        <v>70.63</v>
      </c>
      <c r="G4" s="254">
        <f>63.63</f>
        <v>63.63</v>
      </c>
      <c r="H4" s="214"/>
      <c r="J4" s="253"/>
      <c r="K4" s="251"/>
      <c r="L4" s="256"/>
      <c r="M4" s="255"/>
      <c r="P4" s="202"/>
    </row>
    <row r="5" spans="1:17" ht="15" x14ac:dyDescent="0.25">
      <c r="A5" s="247" t="s">
        <v>223</v>
      </c>
      <c r="B5" s="246" t="s">
        <v>231</v>
      </c>
      <c r="C5" s="208">
        <v>33.875</v>
      </c>
      <c r="D5" s="254">
        <v>27</v>
      </c>
      <c r="E5" s="254">
        <v>27</v>
      </c>
      <c r="F5" s="254">
        <v>27</v>
      </c>
      <c r="G5" s="254">
        <v>27</v>
      </c>
      <c r="H5" s="214"/>
      <c r="J5" s="253"/>
      <c r="K5" s="251"/>
      <c r="L5" s="251"/>
      <c r="P5" s="202"/>
    </row>
    <row r="6" spans="1:17" ht="15" x14ac:dyDescent="0.25">
      <c r="A6" s="247" t="s">
        <v>222</v>
      </c>
      <c r="B6" s="246" t="s">
        <v>231</v>
      </c>
      <c r="C6" s="208">
        <v>20.875</v>
      </c>
      <c r="D6" s="254">
        <v>16</v>
      </c>
      <c r="E6" s="254">
        <v>16</v>
      </c>
      <c r="F6" s="254">
        <v>16</v>
      </c>
      <c r="G6" s="254">
        <v>16</v>
      </c>
      <c r="H6" s="214"/>
      <c r="J6" s="253"/>
      <c r="K6" s="251"/>
      <c r="L6" s="251"/>
      <c r="P6" s="202"/>
    </row>
    <row r="7" spans="1:17" ht="15" x14ac:dyDescent="0.25">
      <c r="A7" s="247" t="s">
        <v>221</v>
      </c>
      <c r="B7" s="246" t="s">
        <v>231</v>
      </c>
      <c r="C7" s="208">
        <v>187.5</v>
      </c>
      <c r="D7" s="254">
        <v>90</v>
      </c>
      <c r="E7" s="254">
        <v>96</v>
      </c>
      <c r="F7" s="254">
        <v>110</v>
      </c>
      <c r="G7" s="254">
        <v>179</v>
      </c>
      <c r="H7" s="214"/>
      <c r="J7" s="253"/>
      <c r="K7" s="251"/>
      <c r="L7" s="251"/>
      <c r="P7" s="202"/>
    </row>
    <row r="8" spans="1:17" ht="15" x14ac:dyDescent="0.25">
      <c r="A8" s="247" t="s">
        <v>220</v>
      </c>
      <c r="B8" s="246" t="s">
        <v>231</v>
      </c>
      <c r="C8" s="208">
        <v>0</v>
      </c>
      <c r="D8" s="254">
        <v>0</v>
      </c>
      <c r="E8" s="254">
        <v>0</v>
      </c>
      <c r="F8" s="254">
        <v>0</v>
      </c>
      <c r="G8" s="254">
        <v>15</v>
      </c>
      <c r="J8" s="253"/>
      <c r="K8" s="251"/>
      <c r="L8" s="251"/>
      <c r="P8" s="202"/>
    </row>
    <row r="9" spans="1:17" x14ac:dyDescent="0.25">
      <c r="A9" s="238" t="s">
        <v>15</v>
      </c>
      <c r="B9" s="246" t="s">
        <v>231</v>
      </c>
      <c r="C9" s="208">
        <f>SUM(C4:C8)</f>
        <v>309.125</v>
      </c>
      <c r="D9" s="252">
        <f>+SUM(D4:D8)/$C$9</f>
        <v>0.63608572583906187</v>
      </c>
      <c r="E9" s="252">
        <f>+SUM(E4:E8)/$C$9</f>
        <v>0.6716700363930449</v>
      </c>
      <c r="F9" s="252">
        <f>+SUM(F4:F8)/$C$9</f>
        <v>0.72342903356247468</v>
      </c>
      <c r="G9" s="214"/>
      <c r="P9" s="202"/>
    </row>
    <row r="10" spans="1:17" x14ac:dyDescent="0.25">
      <c r="A10" s="214"/>
      <c r="B10" s="251"/>
      <c r="C10" s="250"/>
      <c r="D10" s="250"/>
      <c r="E10" s="214"/>
      <c r="F10" s="214"/>
      <c r="P10" s="202"/>
    </row>
    <row r="11" spans="1:17" x14ac:dyDescent="0.25">
      <c r="A11" s="249" t="s">
        <v>230</v>
      </c>
    </row>
    <row r="12" spans="1:17" ht="39" customHeight="1" x14ac:dyDescent="0.2">
      <c r="A12" s="212" t="s">
        <v>229</v>
      </c>
      <c r="B12" s="212" t="s">
        <v>193</v>
      </c>
      <c r="C12" s="248" t="s">
        <v>228</v>
      </c>
      <c r="D12" s="877" t="s">
        <v>227</v>
      </c>
      <c r="E12" s="878"/>
      <c r="F12" s="248" t="s">
        <v>190</v>
      </c>
      <c r="G12" s="211" t="s">
        <v>189</v>
      </c>
      <c r="H12" s="211" t="s">
        <v>188</v>
      </c>
      <c r="I12" s="211" t="s">
        <v>187</v>
      </c>
      <c r="J12" s="211" t="s">
        <v>186</v>
      </c>
      <c r="K12" s="211" t="s">
        <v>185</v>
      </c>
      <c r="L12" s="211" t="s">
        <v>184</v>
      </c>
      <c r="M12" s="211" t="s">
        <v>183</v>
      </c>
      <c r="N12" s="211" t="s">
        <v>182</v>
      </c>
      <c r="O12" s="211" t="s">
        <v>181</v>
      </c>
      <c r="P12" s="210" t="s">
        <v>209</v>
      </c>
      <c r="Q12" s="210" t="s">
        <v>180</v>
      </c>
    </row>
    <row r="13" spans="1:17" x14ac:dyDescent="0.25">
      <c r="A13" s="247" t="s">
        <v>224</v>
      </c>
      <c r="B13" s="246" t="s">
        <v>13</v>
      </c>
      <c r="C13" s="205">
        <f>($D4*$C$45)</f>
        <v>41868.54</v>
      </c>
      <c r="D13" s="879">
        <f>($D4*$D$45)</f>
        <v>43204.770000000011</v>
      </c>
      <c r="E13" s="880"/>
      <c r="F13" s="205">
        <f>($D4*$E$45)</f>
        <v>41868.54</v>
      </c>
      <c r="G13" s="205">
        <f>($E4*$F$45)</f>
        <v>46599.770000000004</v>
      </c>
      <c r="H13" s="205">
        <f>($E4*$G$45)</f>
        <v>46599.770000000004</v>
      </c>
      <c r="I13" s="205">
        <f>($E4*$H$45)</f>
        <v>45158.539999999994</v>
      </c>
      <c r="J13" s="205">
        <f>($F4*$I$45)</f>
        <v>47957.77</v>
      </c>
      <c r="K13" s="205">
        <f>($F4*$J$45)</f>
        <v>46474.539999999994</v>
      </c>
      <c r="L13" s="205">
        <f>($F4*$K$45)</f>
        <v>47957.77</v>
      </c>
      <c r="M13" s="205">
        <f>($G4*$L$45)</f>
        <v>43204.770000000004</v>
      </c>
      <c r="N13" s="205">
        <f>($G4*$M$45)</f>
        <v>39132.450000000004</v>
      </c>
      <c r="O13" s="205">
        <f>($G4*$N$45)</f>
        <v>43204.770000000004</v>
      </c>
      <c r="P13" s="205">
        <f>SUM(C13:O13)</f>
        <v>533232</v>
      </c>
      <c r="Q13" s="245"/>
    </row>
    <row r="14" spans="1:17" x14ac:dyDescent="0.25">
      <c r="A14" s="247" t="s">
        <v>223</v>
      </c>
      <c r="B14" s="246" t="s">
        <v>13</v>
      </c>
      <c r="C14" s="205">
        <f>($D5*$C$45)</f>
        <v>17766</v>
      </c>
      <c r="D14" s="879">
        <f>($D5*$D$45)</f>
        <v>18333.000000000004</v>
      </c>
      <c r="E14" s="880"/>
      <c r="F14" s="205">
        <f>($D5*$E$45)</f>
        <v>17766</v>
      </c>
      <c r="G14" s="205">
        <f>($E5*$F$45)</f>
        <v>18333.000000000004</v>
      </c>
      <c r="H14" s="205">
        <f>($E5*$G$45)</f>
        <v>18333.000000000004</v>
      </c>
      <c r="I14" s="205">
        <f>($E5*$H$45)</f>
        <v>17766</v>
      </c>
      <c r="J14" s="205">
        <f>($F5*$I$45)</f>
        <v>18333</v>
      </c>
      <c r="K14" s="205">
        <f>($F5*$J$45)</f>
        <v>17766</v>
      </c>
      <c r="L14" s="205">
        <f>($F5*$K$45)</f>
        <v>18333</v>
      </c>
      <c r="M14" s="205">
        <f>($G5*$L$45)</f>
        <v>18333</v>
      </c>
      <c r="N14" s="205">
        <f>($G5*$M$45)</f>
        <v>16605</v>
      </c>
      <c r="O14" s="205">
        <f>($G5*$N$45)</f>
        <v>18333</v>
      </c>
      <c r="P14" s="205">
        <f>SUM(C14:O14)</f>
        <v>216000</v>
      </c>
      <c r="Q14" s="245"/>
    </row>
    <row r="15" spans="1:17" x14ac:dyDescent="0.25">
      <c r="A15" s="247" t="s">
        <v>222</v>
      </c>
      <c r="B15" s="246" t="s">
        <v>13</v>
      </c>
      <c r="C15" s="205">
        <f>($D6*$C$45)</f>
        <v>10528</v>
      </c>
      <c r="D15" s="879">
        <f>($D6*$D$45)</f>
        <v>10864.000000000002</v>
      </c>
      <c r="E15" s="880"/>
      <c r="F15" s="205">
        <f>($D6*$E$45)</f>
        <v>10528</v>
      </c>
      <c r="G15" s="205">
        <f>($E6*$F$45)</f>
        <v>10864.000000000002</v>
      </c>
      <c r="H15" s="205">
        <f>($E6*$G$45)</f>
        <v>10864.000000000002</v>
      </c>
      <c r="I15" s="205">
        <f>($E6*$H$45)</f>
        <v>10528</v>
      </c>
      <c r="J15" s="205">
        <f>($F6*$I$45)</f>
        <v>10864</v>
      </c>
      <c r="K15" s="205">
        <f>($F6*$J$45)</f>
        <v>10528</v>
      </c>
      <c r="L15" s="205">
        <f>($F6*$K$45)</f>
        <v>10864</v>
      </c>
      <c r="M15" s="205">
        <f>($G6*$L$45)</f>
        <v>10864</v>
      </c>
      <c r="N15" s="205">
        <f>($G6*$M$45)</f>
        <v>9840</v>
      </c>
      <c r="O15" s="205">
        <f>($G6*$N$45)</f>
        <v>10864</v>
      </c>
      <c r="P15" s="205">
        <f>SUM(C15:O15)</f>
        <v>128000</v>
      </c>
      <c r="Q15" s="245"/>
    </row>
    <row r="16" spans="1:17" x14ac:dyDescent="0.25">
      <c r="A16" s="247" t="s">
        <v>221</v>
      </c>
      <c r="B16" s="246" t="s">
        <v>13</v>
      </c>
      <c r="C16" s="205">
        <f>($D7*$C$45)</f>
        <v>59220</v>
      </c>
      <c r="D16" s="879">
        <f>($D7*$D$45)</f>
        <v>61110.000000000007</v>
      </c>
      <c r="E16" s="880"/>
      <c r="F16" s="205">
        <f>($D7*$E$45)</f>
        <v>59220</v>
      </c>
      <c r="G16" s="205">
        <f>($E7*$F$45)</f>
        <v>65184.000000000015</v>
      </c>
      <c r="H16" s="205">
        <f>($E7*$G$45)</f>
        <v>65184.000000000015</v>
      </c>
      <c r="I16" s="205">
        <f>($E7*$H$45)</f>
        <v>63168</v>
      </c>
      <c r="J16" s="205">
        <f>($F7*$I$45)</f>
        <v>74690</v>
      </c>
      <c r="K16" s="205">
        <f>($F7*$J$45)</f>
        <v>72380</v>
      </c>
      <c r="L16" s="205">
        <f>($F7*$K$45)</f>
        <v>74690</v>
      </c>
      <c r="M16" s="205">
        <f>($G7*$L$45)</f>
        <v>121541</v>
      </c>
      <c r="N16" s="205">
        <f>($G7*$M$45)</f>
        <v>110085</v>
      </c>
      <c r="O16" s="205">
        <f>($G7*$N$45)</f>
        <v>121541</v>
      </c>
      <c r="P16" s="205">
        <f>SUM(C16:O16)</f>
        <v>948013</v>
      </c>
      <c r="Q16" s="245"/>
    </row>
    <row r="17" spans="1:17" x14ac:dyDescent="0.25">
      <c r="A17" s="247" t="s">
        <v>220</v>
      </c>
      <c r="B17" s="246" t="s">
        <v>13</v>
      </c>
      <c r="C17" s="205">
        <f>($D8*$C$45)</f>
        <v>0</v>
      </c>
      <c r="D17" s="879">
        <f>($D8*$D$45)</f>
        <v>0</v>
      </c>
      <c r="E17" s="880"/>
      <c r="F17" s="205">
        <v>0</v>
      </c>
      <c r="G17" s="205">
        <f>($E8*$F$45)</f>
        <v>0</v>
      </c>
      <c r="H17" s="205">
        <f>($E8*$G$45)</f>
        <v>0</v>
      </c>
      <c r="I17" s="205">
        <f>($E8*$H$45)</f>
        <v>0</v>
      </c>
      <c r="J17" s="205">
        <f>($F8*$I$45)</f>
        <v>0</v>
      </c>
      <c r="K17" s="205">
        <f>($F8*$J$45)</f>
        <v>0</v>
      </c>
      <c r="L17" s="205">
        <f>($F8*$K$45)</f>
        <v>0</v>
      </c>
      <c r="M17" s="205">
        <f>($G8*$L$45)</f>
        <v>10185</v>
      </c>
      <c r="N17" s="205">
        <f>($G8*$M$45)</f>
        <v>9225</v>
      </c>
      <c r="O17" s="205">
        <f>($G8*$N$45)</f>
        <v>10185</v>
      </c>
      <c r="P17" s="205">
        <f>SUM(C17:O17)</f>
        <v>29595</v>
      </c>
      <c r="Q17" s="245"/>
    </row>
    <row r="18" spans="1:17" ht="15" customHeight="1" x14ac:dyDescent="0.25">
      <c r="A18" s="212" t="s">
        <v>15</v>
      </c>
      <c r="B18" s="244" t="s">
        <v>13</v>
      </c>
      <c r="C18" s="243">
        <f>+SUM(C13:C17)</f>
        <v>129382.54000000001</v>
      </c>
      <c r="D18" s="882">
        <f>+SUM(D13:D17)</f>
        <v>133511.77000000002</v>
      </c>
      <c r="E18" s="883"/>
      <c r="F18" s="243">
        <f t="shared" ref="F18:Q18" si="0">+SUM(F13:F17)</f>
        <v>129382.54000000001</v>
      </c>
      <c r="G18" s="243">
        <f t="shared" si="0"/>
        <v>140980.77000000002</v>
      </c>
      <c r="H18" s="243">
        <f t="shared" si="0"/>
        <v>140980.77000000002</v>
      </c>
      <c r="I18" s="243">
        <f t="shared" si="0"/>
        <v>136620.53999999998</v>
      </c>
      <c r="J18" s="243">
        <f t="shared" si="0"/>
        <v>151844.76999999999</v>
      </c>
      <c r="K18" s="243">
        <f t="shared" si="0"/>
        <v>147148.53999999998</v>
      </c>
      <c r="L18" s="243">
        <f t="shared" si="0"/>
        <v>151844.76999999999</v>
      </c>
      <c r="M18" s="243">
        <f t="shared" si="0"/>
        <v>204127.77000000002</v>
      </c>
      <c r="N18" s="243">
        <f t="shared" si="0"/>
        <v>184887.45</v>
      </c>
      <c r="O18" s="243">
        <f t="shared" si="0"/>
        <v>204127.77000000002</v>
      </c>
      <c r="P18" s="243">
        <f t="shared" si="0"/>
        <v>1854840</v>
      </c>
      <c r="Q18" s="243">
        <f t="shared" si="0"/>
        <v>0</v>
      </c>
    </row>
    <row r="19" spans="1:17" x14ac:dyDescent="0.25">
      <c r="A19" s="242"/>
      <c r="B19" s="242"/>
      <c r="C19" s="242"/>
      <c r="D19" s="242"/>
      <c r="E19" s="242"/>
      <c r="F19" s="242"/>
      <c r="G19" s="242"/>
      <c r="H19" s="242"/>
      <c r="I19" s="242"/>
      <c r="J19" s="242"/>
      <c r="K19" s="242"/>
      <c r="L19" s="242"/>
      <c r="M19" s="242"/>
      <c r="N19" s="242"/>
      <c r="O19" s="242"/>
      <c r="P19" s="202"/>
    </row>
    <row r="20" spans="1:17" x14ac:dyDescent="0.25">
      <c r="A20" s="242"/>
      <c r="B20" s="242"/>
      <c r="C20" s="242"/>
      <c r="D20" s="242"/>
      <c r="E20" s="242"/>
      <c r="F20" s="242"/>
      <c r="G20" s="242"/>
      <c r="H20" s="242"/>
      <c r="I20" s="242"/>
      <c r="J20" s="242"/>
      <c r="K20" s="242"/>
      <c r="L20" s="242"/>
      <c r="M20" s="242"/>
      <c r="N20" s="242"/>
      <c r="O20" s="242"/>
    </row>
    <row r="21" spans="1:17" x14ac:dyDescent="0.25">
      <c r="A21" s="884" t="s">
        <v>226</v>
      </c>
      <c r="B21" s="885"/>
    </row>
    <row r="22" spans="1:17" x14ac:dyDescent="0.25">
      <c r="A22" s="241" t="s">
        <v>225</v>
      </c>
      <c r="B22" s="240" t="s">
        <v>224</v>
      </c>
      <c r="C22" s="240" t="s">
        <v>223</v>
      </c>
      <c r="D22" s="240" t="s">
        <v>222</v>
      </c>
      <c r="E22" s="240" t="s">
        <v>221</v>
      </c>
      <c r="F22" s="240" t="s">
        <v>220</v>
      </c>
    </row>
    <row r="23" spans="1:17" x14ac:dyDescent="0.25">
      <c r="A23" s="239" t="s">
        <v>219</v>
      </c>
      <c r="B23" s="237">
        <v>0.82</v>
      </c>
      <c r="C23" s="237">
        <v>0.46</v>
      </c>
      <c r="D23" s="237">
        <v>0.33</v>
      </c>
      <c r="E23" s="237">
        <v>0.32100000000000001</v>
      </c>
      <c r="F23" s="237">
        <v>0.40799999999999997</v>
      </c>
    </row>
    <row r="24" spans="1:17" x14ac:dyDescent="0.25">
      <c r="A24" s="239" t="s">
        <v>218</v>
      </c>
      <c r="B24" s="237">
        <v>0.02</v>
      </c>
      <c r="C24" s="237">
        <v>0.23599999999999999</v>
      </c>
      <c r="D24" s="237">
        <v>0.18</v>
      </c>
      <c r="E24" s="237">
        <v>0.19700000000000001</v>
      </c>
      <c r="F24" s="237">
        <v>0.21360000000000001</v>
      </c>
    </row>
    <row r="25" spans="1:17" x14ac:dyDescent="0.25">
      <c r="A25" s="238" t="s">
        <v>15</v>
      </c>
      <c r="B25" s="237">
        <v>0.84</v>
      </c>
      <c r="C25" s="237">
        <v>0.69599999999999995</v>
      </c>
      <c r="D25" s="237">
        <v>0.51</v>
      </c>
      <c r="E25" s="237">
        <v>0.51800000000000002</v>
      </c>
      <c r="F25" s="237">
        <v>0.62159999999999993</v>
      </c>
    </row>
    <row r="26" spans="1:17" x14ac:dyDescent="0.25">
      <c r="A26" s="238" t="s">
        <v>217</v>
      </c>
      <c r="B26" s="237">
        <v>2.8000000000000001E-2</v>
      </c>
      <c r="C26" s="237">
        <v>2.8000000000000001E-2</v>
      </c>
      <c r="D26" s="237">
        <v>2.8000000000000001E-2</v>
      </c>
      <c r="E26" s="237">
        <v>0.34499999999999997</v>
      </c>
      <c r="F26" s="237">
        <v>2.8000000000000001E-2</v>
      </c>
    </row>
    <row r="27" spans="1:17" x14ac:dyDescent="0.25">
      <c r="A27" s="238" t="s">
        <v>216</v>
      </c>
      <c r="B27" s="237">
        <v>4.4999999999999998E-2</v>
      </c>
      <c r="C27" s="237">
        <v>0.125</v>
      </c>
      <c r="D27" s="237">
        <v>0.125</v>
      </c>
      <c r="E27" s="237">
        <v>0.13100000000000001</v>
      </c>
      <c r="F27" s="237">
        <v>0.125</v>
      </c>
    </row>
    <row r="29" spans="1:17" x14ac:dyDescent="0.25">
      <c r="A29" s="881" t="s">
        <v>215</v>
      </c>
      <c r="B29" s="881"/>
    </row>
    <row r="30" spans="1:17" s="209" customFormat="1" ht="25.5" x14ac:dyDescent="0.2">
      <c r="A30" s="212" t="s">
        <v>194</v>
      </c>
      <c r="B30" s="212" t="s">
        <v>193</v>
      </c>
      <c r="C30" s="211" t="s">
        <v>192</v>
      </c>
      <c r="D30" s="211" t="s">
        <v>191</v>
      </c>
      <c r="E30" s="211" t="s">
        <v>190</v>
      </c>
      <c r="F30" s="211" t="s">
        <v>189</v>
      </c>
      <c r="G30" s="211" t="s">
        <v>188</v>
      </c>
      <c r="H30" s="211" t="s">
        <v>187</v>
      </c>
      <c r="I30" s="211" t="s">
        <v>186</v>
      </c>
      <c r="J30" s="211" t="s">
        <v>185</v>
      </c>
      <c r="K30" s="211" t="s">
        <v>184</v>
      </c>
      <c r="L30" s="211" t="s">
        <v>183</v>
      </c>
      <c r="M30" s="211" t="s">
        <v>182</v>
      </c>
      <c r="N30" s="211" t="s">
        <v>181</v>
      </c>
      <c r="O30" s="210" t="s">
        <v>209</v>
      </c>
      <c r="P30" s="210" t="s">
        <v>180</v>
      </c>
    </row>
    <row r="31" spans="1:17" x14ac:dyDescent="0.25">
      <c r="A31" s="207" t="s">
        <v>214</v>
      </c>
      <c r="B31" s="213" t="s">
        <v>13</v>
      </c>
      <c r="C31" s="205">
        <f>((C$13*$B$23)+(C$14*$C$23)+(C$15*$D$23)+(C$16*$E$23)+(C$17*$F$23))</f>
        <v>64988.4228</v>
      </c>
      <c r="D31" s="205">
        <f>((D$13*$B$23)+(D$14*$C$23)+(D$15*$D$23)+(D$16*$E$23)+(D$17*$F$23))</f>
        <v>67062.521400000012</v>
      </c>
      <c r="E31" s="205">
        <f>((F$13*$B$23)+(F$14*$C$23)+(F$15*$D$23)+(F$16*$E$23)+(F$17*$F$23))</f>
        <v>64988.4228</v>
      </c>
      <c r="F31" s="205">
        <f>((G$13*$B$23)+(G$14*$C$23)+(G$15*$D$23)+(G$16*$E$23)+(G$17*$F$23))</f>
        <v>71154.175400000007</v>
      </c>
      <c r="G31" s="205">
        <f>((H$13*$B$23)+(H$14*$C$23)+(H$15*$D$23)+(H$16*$E$23)+(H$17*$F$23))</f>
        <v>71154.175400000007</v>
      </c>
      <c r="H31" s="205">
        <f>((I$13*$B$23)+(I$14*$C$23)+(I$15*$D$23)+(I$16*$E$23)+(I$17*$F$23))</f>
        <v>68953.530799999993</v>
      </c>
      <c r="I31" s="205">
        <f>((J$13*$B$23)+(J$14*$C$23)+(J$15*$D$23)+(J$16*$E$23)+(J$17*$F$23))</f>
        <v>75319.161399999997</v>
      </c>
      <c r="J31" s="205">
        <f>(K$13*$B$23)+(K$14*$C$23)+(K$15*$D$23)+(K$16*$E$23)+(K$17*$F$23)</f>
        <v>72989.702799999985</v>
      </c>
      <c r="K31" s="205">
        <f>(L$13*$B$23)+(L$14*$C$23)+(L$15*$D$23)+(L$16*$E$23)+(L$17*$F$23)</f>
        <v>75319.161399999997</v>
      </c>
      <c r="L31" s="205">
        <f>(M$13*$B$23)+(M$14*$C$23)+(M$15*$D$23)+(M$16*$E$23)+(M$17*$F$23)</f>
        <v>90616.352400000003</v>
      </c>
      <c r="M31" s="205">
        <f>(N$13*$B$23)+(N$14*$C$23)+(N$15*$D$23)+(N$16*$E$23)+(N$17*$F$23)</f>
        <v>82075.194000000003</v>
      </c>
      <c r="N31" s="205">
        <f>(O$13*$B$23)+(O$14*$C$23)+(O$15*$D$23)+(O$16*$E$23)+(O$17*$F$23)</f>
        <v>90616.352400000003</v>
      </c>
      <c r="O31" s="205">
        <f>SUM(C31:N31)</f>
        <v>895237.17299999995</v>
      </c>
      <c r="P31" s="236"/>
    </row>
    <row r="32" spans="1:17" x14ac:dyDescent="0.25">
      <c r="A32" s="207" t="s">
        <v>126</v>
      </c>
      <c r="B32" s="213" t="s">
        <v>13</v>
      </c>
      <c r="C32" s="205">
        <f>((C$13*$B$24)+(C$14*$C$24)+(C$15*$D$24)+(C$16*$E$24)+(C$17*$F$24))</f>
        <v>18591.5268</v>
      </c>
      <c r="D32" s="205">
        <f>((D$13*$B$24)+(D$14*$C$24)+(D$15*$D$24)+(D$16*$E$24)+(D$17*$F$24))</f>
        <v>19184.873400000004</v>
      </c>
      <c r="E32" s="205">
        <f>((F$13*$B$24)+(F$14*$C$24)+(F$15*$D$24)+(F$16*$E$24)+(F$17*$F$24))</f>
        <v>18591.5268</v>
      </c>
      <c r="F32" s="205">
        <f>((G$13*$B$24)+(G$14*$C$24)+(G$15*$D$24)+(G$16*$E$24)+(G$17*$F$24))</f>
        <v>20055.351400000003</v>
      </c>
      <c r="G32" s="205">
        <f>((H$13*$B$24)+(H$14*$C$24)+(H$15*$D$24)+(H$16*$E$24)+(H$17*$F$24))</f>
        <v>20055.351400000003</v>
      </c>
      <c r="H32" s="205">
        <f>((I$13*$B$24)+(I$14*$C$24)+(I$15*$D$24)+(I$16*$E$24)+(I$17*$F$24))</f>
        <v>19435.0828</v>
      </c>
      <c r="I32" s="205">
        <f>((J$13*$B$24)+(J$14*$C$24)+(J$15*$D$24)+(J$16*$E$24)+(J$17*$F$24))</f>
        <v>21955.1934</v>
      </c>
      <c r="J32" s="205">
        <f>(K$13*$B$24)+(K$14*$C$24)+(K$15*$D$24)+(K$16*$E$24)+(K$17*$F$24)</f>
        <v>21276.166799999999</v>
      </c>
      <c r="K32" s="205">
        <f>(L$13*$B$24)+(L$14*$C$24)+(L$15*$D$24)+(L$16*$E$24)+(L$17*$F$24)</f>
        <v>21955.1934</v>
      </c>
      <c r="L32" s="205">
        <f>(M$13*$B$24)+(M$14*$C$24)+(M$15*$D$24)+(M$16*$E$24)+(M$17*$F$24)</f>
        <v>33265.296400000007</v>
      </c>
      <c r="M32" s="205">
        <f>(N$13*$B$24)+(N$14*$C$24)+(N$15*$D$24)+(N$16*$E$24)+(N$17*$F$24)</f>
        <v>30129.834000000003</v>
      </c>
      <c r="N32" s="205">
        <f>(O$13*$B$24)+(O$14*$C$24)+(O$15*$D$24)+(O$16*$E$24)+(O$17*$F$24)</f>
        <v>33265.296400000007</v>
      </c>
      <c r="O32" s="205">
        <f>SUM(C32:N32)</f>
        <v>277760.69300000003</v>
      </c>
      <c r="P32" s="236"/>
    </row>
    <row r="33" spans="1:19" x14ac:dyDescent="0.25">
      <c r="A33" s="204"/>
      <c r="B33" s="204"/>
      <c r="C33" s="204">
        <f>C31-5*30*24</f>
        <v>61388.4228</v>
      </c>
      <c r="D33" s="204">
        <f>C33/3</f>
        <v>20462.8076</v>
      </c>
      <c r="E33" s="204"/>
      <c r="F33" s="204"/>
      <c r="G33" s="204"/>
      <c r="H33" s="204"/>
      <c r="I33" s="204"/>
      <c r="J33" s="204"/>
      <c r="K33" s="204"/>
      <c r="L33" s="204"/>
      <c r="M33" s="204"/>
      <c r="N33" s="204"/>
      <c r="O33" s="204"/>
      <c r="P33" s="202"/>
    </row>
    <row r="34" spans="1:19" hidden="1" x14ac:dyDescent="0.25">
      <c r="A34" s="886" t="s">
        <v>213</v>
      </c>
      <c r="B34" s="886"/>
      <c r="C34" s="204"/>
      <c r="D34" s="204"/>
      <c r="E34" s="204"/>
      <c r="F34" s="204"/>
      <c r="G34" s="204"/>
      <c r="H34" s="204"/>
      <c r="I34" s="204"/>
      <c r="J34" s="204"/>
      <c r="K34" s="204"/>
      <c r="L34" s="204"/>
      <c r="M34" s="204"/>
      <c r="N34" s="204"/>
      <c r="O34" s="204"/>
      <c r="P34" s="202"/>
    </row>
    <row r="35" spans="1:19" s="209" customFormat="1" ht="25.5" hidden="1" x14ac:dyDescent="0.2">
      <c r="A35" s="212" t="s">
        <v>194</v>
      </c>
      <c r="B35" s="212" t="s">
        <v>193</v>
      </c>
      <c r="C35" s="211" t="s">
        <v>192</v>
      </c>
      <c r="D35" s="211" t="s">
        <v>191</v>
      </c>
      <c r="E35" s="211" t="s">
        <v>190</v>
      </c>
      <c r="F35" s="211" t="s">
        <v>189</v>
      </c>
      <c r="G35" s="211" t="s">
        <v>188</v>
      </c>
      <c r="H35" s="211" t="s">
        <v>187</v>
      </c>
      <c r="I35" s="211" t="s">
        <v>186</v>
      </c>
      <c r="J35" s="211" t="s">
        <v>185</v>
      </c>
      <c r="K35" s="211" t="s">
        <v>184</v>
      </c>
      <c r="L35" s="211" t="s">
        <v>183</v>
      </c>
      <c r="M35" s="211" t="s">
        <v>182</v>
      </c>
      <c r="N35" s="211" t="s">
        <v>181</v>
      </c>
      <c r="O35" s="210" t="s">
        <v>212</v>
      </c>
      <c r="P35" s="210" t="s">
        <v>209</v>
      </c>
    </row>
    <row r="36" spans="1:19" hidden="1" x14ac:dyDescent="0.25">
      <c r="A36" s="207" t="s">
        <v>197</v>
      </c>
      <c r="B36" s="213" t="s">
        <v>13</v>
      </c>
      <c r="C36" s="205">
        <f>(C$13*$B$26)+(C$14*$C$26)+(C$15*$D$26)+(C$16*$E$26)+(C$17*$F$26)</f>
        <v>22395.451119999998</v>
      </c>
      <c r="D36" s="213">
        <f>(D$13*$B$26)+(D$14*$C$26)+(D$15*$D$26)+(D$16*$E$26)+(D$17*$F$26)</f>
        <v>23110.199560000001</v>
      </c>
      <c r="E36" s="213">
        <f t="shared" ref="E36:N36" si="1">(F$13*$B$26)+(F$14*$C$26)+(F$15*$D$26)+(F$16*$E$26)+(F$17*$F$26)</f>
        <v>22395.451119999998</v>
      </c>
      <c r="F36" s="213">
        <f t="shared" si="1"/>
        <v>24610.789560000005</v>
      </c>
      <c r="G36" s="213">
        <f t="shared" si="1"/>
        <v>24610.789560000005</v>
      </c>
      <c r="H36" s="213">
        <f t="shared" si="1"/>
        <v>23849.631119999998</v>
      </c>
      <c r="I36" s="213">
        <f t="shared" si="1"/>
        <v>27928.383559999998</v>
      </c>
      <c r="J36" s="213">
        <f t="shared" si="1"/>
        <v>27064.619119999999</v>
      </c>
      <c r="K36" s="213">
        <f t="shared" si="1"/>
        <v>27928.383559999998</v>
      </c>
      <c r="L36" s="213">
        <f t="shared" si="1"/>
        <v>44244.074560000001</v>
      </c>
      <c r="M36" s="213">
        <f t="shared" si="1"/>
        <v>40073.793599999997</v>
      </c>
      <c r="N36" s="213">
        <f t="shared" si="1"/>
        <v>44244.074560000001</v>
      </c>
      <c r="O36" s="213">
        <f>SUM(C36:N36)</f>
        <v>352455.64099999995</v>
      </c>
      <c r="P36" s="236"/>
    </row>
    <row r="37" spans="1:19" ht="12.75" hidden="1" customHeight="1" x14ac:dyDescent="0.25">
      <c r="A37" s="207" t="s">
        <v>196</v>
      </c>
      <c r="B37" s="213" t="s">
        <v>13</v>
      </c>
      <c r="C37" s="213">
        <f>(C$13*$B$27)+(C$14*$C$27)+(C$15*$D$27)+(C$16*$E$27)+(C$17*$F$27)</f>
        <v>13178.654300000002</v>
      </c>
      <c r="D37" s="213">
        <f>(D$13*$B$27)+(D$14*$C$27)+(D$15*$D$27)+(D$16*$E$27)+(D$17*$F$27)</f>
        <v>13599.249650000002</v>
      </c>
      <c r="E37" s="213">
        <f t="shared" ref="E37:N37" si="2">(F$13*$B$27)+(F$14*$C$27)+(F$15*$D$27)+(F$16*$E$27)+(F$17*$F$27)</f>
        <v>13178.654300000002</v>
      </c>
      <c r="F37" s="213">
        <f t="shared" si="2"/>
        <v>14285.718650000003</v>
      </c>
      <c r="G37" s="213">
        <f t="shared" si="2"/>
        <v>14285.718650000003</v>
      </c>
      <c r="H37" s="213">
        <f t="shared" si="2"/>
        <v>13843.8923</v>
      </c>
      <c r="I37" s="213">
        <f t="shared" si="2"/>
        <v>15592.114650000001</v>
      </c>
      <c r="J37" s="213">
        <f t="shared" si="2"/>
        <v>15109.8843</v>
      </c>
      <c r="K37" s="213">
        <f t="shared" si="2"/>
        <v>15592.114650000001</v>
      </c>
      <c r="L37" s="213">
        <f t="shared" si="2"/>
        <v>22788.835650000001</v>
      </c>
      <c r="M37" s="213">
        <f t="shared" si="2"/>
        <v>20640.845249999998</v>
      </c>
      <c r="N37" s="213">
        <f t="shared" si="2"/>
        <v>22788.835650000001</v>
      </c>
      <c r="O37" s="213">
        <f>SUM(C37:N37)</f>
        <v>194884.51800000001</v>
      </c>
      <c r="P37" s="236"/>
    </row>
    <row r="38" spans="1:19" s="223" customFormat="1" x14ac:dyDescent="0.25">
      <c r="A38" s="235" t="s">
        <v>211</v>
      </c>
      <c r="B38" s="234"/>
      <c r="C38" s="203"/>
      <c r="D38" s="203"/>
      <c r="E38" s="203"/>
      <c r="F38" s="203"/>
      <c r="G38" s="203"/>
      <c r="H38" s="203"/>
      <c r="I38" s="203"/>
      <c r="J38" s="203"/>
      <c r="K38" s="203"/>
      <c r="L38" s="203"/>
      <c r="M38" s="203"/>
      <c r="N38" s="203"/>
      <c r="O38" s="203"/>
      <c r="P38" s="203"/>
      <c r="Q38" s="203"/>
      <c r="R38" s="203"/>
      <c r="S38" s="203"/>
    </row>
    <row r="39" spans="1:19" s="223" customFormat="1" x14ac:dyDescent="0.25">
      <c r="A39" s="232" t="s">
        <v>210</v>
      </c>
      <c r="B39" s="225"/>
      <c r="C39" s="228">
        <v>30</v>
      </c>
      <c r="D39" s="228">
        <v>31</v>
      </c>
      <c r="E39" s="228">
        <v>30</v>
      </c>
      <c r="F39" s="228">
        <v>31</v>
      </c>
      <c r="G39" s="228">
        <v>31</v>
      </c>
      <c r="H39" s="228">
        <v>30</v>
      </c>
      <c r="I39" s="228">
        <v>31</v>
      </c>
      <c r="J39" s="228">
        <v>30</v>
      </c>
      <c r="K39" s="228">
        <v>31</v>
      </c>
      <c r="L39" s="228">
        <v>31</v>
      </c>
      <c r="M39" s="228">
        <v>28</v>
      </c>
      <c r="N39" s="228">
        <v>31</v>
      </c>
      <c r="O39" s="229">
        <f>SUM(C39:N39)</f>
        <v>365</v>
      </c>
      <c r="P39" s="229">
        <v>365</v>
      </c>
      <c r="Q39" s="203"/>
      <c r="R39" s="203"/>
      <c r="S39" s="203"/>
    </row>
    <row r="40" spans="1:19" s="223" customFormat="1" ht="25.5" x14ac:dyDescent="0.2">
      <c r="A40" s="233" t="s">
        <v>171</v>
      </c>
      <c r="B40" s="232"/>
      <c r="C40" s="231" t="s">
        <v>192</v>
      </c>
      <c r="D40" s="231" t="s">
        <v>191</v>
      </c>
      <c r="E40" s="231" t="s">
        <v>190</v>
      </c>
      <c r="F40" s="231" t="s">
        <v>189</v>
      </c>
      <c r="G40" s="231" t="s">
        <v>188</v>
      </c>
      <c r="H40" s="231" t="s">
        <v>187</v>
      </c>
      <c r="I40" s="231" t="s">
        <v>186</v>
      </c>
      <c r="J40" s="231" t="s">
        <v>185</v>
      </c>
      <c r="K40" s="231" t="s">
        <v>184</v>
      </c>
      <c r="L40" s="231" t="s">
        <v>183</v>
      </c>
      <c r="M40" s="231" t="s">
        <v>182</v>
      </c>
      <c r="N40" s="231" t="s">
        <v>181</v>
      </c>
      <c r="O40" s="210" t="s">
        <v>209</v>
      </c>
      <c r="P40" s="210" t="s">
        <v>180</v>
      </c>
      <c r="Q40" s="203"/>
      <c r="R40" s="203"/>
      <c r="S40" s="203"/>
    </row>
    <row r="41" spans="1:19" s="223" customFormat="1" x14ac:dyDescent="0.25">
      <c r="A41" s="225" t="s">
        <v>208</v>
      </c>
      <c r="B41" s="224" t="s">
        <v>203</v>
      </c>
      <c r="C41" s="224">
        <f t="shared" ref="C41:O41" si="3">+C39*24</f>
        <v>720</v>
      </c>
      <c r="D41" s="224">
        <f t="shared" si="3"/>
        <v>744</v>
      </c>
      <c r="E41" s="224">
        <f t="shared" si="3"/>
        <v>720</v>
      </c>
      <c r="F41" s="224">
        <f t="shared" si="3"/>
        <v>744</v>
      </c>
      <c r="G41" s="224">
        <f t="shared" si="3"/>
        <v>744</v>
      </c>
      <c r="H41" s="224">
        <f t="shared" si="3"/>
        <v>720</v>
      </c>
      <c r="I41" s="224">
        <f t="shared" si="3"/>
        <v>744</v>
      </c>
      <c r="J41" s="224">
        <f t="shared" si="3"/>
        <v>720</v>
      </c>
      <c r="K41" s="224">
        <f t="shared" si="3"/>
        <v>744</v>
      </c>
      <c r="L41" s="224">
        <f t="shared" si="3"/>
        <v>744</v>
      </c>
      <c r="M41" s="224">
        <f t="shared" si="3"/>
        <v>672</v>
      </c>
      <c r="N41" s="224">
        <f t="shared" si="3"/>
        <v>744</v>
      </c>
      <c r="O41" s="224">
        <f t="shared" si="3"/>
        <v>8760</v>
      </c>
      <c r="P41" s="230"/>
      <c r="Q41" s="203"/>
      <c r="R41" s="203"/>
      <c r="S41" s="203"/>
    </row>
    <row r="42" spans="1:19" s="223" customFormat="1" x14ac:dyDescent="0.25">
      <c r="A42" s="227" t="s">
        <v>207</v>
      </c>
      <c r="B42" s="224" t="s">
        <v>203</v>
      </c>
      <c r="C42" s="228">
        <v>62</v>
      </c>
      <c r="D42" s="228">
        <v>65</v>
      </c>
      <c r="E42" s="228">
        <v>62</v>
      </c>
      <c r="F42" s="228">
        <v>65</v>
      </c>
      <c r="G42" s="228">
        <v>65</v>
      </c>
      <c r="H42" s="228">
        <v>62</v>
      </c>
      <c r="I42" s="228">
        <v>65</v>
      </c>
      <c r="J42" s="228">
        <v>62</v>
      </c>
      <c r="K42" s="228">
        <v>65</v>
      </c>
      <c r="L42" s="228">
        <v>65</v>
      </c>
      <c r="M42" s="228">
        <v>57</v>
      </c>
      <c r="N42" s="228">
        <v>65</v>
      </c>
      <c r="O42" s="229">
        <f>+SUM(C42:N42)</f>
        <v>760</v>
      </c>
      <c r="P42" s="228"/>
      <c r="Q42" s="203"/>
      <c r="R42" s="203"/>
      <c r="S42" s="203"/>
    </row>
    <row r="43" spans="1:19" s="223" customFormat="1" x14ac:dyDescent="0.25">
      <c r="A43" s="227" t="s">
        <v>206</v>
      </c>
      <c r="B43" s="224" t="s">
        <v>203</v>
      </c>
      <c r="C43" s="228">
        <v>0</v>
      </c>
      <c r="D43" s="228">
        <v>0</v>
      </c>
      <c r="E43" s="228">
        <v>0</v>
      </c>
      <c r="F43" s="228">
        <v>0</v>
      </c>
      <c r="G43" s="228">
        <v>0</v>
      </c>
      <c r="H43" s="228">
        <v>0</v>
      </c>
      <c r="I43" s="228">
        <v>0</v>
      </c>
      <c r="J43" s="228">
        <v>0</v>
      </c>
      <c r="K43" s="228">
        <v>0</v>
      </c>
      <c r="L43" s="228">
        <v>0</v>
      </c>
      <c r="M43" s="228">
        <v>0</v>
      </c>
      <c r="N43" s="228">
        <v>0</v>
      </c>
      <c r="O43" s="229">
        <f>+SUM(C43:N43)</f>
        <v>0</v>
      </c>
      <c r="P43" s="228"/>
      <c r="Q43" s="203"/>
      <c r="R43" s="203"/>
      <c r="S43" s="203"/>
    </row>
    <row r="44" spans="1:19" s="223" customFormat="1" ht="12.75" customHeight="1" x14ac:dyDescent="0.25">
      <c r="A44" s="227" t="s">
        <v>205</v>
      </c>
      <c r="B44" s="224" t="s">
        <v>203</v>
      </c>
      <c r="C44" s="226">
        <v>61.999999999999972</v>
      </c>
      <c r="D44" s="226">
        <v>64.999999999999901</v>
      </c>
      <c r="E44" s="226">
        <v>61.999999999999979</v>
      </c>
      <c r="F44" s="226">
        <v>64.999999999999915</v>
      </c>
      <c r="G44" s="226">
        <v>64.999999999999915</v>
      </c>
      <c r="H44" s="226">
        <v>62.000000000000021</v>
      </c>
      <c r="I44" s="226">
        <v>64.999999999999957</v>
      </c>
      <c r="J44" s="226">
        <v>62.000000000000007</v>
      </c>
      <c r="K44" s="226">
        <v>64.999999999999957</v>
      </c>
      <c r="L44" s="226">
        <v>65.000000000000057</v>
      </c>
      <c r="M44" s="226">
        <v>56.999999999999986</v>
      </c>
      <c r="N44" s="226">
        <v>65.000000000000028</v>
      </c>
      <c r="O44" s="224">
        <f>+SUM(C44:N44)</f>
        <v>759.99999999999955</v>
      </c>
      <c r="P44" s="224"/>
      <c r="Q44" s="203"/>
      <c r="R44" s="203"/>
      <c r="S44" s="203"/>
    </row>
    <row r="45" spans="1:19" s="223" customFormat="1" x14ac:dyDescent="0.25">
      <c r="A45" s="225" t="s">
        <v>204</v>
      </c>
      <c r="B45" s="224" t="s">
        <v>203</v>
      </c>
      <c r="C45" s="224">
        <f t="shared" ref="C45:O45" si="4">+C41-C44</f>
        <v>658</v>
      </c>
      <c r="D45" s="224">
        <f t="shared" si="4"/>
        <v>679.00000000000011</v>
      </c>
      <c r="E45" s="224">
        <f t="shared" si="4"/>
        <v>658</v>
      </c>
      <c r="F45" s="224">
        <f t="shared" si="4"/>
        <v>679.00000000000011</v>
      </c>
      <c r="G45" s="224">
        <f t="shared" si="4"/>
        <v>679.00000000000011</v>
      </c>
      <c r="H45" s="224">
        <f t="shared" si="4"/>
        <v>658</v>
      </c>
      <c r="I45" s="224">
        <f t="shared" si="4"/>
        <v>679</v>
      </c>
      <c r="J45" s="224">
        <f t="shared" si="4"/>
        <v>658</v>
      </c>
      <c r="K45" s="224">
        <f t="shared" si="4"/>
        <v>679</v>
      </c>
      <c r="L45" s="224">
        <f t="shared" si="4"/>
        <v>679</v>
      </c>
      <c r="M45" s="224">
        <f t="shared" si="4"/>
        <v>615</v>
      </c>
      <c r="N45" s="224">
        <f t="shared" si="4"/>
        <v>679</v>
      </c>
      <c r="O45" s="224">
        <f t="shared" si="4"/>
        <v>8000</v>
      </c>
      <c r="P45" s="224"/>
      <c r="Q45" s="203"/>
      <c r="R45" s="203"/>
      <c r="S45" s="203"/>
    </row>
    <row r="46" spans="1:19" customFormat="1" ht="15" x14ac:dyDescent="0.25">
      <c r="B46" s="202"/>
      <c r="C46" s="202"/>
      <c r="D46" s="202"/>
      <c r="E46" s="202"/>
      <c r="F46" s="202"/>
      <c r="G46" s="202"/>
      <c r="H46" s="202"/>
      <c r="I46" s="202"/>
      <c r="J46" s="202"/>
      <c r="K46" s="202"/>
      <c r="L46" s="202"/>
      <c r="M46" s="202"/>
      <c r="N46" s="202"/>
    </row>
    <row r="47" spans="1:19" customFormat="1" ht="15.75" thickBot="1" x14ac:dyDescent="0.3">
      <c r="K47" s="222"/>
    </row>
    <row r="48" spans="1:19" customFormat="1" ht="15.75" thickBot="1" x14ac:dyDescent="0.3">
      <c r="B48" s="887" t="s">
        <v>202</v>
      </c>
      <c r="C48" s="888"/>
      <c r="D48" s="888"/>
      <c r="E48" s="888"/>
      <c r="F48" s="888"/>
      <c r="G48" s="888"/>
      <c r="H48" s="888"/>
      <c r="I48" s="888"/>
      <c r="J48" s="888"/>
      <c r="K48" s="888"/>
      <c r="L48" s="888"/>
      <c r="M48" s="888"/>
      <c r="N48" s="889"/>
    </row>
    <row r="49" spans="1:19" customFormat="1" ht="15" x14ac:dyDescent="0.25">
      <c r="A49" s="890" t="s">
        <v>171</v>
      </c>
      <c r="B49" s="891"/>
      <c r="C49" s="221">
        <v>43191</v>
      </c>
      <c r="D49" s="220">
        <v>43221</v>
      </c>
      <c r="E49" s="221">
        <v>43252</v>
      </c>
      <c r="F49" s="220">
        <v>43282</v>
      </c>
      <c r="G49" s="221">
        <v>43313</v>
      </c>
      <c r="H49" s="220">
        <v>43344</v>
      </c>
      <c r="I49" s="221">
        <v>43374</v>
      </c>
      <c r="J49" s="220">
        <v>43405</v>
      </c>
      <c r="K49" s="221">
        <v>43435</v>
      </c>
      <c r="L49" s="220">
        <v>43466</v>
      </c>
      <c r="M49" s="221">
        <v>43497</v>
      </c>
      <c r="N49" s="220">
        <v>43525</v>
      </c>
      <c r="O49" s="220" t="s">
        <v>201</v>
      </c>
    </row>
    <row r="50" spans="1:19" customFormat="1" ht="15" x14ac:dyDescent="0.25">
      <c r="A50" s="872" t="s">
        <v>200</v>
      </c>
      <c r="B50" s="873"/>
      <c r="C50" s="219">
        <v>11.5</v>
      </c>
      <c r="D50" s="219">
        <v>11.5</v>
      </c>
      <c r="E50" s="219">
        <v>11.5</v>
      </c>
      <c r="F50" s="219">
        <v>11.5</v>
      </c>
      <c r="G50" s="219">
        <v>11</v>
      </c>
      <c r="H50" s="219">
        <v>11</v>
      </c>
      <c r="I50" s="219">
        <v>10.5</v>
      </c>
      <c r="J50" s="219">
        <v>10.5</v>
      </c>
      <c r="K50" s="219">
        <v>10.5</v>
      </c>
      <c r="L50" s="219">
        <v>10.5</v>
      </c>
      <c r="M50" s="219">
        <v>11</v>
      </c>
      <c r="N50" s="219">
        <v>11</v>
      </c>
      <c r="O50" s="218">
        <f>((C50*31)+(D50*31)+(E50*30)+(F50*31)+(G50*31)+(H50*30)+(I50*31)+(J50*30)+(K50*31)+(L50*31)+(M50*28)+(N50*31))</f>
        <v>4026</v>
      </c>
    </row>
    <row r="51" spans="1:19" customFormat="1" ht="15" x14ac:dyDescent="0.25">
      <c r="A51" s="892" t="s">
        <v>199</v>
      </c>
      <c r="B51" s="893"/>
      <c r="C51" s="217">
        <f>(C50*4.54*1000*30*33.27)/100000</f>
        <v>521.10801000000004</v>
      </c>
      <c r="D51" s="216">
        <f>(D50*4.54*1000*31*33.27)/100000</f>
        <v>538.47827700000005</v>
      </c>
      <c r="E51" s="216">
        <f>(E50*4.54*1000*30*33.27)/100000</f>
        <v>521.10801000000004</v>
      </c>
      <c r="F51" s="216">
        <f>(F50*4.54*1000*31*33.27)/100000</f>
        <v>538.47827700000005</v>
      </c>
      <c r="G51" s="216">
        <f>(G50*4.54*1000*31*33.27)/100000</f>
        <v>515.06617800000004</v>
      </c>
      <c r="H51" s="216">
        <f>(H50*4.54*1000*30*33.27)/100000</f>
        <v>498.45114000000007</v>
      </c>
      <c r="I51" s="216">
        <f>(I50*4.54*1000*31*33.27)/100000</f>
        <v>491.65407900000008</v>
      </c>
      <c r="J51" s="216">
        <f>(J50*4.54*1000*30*33.27)/100000</f>
        <v>475.7942700000001</v>
      </c>
      <c r="K51" s="216">
        <f>(K50*4.54*1000*31*33.27)/100000</f>
        <v>491.65407900000008</v>
      </c>
      <c r="L51" s="216">
        <f>(L50*4.54*1000*31*33.27)/100000</f>
        <v>491.65407900000008</v>
      </c>
      <c r="M51" s="216">
        <f>(M50*4.54*1000*28*33.27)/100000</f>
        <v>465.22106400000007</v>
      </c>
      <c r="N51" s="216">
        <f>(N50*4.54*1000*31*33.27)/100000</f>
        <v>515.06617800000004</v>
      </c>
      <c r="O51" s="215">
        <f>SUM(C51:N51)</f>
        <v>6063.7336410000007</v>
      </c>
    </row>
    <row r="52" spans="1:19" x14ac:dyDescent="0.25">
      <c r="A52" s="214"/>
      <c r="B52" s="214"/>
      <c r="C52" s="214"/>
      <c r="D52" s="214"/>
      <c r="E52" s="214"/>
      <c r="F52" s="214"/>
      <c r="G52" s="214"/>
      <c r="H52" s="214"/>
      <c r="I52" s="214"/>
      <c r="J52" s="214"/>
      <c r="K52" s="214"/>
      <c r="L52" s="214"/>
      <c r="M52" s="214"/>
      <c r="N52" s="214"/>
      <c r="O52" s="214"/>
      <c r="Q52" s="203"/>
      <c r="R52" s="203"/>
      <c r="S52" s="203"/>
    </row>
    <row r="53" spans="1:19" x14ac:dyDescent="0.25">
      <c r="A53" s="886" t="s">
        <v>198</v>
      </c>
      <c r="B53" s="886">
        <v>0</v>
      </c>
      <c r="C53" s="204"/>
      <c r="D53" s="204"/>
      <c r="E53" s="204"/>
      <c r="F53" s="204"/>
      <c r="G53" s="204"/>
      <c r="H53" s="204"/>
      <c r="I53" s="204"/>
      <c r="J53" s="204"/>
      <c r="K53" s="204"/>
      <c r="L53" s="204"/>
      <c r="M53" s="204"/>
      <c r="N53" s="204"/>
      <c r="O53" s="204"/>
      <c r="P53" s="202"/>
    </row>
    <row r="54" spans="1:19" s="209" customFormat="1" ht="25.5" x14ac:dyDescent="0.2">
      <c r="A54" s="212" t="s">
        <v>194</v>
      </c>
      <c r="B54" s="212" t="s">
        <v>193</v>
      </c>
      <c r="C54" s="211" t="s">
        <v>192</v>
      </c>
      <c r="D54" s="211" t="s">
        <v>191</v>
      </c>
      <c r="E54" s="211" t="s">
        <v>190</v>
      </c>
      <c r="F54" s="211" t="s">
        <v>189</v>
      </c>
      <c r="G54" s="211" t="s">
        <v>188</v>
      </c>
      <c r="H54" s="211" t="s">
        <v>187</v>
      </c>
      <c r="I54" s="211" t="s">
        <v>186</v>
      </c>
      <c r="J54" s="211" t="s">
        <v>185</v>
      </c>
      <c r="K54" s="211" t="s">
        <v>184</v>
      </c>
      <c r="L54" s="211" t="s">
        <v>183</v>
      </c>
      <c r="M54" s="211" t="s">
        <v>182</v>
      </c>
      <c r="N54" s="211" t="s">
        <v>181</v>
      </c>
      <c r="O54" s="210" t="s">
        <v>180</v>
      </c>
    </row>
    <row r="55" spans="1:19" x14ac:dyDescent="0.25">
      <c r="A55" s="207" t="s">
        <v>197</v>
      </c>
      <c r="B55" s="213" t="s">
        <v>13</v>
      </c>
      <c r="C55" s="205">
        <v>22395.451119999998</v>
      </c>
      <c r="D55" s="205">
        <v>23110.199559999997</v>
      </c>
      <c r="E55" s="205">
        <v>22395.451119999998</v>
      </c>
      <c r="F55" s="205">
        <v>24610.789559999997</v>
      </c>
      <c r="G55" s="205">
        <v>24610.789559999997</v>
      </c>
      <c r="H55" s="205">
        <v>23849.631119999998</v>
      </c>
      <c r="I55" s="205">
        <v>27928.383559999998</v>
      </c>
      <c r="J55" s="205">
        <v>27064.619119999999</v>
      </c>
      <c r="K55" s="205">
        <v>27928.383559999998</v>
      </c>
      <c r="L55" s="205">
        <v>44244.074560000001</v>
      </c>
      <c r="M55" s="205">
        <v>40073.793599999997</v>
      </c>
      <c r="N55" s="205">
        <v>44244.074560000001</v>
      </c>
      <c r="O55" s="213">
        <v>352455.64099999989</v>
      </c>
      <c r="P55" s="202"/>
    </row>
    <row r="56" spans="1:19" ht="12.75" customHeight="1" x14ac:dyDescent="0.25">
      <c r="A56" s="207" t="s">
        <v>196</v>
      </c>
      <c r="B56" s="213" t="s">
        <v>13</v>
      </c>
      <c r="C56" s="205">
        <v>13178.654300000002</v>
      </c>
      <c r="D56" s="205">
        <v>13599.249650000002</v>
      </c>
      <c r="E56" s="205">
        <v>13178.654300000002</v>
      </c>
      <c r="F56" s="205">
        <v>14285.718650000001</v>
      </c>
      <c r="G56" s="205">
        <v>14285.718650000001</v>
      </c>
      <c r="H56" s="205">
        <v>13843.8923</v>
      </c>
      <c r="I56" s="205">
        <v>15592.114650000001</v>
      </c>
      <c r="J56" s="205">
        <v>15109.8843</v>
      </c>
      <c r="K56" s="205">
        <v>15592.114650000001</v>
      </c>
      <c r="L56" s="205">
        <v>22788.835650000001</v>
      </c>
      <c r="M56" s="205">
        <v>20640.845249999998</v>
      </c>
      <c r="N56" s="205">
        <v>22788.835650000001</v>
      </c>
      <c r="O56" s="213">
        <v>194884.51800000001</v>
      </c>
      <c r="P56" s="202"/>
    </row>
    <row r="57" spans="1:19" x14ac:dyDescent="0.25">
      <c r="A57" s="886" t="s">
        <v>195</v>
      </c>
      <c r="B57" s="886">
        <v>0</v>
      </c>
      <c r="C57" s="203">
        <v>0</v>
      </c>
      <c r="D57" s="203">
        <v>0</v>
      </c>
      <c r="E57" s="203">
        <v>0</v>
      </c>
      <c r="F57" s="203">
        <v>0</v>
      </c>
      <c r="G57" s="203">
        <v>0</v>
      </c>
      <c r="H57" s="203">
        <v>0</v>
      </c>
      <c r="I57" s="203">
        <v>0</v>
      </c>
      <c r="J57" s="203">
        <v>0</v>
      </c>
      <c r="K57" s="203">
        <v>0</v>
      </c>
      <c r="L57" s="203">
        <v>0</v>
      </c>
      <c r="M57" s="203">
        <v>0</v>
      </c>
      <c r="N57" s="203">
        <v>0</v>
      </c>
      <c r="O57" s="203">
        <v>0</v>
      </c>
      <c r="P57" s="202"/>
    </row>
    <row r="58" spans="1:19" s="209" customFormat="1" ht="25.5" x14ac:dyDescent="0.2">
      <c r="A58" s="212" t="s">
        <v>194</v>
      </c>
      <c r="B58" s="212" t="s">
        <v>193</v>
      </c>
      <c r="C58" s="211" t="s">
        <v>192</v>
      </c>
      <c r="D58" s="211" t="s">
        <v>191</v>
      </c>
      <c r="E58" s="211" t="s">
        <v>190</v>
      </c>
      <c r="F58" s="211" t="s">
        <v>189</v>
      </c>
      <c r="G58" s="211" t="s">
        <v>188</v>
      </c>
      <c r="H58" s="211" t="s">
        <v>187</v>
      </c>
      <c r="I58" s="211" t="s">
        <v>186</v>
      </c>
      <c r="J58" s="211" t="s">
        <v>185</v>
      </c>
      <c r="K58" s="211" t="s">
        <v>184</v>
      </c>
      <c r="L58" s="211" t="s">
        <v>183</v>
      </c>
      <c r="M58" s="211" t="s">
        <v>182</v>
      </c>
      <c r="N58" s="211" t="s">
        <v>181</v>
      </c>
      <c r="O58" s="210" t="s">
        <v>180</v>
      </c>
    </row>
    <row r="59" spans="1:19" x14ac:dyDescent="0.25">
      <c r="A59" s="207" t="s">
        <v>179</v>
      </c>
      <c r="B59" s="206" t="s">
        <v>13</v>
      </c>
      <c r="C59" s="205">
        <v>5374.908268799999</v>
      </c>
      <c r="D59" s="205">
        <v>5546.4478943999993</v>
      </c>
      <c r="E59" s="205">
        <v>5374.908268799999</v>
      </c>
      <c r="F59" s="205">
        <v>5906.5894943999992</v>
      </c>
      <c r="G59" s="205">
        <v>5906.5894943999992</v>
      </c>
      <c r="H59" s="205">
        <v>5723.9114687999991</v>
      </c>
      <c r="I59" s="205">
        <v>6702.8120543999994</v>
      </c>
      <c r="J59" s="205">
        <v>6495.5085887999994</v>
      </c>
      <c r="K59" s="205">
        <v>6702.8120543999994</v>
      </c>
      <c r="L59" s="205">
        <v>10618.577894399999</v>
      </c>
      <c r="M59" s="205">
        <v>9617.7104639999998</v>
      </c>
      <c r="N59" s="205">
        <v>10618.577894399999</v>
      </c>
      <c r="O59" s="205">
        <v>84589.353839999982</v>
      </c>
      <c r="P59" s="202"/>
    </row>
    <row r="60" spans="1:19" x14ac:dyDescent="0.25">
      <c r="A60" s="207" t="s">
        <v>117</v>
      </c>
      <c r="B60" s="206" t="s">
        <v>13</v>
      </c>
      <c r="C60" s="205">
        <v>5521.8561517000007</v>
      </c>
      <c r="D60" s="205">
        <v>5698.0856033500004</v>
      </c>
      <c r="E60" s="205">
        <v>5521.8561517000007</v>
      </c>
      <c r="F60" s="205">
        <v>5985.7161143499998</v>
      </c>
      <c r="G60" s="205">
        <v>5985.7161143499998</v>
      </c>
      <c r="H60" s="205">
        <v>5800.5908737</v>
      </c>
      <c r="I60" s="205">
        <v>6533.0960383500005</v>
      </c>
      <c r="J60" s="205">
        <v>6331.0415217</v>
      </c>
      <c r="K60" s="205">
        <v>6533.0960383500005</v>
      </c>
      <c r="L60" s="205">
        <v>9548.5221373500008</v>
      </c>
      <c r="M60" s="205">
        <v>8648.5141597499987</v>
      </c>
      <c r="N60" s="205">
        <v>9548.5221373500008</v>
      </c>
      <c r="O60" s="205">
        <v>81656.613041999997</v>
      </c>
      <c r="P60" s="202"/>
    </row>
    <row r="61" spans="1:19" x14ac:dyDescent="0.25">
      <c r="A61" s="207" t="s">
        <v>118</v>
      </c>
      <c r="B61" s="206" t="s">
        <v>13</v>
      </c>
      <c r="C61" s="205">
        <v>6046.7718023999996</v>
      </c>
      <c r="D61" s="205">
        <v>6239.7538811999993</v>
      </c>
      <c r="E61" s="205">
        <v>6046.7718023999996</v>
      </c>
      <c r="F61" s="205">
        <v>6644.9131811999996</v>
      </c>
      <c r="G61" s="205">
        <v>6644.9131811999996</v>
      </c>
      <c r="H61" s="205">
        <v>6439.4004023999996</v>
      </c>
      <c r="I61" s="205">
        <v>7540.6635612</v>
      </c>
      <c r="J61" s="205">
        <v>7307.4471624000007</v>
      </c>
      <c r="K61" s="205">
        <v>7540.6635612</v>
      </c>
      <c r="L61" s="205">
        <v>11945.900131200002</v>
      </c>
      <c r="M61" s="205">
        <v>10819.924272</v>
      </c>
      <c r="N61" s="205">
        <v>11945.900131200002</v>
      </c>
      <c r="O61" s="205">
        <v>95163.02307000001</v>
      </c>
      <c r="P61" s="202"/>
    </row>
    <row r="62" spans="1:19" x14ac:dyDescent="0.25">
      <c r="A62" s="207" t="s">
        <v>119</v>
      </c>
      <c r="B62" s="206" t="s">
        <v>13</v>
      </c>
      <c r="C62" s="205">
        <v>3249.4211400000004</v>
      </c>
      <c r="D62" s="205">
        <v>3353.1260700000007</v>
      </c>
      <c r="E62" s="205">
        <v>3249.4211400000004</v>
      </c>
      <c r="F62" s="205">
        <v>3557.7087700000006</v>
      </c>
      <c r="G62" s="205">
        <v>3557.7087700000006</v>
      </c>
      <c r="H62" s="205">
        <v>3447.6765399999999</v>
      </c>
      <c r="I62" s="205">
        <v>3765.9580700000001</v>
      </c>
      <c r="J62" s="205">
        <v>3649.4851399999993</v>
      </c>
      <c r="K62" s="205">
        <v>3765.9580700000001</v>
      </c>
      <c r="L62" s="205">
        <v>4530.8176200000007</v>
      </c>
      <c r="M62" s="205">
        <v>4103.7597000000005</v>
      </c>
      <c r="N62" s="205">
        <v>4530.8176200000007</v>
      </c>
      <c r="O62" s="205">
        <v>44761.858650000009</v>
      </c>
      <c r="P62" s="202"/>
    </row>
    <row r="63" spans="1:19" x14ac:dyDescent="0.25">
      <c r="A63" s="207" t="s">
        <v>120</v>
      </c>
      <c r="B63" s="206" t="s">
        <v>13</v>
      </c>
      <c r="C63" s="205">
        <v>1814.0315407199998</v>
      </c>
      <c r="D63" s="205">
        <v>1871.9261643599998</v>
      </c>
      <c r="E63" s="205">
        <v>1814.0315407199998</v>
      </c>
      <c r="F63" s="205">
        <v>1993.4739543599999</v>
      </c>
      <c r="G63" s="205">
        <v>1993.4739543599999</v>
      </c>
      <c r="H63" s="205">
        <v>1931.8201207199997</v>
      </c>
      <c r="I63" s="205">
        <v>2262.1990683599997</v>
      </c>
      <c r="J63" s="205">
        <v>2192.2341487200001</v>
      </c>
      <c r="K63" s="205">
        <v>2262.1990683599997</v>
      </c>
      <c r="L63" s="205">
        <v>3583.7700393600003</v>
      </c>
      <c r="M63" s="205">
        <v>3245.9772816</v>
      </c>
      <c r="N63" s="205">
        <v>3583.7700393600003</v>
      </c>
      <c r="O63" s="205">
        <v>28548.906920999998</v>
      </c>
      <c r="P63" s="202"/>
    </row>
    <row r="64" spans="1:19" x14ac:dyDescent="0.25">
      <c r="A64" s="207" t="s">
        <v>178</v>
      </c>
      <c r="B64" s="206" t="s">
        <v>13</v>
      </c>
      <c r="C64" s="208">
        <v>90.983791919999987</v>
      </c>
      <c r="D64" s="208">
        <v>93.887529960000009</v>
      </c>
      <c r="E64" s="208">
        <v>90.983791919999987</v>
      </c>
      <c r="F64" s="208">
        <v>99.615845559999997</v>
      </c>
      <c r="G64" s="208">
        <v>99.615845559999997</v>
      </c>
      <c r="H64" s="208">
        <v>96.53494311999998</v>
      </c>
      <c r="I64" s="208">
        <v>105.44682595999998</v>
      </c>
      <c r="J64" s="208">
        <v>102.18558391999997</v>
      </c>
      <c r="K64" s="208">
        <v>105.44682595999998</v>
      </c>
      <c r="L64" s="208">
        <v>126.86289336</v>
      </c>
      <c r="M64" s="208">
        <v>114.90527159999999</v>
      </c>
      <c r="N64" s="208">
        <v>126.86289336</v>
      </c>
      <c r="O64" s="205">
        <v>1253.3320421999999</v>
      </c>
      <c r="P64" s="202"/>
    </row>
    <row r="65" spans="1:16" x14ac:dyDescent="0.25">
      <c r="A65" s="207" t="s">
        <v>177</v>
      </c>
      <c r="B65" s="206" t="s">
        <v>13</v>
      </c>
      <c r="C65" s="205">
        <v>0</v>
      </c>
      <c r="D65" s="205">
        <v>0</v>
      </c>
      <c r="E65" s="205">
        <v>0</v>
      </c>
      <c r="F65" s="205">
        <v>0</v>
      </c>
      <c r="G65" s="205">
        <v>0</v>
      </c>
      <c r="H65" s="205">
        <v>0</v>
      </c>
      <c r="I65" s="205">
        <v>0</v>
      </c>
      <c r="J65" s="205">
        <v>0</v>
      </c>
      <c r="K65" s="205">
        <v>0</v>
      </c>
      <c r="L65" s="205">
        <v>0</v>
      </c>
      <c r="M65" s="205">
        <v>0</v>
      </c>
      <c r="N65" s="205">
        <v>0</v>
      </c>
      <c r="O65" s="205">
        <v>0</v>
      </c>
      <c r="P65" s="202"/>
    </row>
    <row r="66" spans="1:16" x14ac:dyDescent="0.25">
      <c r="A66" s="886"/>
      <c r="B66" s="886"/>
      <c r="C66" s="204"/>
      <c r="D66" s="204"/>
      <c r="E66" s="204"/>
      <c r="F66" s="204"/>
      <c r="G66" s="204"/>
      <c r="H66" s="204"/>
      <c r="I66" s="204"/>
      <c r="J66" s="204"/>
      <c r="K66" s="204"/>
      <c r="L66" s="204"/>
      <c r="M66" s="204"/>
      <c r="N66" s="204"/>
      <c r="O66" s="204"/>
      <c r="P66" s="202"/>
    </row>
    <row r="67" spans="1:16" x14ac:dyDescent="0.25">
      <c r="P67" s="202"/>
    </row>
    <row r="68" spans="1:16" x14ac:dyDescent="0.25">
      <c r="P68" s="202"/>
    </row>
    <row r="69" spans="1:16" x14ac:dyDescent="0.25">
      <c r="P69" s="202"/>
    </row>
    <row r="70" spans="1:16" x14ac:dyDescent="0.25">
      <c r="P70" s="202"/>
    </row>
    <row r="71" spans="1:16" x14ac:dyDescent="0.25">
      <c r="P71" s="202"/>
    </row>
    <row r="72" spans="1:16" x14ac:dyDescent="0.25">
      <c r="P72" s="202"/>
    </row>
    <row r="73" spans="1:16" x14ac:dyDescent="0.25">
      <c r="P73" s="202"/>
    </row>
    <row r="74" spans="1:16" x14ac:dyDescent="0.25">
      <c r="P74" s="202"/>
    </row>
    <row r="75" spans="1:16" x14ac:dyDescent="0.25">
      <c r="P75" s="202"/>
    </row>
    <row r="76" spans="1:16" x14ac:dyDescent="0.25">
      <c r="P76" s="202"/>
    </row>
    <row r="77" spans="1:16" x14ac:dyDescent="0.25">
      <c r="P77" s="202"/>
    </row>
    <row r="78" spans="1:16" x14ac:dyDescent="0.25">
      <c r="P78" s="202"/>
    </row>
    <row r="79" spans="1:16" x14ac:dyDescent="0.25">
      <c r="P79" s="202"/>
    </row>
    <row r="80" spans="1:16" x14ac:dyDescent="0.25">
      <c r="P80" s="202"/>
    </row>
    <row r="81" spans="16:16" x14ac:dyDescent="0.25">
      <c r="P81" s="202"/>
    </row>
    <row r="82" spans="16:16" x14ac:dyDescent="0.25">
      <c r="P82" s="202"/>
    </row>
    <row r="83" spans="16:16" x14ac:dyDescent="0.25">
      <c r="P83" s="202"/>
    </row>
  </sheetData>
  <mergeCells count="19">
    <mergeCell ref="A50:B50"/>
    <mergeCell ref="A53:B53"/>
    <mergeCell ref="A57:B57"/>
    <mergeCell ref="A66:B66"/>
    <mergeCell ref="A34:B34"/>
    <mergeCell ref="B48:N48"/>
    <mergeCell ref="A49:B49"/>
    <mergeCell ref="A51:B51"/>
    <mergeCell ref="A29:B29"/>
    <mergeCell ref="D15:E15"/>
    <mergeCell ref="D16:E16"/>
    <mergeCell ref="D17:E17"/>
    <mergeCell ref="D18:E18"/>
    <mergeCell ref="A21:B21"/>
    <mergeCell ref="A1:N1"/>
    <mergeCell ref="J2:L2"/>
    <mergeCell ref="D12:E12"/>
    <mergeCell ref="D13:E13"/>
    <mergeCell ref="D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0"/>
  <sheetViews>
    <sheetView workbookViewId="0">
      <selection activeCell="D19" sqref="D19"/>
    </sheetView>
  </sheetViews>
  <sheetFormatPr defaultColWidth="9.140625" defaultRowHeight="14.25" x14ac:dyDescent="0.25"/>
  <cols>
    <col min="1" max="1" width="6.28515625" style="262" customWidth="1"/>
    <col min="2" max="2" width="11.7109375" style="261" customWidth="1"/>
    <col min="3" max="3" width="16.42578125" style="261" customWidth="1"/>
    <col min="4" max="4" width="26.85546875" style="261" customWidth="1"/>
    <col min="5" max="6" width="8.5703125" style="261" customWidth="1"/>
    <col min="7" max="12" width="15.5703125" style="261" bestFit="1" customWidth="1"/>
    <col min="13" max="13" width="17.28515625" style="261" bestFit="1" customWidth="1"/>
    <col min="14" max="14" width="18.28515625" style="261" bestFit="1" customWidth="1"/>
    <col min="15" max="18" width="15.5703125" style="261" bestFit="1" customWidth="1"/>
    <col min="19" max="19" width="17.28515625" style="261" bestFit="1" customWidth="1"/>
    <col min="20" max="20" width="14.28515625" style="261" customWidth="1"/>
    <col min="21" max="21" width="8.5703125" style="261" customWidth="1"/>
    <col min="22" max="22" width="8.85546875" style="261" customWidth="1"/>
    <col min="23" max="23" width="9.85546875" style="261" bestFit="1" customWidth="1"/>
    <col min="24" max="16384" width="9.140625" style="261"/>
  </cols>
  <sheetData>
    <row r="1" spans="1:24" ht="15.75" x14ac:dyDescent="0.25">
      <c r="A1" s="306" t="s">
        <v>275</v>
      </c>
      <c r="B1" s="305"/>
    </row>
    <row r="2" spans="1:24" ht="15.75" x14ac:dyDescent="0.25">
      <c r="A2" s="306" t="s">
        <v>274</v>
      </c>
      <c r="B2" s="305"/>
    </row>
    <row r="3" spans="1:24" ht="15.75" x14ac:dyDescent="0.25">
      <c r="A3" s="306" t="s">
        <v>273</v>
      </c>
      <c r="B3" s="305"/>
      <c r="C3" s="304"/>
    </row>
    <row r="4" spans="1:24" x14ac:dyDescent="0.25">
      <c r="A4" s="273"/>
      <c r="B4" s="303"/>
      <c r="C4" s="298"/>
      <c r="D4" s="298"/>
      <c r="E4" s="298"/>
      <c r="F4" s="298"/>
      <c r="G4" s="298"/>
      <c r="H4" s="298"/>
      <c r="I4" s="298"/>
      <c r="J4" s="298"/>
      <c r="K4" s="298"/>
      <c r="L4" s="298"/>
      <c r="M4" s="298"/>
      <c r="N4" s="298"/>
      <c r="O4" s="298"/>
      <c r="P4" s="298"/>
      <c r="Q4" s="298"/>
      <c r="R4" s="298"/>
      <c r="S4" s="298"/>
    </row>
    <row r="5" spans="1:24" s="294" customFormat="1" ht="38.25" x14ac:dyDescent="0.25">
      <c r="A5" s="302"/>
      <c r="B5" s="302"/>
      <c r="C5" s="302"/>
      <c r="D5" s="296" t="s">
        <v>194</v>
      </c>
      <c r="E5" s="296" t="s">
        <v>193</v>
      </c>
      <c r="F5" s="297" t="s">
        <v>272</v>
      </c>
      <c r="G5" s="296" t="s">
        <v>261</v>
      </c>
      <c r="H5" s="296" t="s">
        <v>191</v>
      </c>
      <c r="I5" s="296" t="s">
        <v>190</v>
      </c>
      <c r="J5" s="296" t="s">
        <v>189</v>
      </c>
      <c r="K5" s="296" t="s">
        <v>188</v>
      </c>
      <c r="L5" s="296" t="s">
        <v>187</v>
      </c>
      <c r="M5" s="296" t="s">
        <v>186</v>
      </c>
      <c r="N5" s="296" t="s">
        <v>185</v>
      </c>
      <c r="O5" s="296" t="s">
        <v>184</v>
      </c>
      <c r="P5" s="296" t="s">
        <v>183</v>
      </c>
      <c r="Q5" s="296" t="s">
        <v>182</v>
      </c>
      <c r="R5" s="296" t="s">
        <v>181</v>
      </c>
      <c r="S5" s="296" t="s">
        <v>15</v>
      </c>
    </row>
    <row r="6" spans="1:24" x14ac:dyDescent="0.25">
      <c r="A6" s="274"/>
      <c r="B6" s="269"/>
      <c r="C6" s="269"/>
      <c r="D6" s="286" t="s">
        <v>271</v>
      </c>
      <c r="E6" s="286" t="s">
        <v>270</v>
      </c>
      <c r="F6" s="286"/>
      <c r="G6" s="285">
        <v>86400</v>
      </c>
      <c r="H6" s="285">
        <v>89280</v>
      </c>
      <c r="I6" s="285">
        <v>86400</v>
      </c>
      <c r="J6" s="285">
        <v>89280</v>
      </c>
      <c r="K6" s="285">
        <v>89280</v>
      </c>
      <c r="L6" s="285">
        <v>86400</v>
      </c>
      <c r="M6" s="285">
        <v>89280</v>
      </c>
      <c r="N6" s="285">
        <v>86400</v>
      </c>
      <c r="O6" s="285">
        <v>89280</v>
      </c>
      <c r="P6" s="285">
        <v>89280</v>
      </c>
      <c r="Q6" s="285">
        <v>80640</v>
      </c>
      <c r="R6" s="285">
        <v>89280</v>
      </c>
      <c r="S6" s="300">
        <v>1051200</v>
      </c>
    </row>
    <row r="7" spans="1:24" x14ac:dyDescent="0.25">
      <c r="A7" s="274"/>
      <c r="B7" s="269"/>
      <c r="C7" s="269"/>
      <c r="D7" s="286" t="s">
        <v>255</v>
      </c>
      <c r="E7" s="286" t="s">
        <v>270</v>
      </c>
      <c r="F7" s="286"/>
      <c r="G7" s="285">
        <v>7200</v>
      </c>
      <c r="H7" s="285">
        <v>7440</v>
      </c>
      <c r="I7" s="285">
        <v>7200</v>
      </c>
      <c r="J7" s="285">
        <v>7440</v>
      </c>
      <c r="K7" s="285">
        <v>7440</v>
      </c>
      <c r="L7" s="285">
        <v>7200</v>
      </c>
      <c r="M7" s="285">
        <v>7440</v>
      </c>
      <c r="N7" s="285">
        <v>7200</v>
      </c>
      <c r="O7" s="285">
        <v>7440</v>
      </c>
      <c r="P7" s="285">
        <v>7440</v>
      </c>
      <c r="Q7" s="285">
        <v>6720</v>
      </c>
      <c r="R7" s="285">
        <v>7440</v>
      </c>
      <c r="S7" s="300">
        <v>87600</v>
      </c>
    </row>
    <row r="8" spans="1:24" x14ac:dyDescent="0.25">
      <c r="A8" s="274"/>
      <c r="B8" s="269"/>
      <c r="C8" s="269"/>
      <c r="D8" s="288" t="s">
        <v>269</v>
      </c>
      <c r="E8" s="288"/>
      <c r="F8" s="288"/>
      <c r="G8" s="284">
        <v>79603.199999999997</v>
      </c>
      <c r="H8" s="284">
        <v>82584</v>
      </c>
      <c r="I8" s="284">
        <v>79326</v>
      </c>
      <c r="J8" s="284">
        <v>82584</v>
      </c>
      <c r="K8" s="284">
        <v>82584</v>
      </c>
      <c r="L8" s="284">
        <v>79326</v>
      </c>
      <c r="M8" s="284">
        <v>82584</v>
      </c>
      <c r="N8" s="284">
        <v>79488</v>
      </c>
      <c r="O8" s="284">
        <v>82584</v>
      </c>
      <c r="P8" s="284">
        <v>82454.400000000009</v>
      </c>
      <c r="Q8" s="284">
        <v>74592</v>
      </c>
      <c r="R8" s="284">
        <v>82584</v>
      </c>
      <c r="S8" s="300">
        <v>970293.6</v>
      </c>
    </row>
    <row r="9" spans="1:24" x14ac:dyDescent="0.25">
      <c r="A9" s="274"/>
      <c r="B9" s="269"/>
      <c r="C9" s="269"/>
      <c r="D9" s="301" t="s">
        <v>268</v>
      </c>
      <c r="E9" s="301" t="s">
        <v>266</v>
      </c>
      <c r="F9" s="301"/>
      <c r="G9" s="285">
        <v>1486594.56</v>
      </c>
      <c r="H9" s="285">
        <v>1528771.2</v>
      </c>
      <c r="I9" s="285">
        <v>1470928.8</v>
      </c>
      <c r="J9" s="285">
        <v>1528771.2</v>
      </c>
      <c r="K9" s="285">
        <v>1528771.2</v>
      </c>
      <c r="L9" s="285">
        <v>1458256.8</v>
      </c>
      <c r="M9" s="285">
        <v>1528771.2</v>
      </c>
      <c r="N9" s="285">
        <v>1428134.4</v>
      </c>
      <c r="O9" s="285">
        <v>1522224</v>
      </c>
      <c r="P9" s="285">
        <v>1480849.9200000002</v>
      </c>
      <c r="Q9" s="285">
        <v>1379980.8</v>
      </c>
      <c r="R9" s="285">
        <v>1528771.2</v>
      </c>
      <c r="S9" s="300">
        <v>17870825.280000001</v>
      </c>
    </row>
    <row r="10" spans="1:24" x14ac:dyDescent="0.25">
      <c r="A10" s="274"/>
      <c r="B10" s="269"/>
      <c r="C10" s="269"/>
      <c r="D10" s="276" t="s">
        <v>267</v>
      </c>
      <c r="E10" s="276" t="s">
        <v>266</v>
      </c>
      <c r="F10" s="276"/>
      <c r="G10" s="299"/>
      <c r="H10" s="299"/>
      <c r="I10" s="299"/>
      <c r="J10" s="299"/>
      <c r="K10" s="299"/>
      <c r="L10" s="299">
        <v>149521.2002609263</v>
      </c>
      <c r="M10" s="299">
        <v>79916.503587736472</v>
      </c>
      <c r="N10" s="299">
        <v>149521.2002609263</v>
      </c>
      <c r="O10" s="299">
        <v>79916.503587736472</v>
      </c>
      <c r="P10" s="299">
        <v>152099.15198956296</v>
      </c>
      <c r="Q10" s="299">
        <v>72182.648401826489</v>
      </c>
      <c r="R10" s="299">
        <v>152099.15198956296</v>
      </c>
      <c r="S10" s="299">
        <v>835256.36007827788</v>
      </c>
    </row>
    <row r="11" spans="1:24" x14ac:dyDescent="0.25">
      <c r="A11" s="274"/>
      <c r="B11" s="269"/>
      <c r="C11" s="269"/>
      <c r="D11" s="298"/>
      <c r="E11" s="298"/>
      <c r="F11" s="298"/>
      <c r="G11" s="298"/>
      <c r="H11" s="298"/>
      <c r="I11" s="298"/>
      <c r="J11" s="298"/>
      <c r="K11" s="298"/>
      <c r="L11" s="298"/>
      <c r="M11" s="298"/>
      <c r="N11" s="298"/>
      <c r="O11" s="298"/>
      <c r="P11" s="298"/>
      <c r="Q11" s="298"/>
      <c r="R11" s="298"/>
      <c r="S11" s="298"/>
    </row>
    <row r="12" spans="1:24" s="294" customFormat="1" ht="51" x14ac:dyDescent="0.25">
      <c r="A12" s="296" t="s">
        <v>265</v>
      </c>
      <c r="B12" s="297" t="s">
        <v>264</v>
      </c>
      <c r="C12" s="297" t="s">
        <v>263</v>
      </c>
      <c r="D12" s="296" t="s">
        <v>194</v>
      </c>
      <c r="E12" s="296" t="s">
        <v>193</v>
      </c>
      <c r="F12" s="297" t="s">
        <v>262</v>
      </c>
      <c r="G12" s="296" t="s">
        <v>261</v>
      </c>
      <c r="H12" s="296" t="s">
        <v>191</v>
      </c>
      <c r="I12" s="296" t="s">
        <v>190</v>
      </c>
      <c r="J12" s="296" t="s">
        <v>189</v>
      </c>
      <c r="K12" s="296" t="s">
        <v>188</v>
      </c>
      <c r="L12" s="296" t="s">
        <v>187</v>
      </c>
      <c r="M12" s="296" t="s">
        <v>186</v>
      </c>
      <c r="N12" s="296" t="s">
        <v>185</v>
      </c>
      <c r="O12" s="296" t="s">
        <v>184</v>
      </c>
      <c r="P12" s="296" t="s">
        <v>183</v>
      </c>
      <c r="Q12" s="296" t="s">
        <v>182</v>
      </c>
      <c r="R12" s="296" t="s">
        <v>181</v>
      </c>
      <c r="S12" s="296" t="s">
        <v>15</v>
      </c>
      <c r="T12" s="295" t="s">
        <v>260</v>
      </c>
      <c r="U12" s="295" t="s">
        <v>259</v>
      </c>
      <c r="V12" s="295" t="s">
        <v>258</v>
      </c>
      <c r="W12" s="295" t="s">
        <v>257</v>
      </c>
      <c r="X12" s="295" t="s">
        <v>256</v>
      </c>
    </row>
    <row r="13" spans="1:24" x14ac:dyDescent="0.2">
      <c r="A13" s="289">
        <v>1</v>
      </c>
      <c r="B13" s="288"/>
      <c r="C13" s="288"/>
      <c r="D13" s="286" t="s">
        <v>255</v>
      </c>
      <c r="E13" s="287" t="s">
        <v>249</v>
      </c>
      <c r="F13" s="286"/>
      <c r="G13" s="285"/>
      <c r="H13" s="285"/>
      <c r="I13" s="285"/>
      <c r="J13" s="285"/>
      <c r="K13" s="285"/>
      <c r="L13" s="285"/>
      <c r="M13" s="285"/>
      <c r="N13" s="285"/>
      <c r="O13" s="285"/>
      <c r="P13" s="285"/>
      <c r="Q13" s="285"/>
      <c r="R13" s="285"/>
      <c r="S13" s="285"/>
      <c r="T13" s="282"/>
      <c r="U13" s="282"/>
      <c r="V13" s="282"/>
      <c r="W13" s="282"/>
      <c r="X13" s="282"/>
    </row>
    <row r="14" spans="1:24" ht="25.5" x14ac:dyDescent="0.2">
      <c r="A14" s="289">
        <v>2</v>
      </c>
      <c r="B14" s="288"/>
      <c r="C14" s="288"/>
      <c r="D14" s="292" t="s">
        <v>254</v>
      </c>
      <c r="E14" s="287" t="s">
        <v>249</v>
      </c>
      <c r="F14" s="293">
        <v>0</v>
      </c>
      <c r="G14" s="285">
        <v>10813.173671393281</v>
      </c>
      <c r="H14" s="284">
        <v>11119.957609305602</v>
      </c>
      <c r="I14" s="284">
        <v>10817.5135042656</v>
      </c>
      <c r="J14" s="284">
        <v>11119.957609305602</v>
      </c>
      <c r="K14" s="284">
        <v>11119.957609305602</v>
      </c>
      <c r="L14" s="284">
        <v>10607.0508127584</v>
      </c>
      <c r="M14" s="284">
        <v>11119.957609305602</v>
      </c>
      <c r="N14" s="284">
        <v>10387.946861107201</v>
      </c>
      <c r="O14" s="284">
        <v>11072.334664512002</v>
      </c>
      <c r="P14" s="284">
        <v>10771.388377896961</v>
      </c>
      <c r="Q14" s="284">
        <v>10037.687783270401</v>
      </c>
      <c r="R14" s="284">
        <v>11119.957609305602</v>
      </c>
      <c r="S14" s="284">
        <v>130106.88372173184</v>
      </c>
      <c r="T14" s="282"/>
      <c r="U14" s="282"/>
      <c r="V14" s="282"/>
      <c r="W14" s="282"/>
      <c r="X14" s="282"/>
    </row>
    <row r="15" spans="1:24" ht="25.5" x14ac:dyDescent="0.2">
      <c r="A15" s="289">
        <v>3</v>
      </c>
      <c r="B15" s="288"/>
      <c r="C15" s="288"/>
      <c r="D15" s="292" t="s">
        <v>253</v>
      </c>
      <c r="E15" s="287" t="s">
        <v>249</v>
      </c>
      <c r="F15" s="287"/>
      <c r="G15" s="285">
        <v>0</v>
      </c>
      <c r="H15" s="285">
        <v>0</v>
      </c>
      <c r="I15" s="285">
        <v>0</v>
      </c>
      <c r="J15" s="285">
        <v>0</v>
      </c>
      <c r="K15" s="285">
        <v>0</v>
      </c>
      <c r="L15" s="285">
        <v>1087.5855122035225</v>
      </c>
      <c r="M15" s="285">
        <v>581.29570479843449</v>
      </c>
      <c r="N15" s="285">
        <v>1087.5855122035225</v>
      </c>
      <c r="O15" s="285">
        <v>581.29570479843449</v>
      </c>
      <c r="P15" s="285">
        <v>1106.3369865518591</v>
      </c>
      <c r="Q15" s="285">
        <v>525.04128175342476</v>
      </c>
      <c r="R15" s="285">
        <v>1106.3369865518591</v>
      </c>
      <c r="S15" s="285">
        <v>6075.4776888610577</v>
      </c>
      <c r="T15" s="282"/>
      <c r="U15" s="282"/>
      <c r="V15" s="282"/>
      <c r="W15" s="282"/>
      <c r="X15" s="282"/>
    </row>
    <row r="16" spans="1:24" ht="25.5" x14ac:dyDescent="0.2">
      <c r="A16" s="289">
        <v>5</v>
      </c>
      <c r="B16" s="288"/>
      <c r="C16" s="288"/>
      <c r="D16" s="291" t="s">
        <v>252</v>
      </c>
      <c r="E16" s="287" t="s">
        <v>249</v>
      </c>
      <c r="F16" s="286"/>
      <c r="G16" s="290">
        <v>57</v>
      </c>
      <c r="H16" s="290">
        <v>57</v>
      </c>
      <c r="I16" s="290">
        <v>57</v>
      </c>
      <c r="J16" s="290">
        <v>57</v>
      </c>
      <c r="K16" s="290">
        <v>57</v>
      </c>
      <c r="L16" s="290">
        <v>57</v>
      </c>
      <c r="M16" s="290">
        <v>57</v>
      </c>
      <c r="N16" s="290">
        <v>57</v>
      </c>
      <c r="O16" s="290">
        <v>57</v>
      </c>
      <c r="P16" s="290">
        <v>57</v>
      </c>
      <c r="Q16" s="290">
        <v>57</v>
      </c>
      <c r="R16" s="290">
        <v>57</v>
      </c>
      <c r="S16" s="290">
        <v>684</v>
      </c>
      <c r="T16" s="282"/>
      <c r="U16" s="282"/>
      <c r="V16" s="282"/>
      <c r="W16" s="282"/>
      <c r="X16" s="282"/>
    </row>
    <row r="17" spans="1:24" x14ac:dyDescent="0.2">
      <c r="A17" s="289">
        <v>6</v>
      </c>
      <c r="B17" s="288"/>
      <c r="C17" s="288"/>
      <c r="D17" s="286" t="s">
        <v>251</v>
      </c>
      <c r="E17" s="287" t="s">
        <v>249</v>
      </c>
      <c r="F17" s="286"/>
      <c r="G17" s="285"/>
      <c r="H17" s="284"/>
      <c r="I17" s="284"/>
      <c r="J17" s="284"/>
      <c r="K17" s="284"/>
      <c r="L17" s="284"/>
      <c r="M17" s="284"/>
      <c r="N17" s="284"/>
      <c r="O17" s="284"/>
      <c r="P17" s="284"/>
      <c r="Q17" s="284"/>
      <c r="R17" s="284"/>
      <c r="S17" s="283">
        <v>7316.8537743280003</v>
      </c>
      <c r="T17" s="282"/>
      <c r="U17" s="282"/>
      <c r="V17" s="282"/>
      <c r="W17" s="282"/>
      <c r="X17" s="282"/>
    </row>
    <row r="18" spans="1:24" x14ac:dyDescent="0.2">
      <c r="A18" s="289">
        <v>7</v>
      </c>
      <c r="B18" s="288"/>
      <c r="C18" s="288"/>
      <c r="D18" s="286" t="s">
        <v>250</v>
      </c>
      <c r="E18" s="287" t="s">
        <v>249</v>
      </c>
      <c r="F18" s="286"/>
      <c r="G18" s="285"/>
      <c r="H18" s="284"/>
      <c r="I18" s="284"/>
      <c r="J18" s="284"/>
      <c r="K18" s="284"/>
      <c r="L18" s="284"/>
      <c r="M18" s="284"/>
      <c r="N18" s="284"/>
      <c r="O18" s="284"/>
      <c r="P18" s="284"/>
      <c r="Q18" s="284"/>
      <c r="R18" s="284"/>
      <c r="S18" s="283">
        <v>11825</v>
      </c>
      <c r="T18" s="282"/>
      <c r="U18" s="282"/>
      <c r="V18" s="282"/>
      <c r="W18" s="282"/>
      <c r="X18" s="282"/>
    </row>
    <row r="19" spans="1:24" s="277" customFormat="1" ht="15" x14ac:dyDescent="0.25">
      <c r="A19" s="281"/>
      <c r="B19" s="280"/>
      <c r="C19" s="280"/>
      <c r="D19" s="279" t="s">
        <v>15</v>
      </c>
      <c r="E19" s="279"/>
      <c r="F19" s="279"/>
      <c r="G19" s="278">
        <v>10870.173671393281</v>
      </c>
      <c r="H19" s="278">
        <v>11176.957609305602</v>
      </c>
      <c r="I19" s="278">
        <v>10874.5135042656</v>
      </c>
      <c r="J19" s="278">
        <v>11176.957609305602</v>
      </c>
      <c r="K19" s="278">
        <v>11176.957609305602</v>
      </c>
      <c r="L19" s="278">
        <v>11751.636324961923</v>
      </c>
      <c r="M19" s="278">
        <v>11758.253314104037</v>
      </c>
      <c r="N19" s="278">
        <v>11532.532373310723</v>
      </c>
      <c r="O19" s="278">
        <v>11710.630369310436</v>
      </c>
      <c r="P19" s="278">
        <v>11934.725364448821</v>
      </c>
      <c r="Q19" s="278">
        <v>10619.729065023826</v>
      </c>
      <c r="R19" s="278">
        <v>12283.294595857462</v>
      </c>
      <c r="S19" s="278">
        <v>156008.21518492087</v>
      </c>
      <c r="T19" s="278"/>
      <c r="U19" s="278">
        <v>0</v>
      </c>
      <c r="V19" s="278">
        <v>0</v>
      </c>
      <c r="W19" s="278">
        <v>0</v>
      </c>
      <c r="X19" s="278">
        <v>0</v>
      </c>
    </row>
    <row r="20" spans="1:24" x14ac:dyDescent="0.25">
      <c r="A20" s="264">
        <v>8</v>
      </c>
      <c r="B20" s="276"/>
      <c r="C20" s="276"/>
      <c r="D20" s="276" t="s">
        <v>248</v>
      </c>
      <c r="E20" s="276"/>
      <c r="F20" s="276"/>
      <c r="G20" s="276"/>
      <c r="H20" s="276"/>
      <c r="I20" s="276"/>
      <c r="J20" s="276"/>
      <c r="K20" s="276"/>
      <c r="L20" s="276"/>
      <c r="M20" s="276"/>
      <c r="N20" s="276"/>
      <c r="O20" s="276"/>
      <c r="P20" s="276"/>
      <c r="Q20" s="276"/>
      <c r="R20" s="276"/>
      <c r="S20" s="276"/>
      <c r="T20" s="275"/>
      <c r="U20" s="275"/>
      <c r="V20" s="275"/>
      <c r="W20" s="275"/>
      <c r="X20" s="275"/>
    </row>
    <row r="21" spans="1:24" ht="15" thickBot="1" x14ac:dyDescent="0.3">
      <c r="A21" s="274"/>
      <c r="B21" s="269"/>
      <c r="C21" s="269"/>
      <c r="D21" s="269"/>
      <c r="E21" s="269"/>
      <c r="F21" s="269"/>
      <c r="G21" s="269"/>
      <c r="H21" s="269"/>
      <c r="I21" s="269"/>
      <c r="J21" s="269"/>
      <c r="K21" s="269"/>
      <c r="L21" s="269"/>
      <c r="M21" s="269"/>
      <c r="N21" s="269"/>
      <c r="O21" s="269"/>
      <c r="P21" s="269"/>
      <c r="Q21" s="269"/>
      <c r="R21" s="269"/>
      <c r="S21" s="269"/>
    </row>
    <row r="22" spans="1:24" x14ac:dyDescent="0.25">
      <c r="A22" s="273"/>
      <c r="B22" s="272" t="s">
        <v>247</v>
      </c>
      <c r="C22" s="271"/>
      <c r="D22" s="271"/>
      <c r="E22" s="271"/>
      <c r="F22" s="271"/>
      <c r="G22" s="271"/>
      <c r="H22" s="271"/>
      <c r="I22" s="271"/>
      <c r="J22" s="271"/>
      <c r="K22" s="271"/>
      <c r="L22" s="271"/>
      <c r="M22" s="271"/>
      <c r="N22" s="271"/>
      <c r="O22" s="271"/>
      <c r="P22" s="271"/>
      <c r="Q22" s="271"/>
      <c r="R22" s="271"/>
      <c r="S22" s="270"/>
    </row>
    <row r="23" spans="1:24" ht="25.5" customHeight="1" x14ac:dyDescent="0.25">
      <c r="A23" s="264">
        <v>1</v>
      </c>
      <c r="B23" s="900" t="s">
        <v>246</v>
      </c>
      <c r="C23" s="900"/>
      <c r="D23" s="900"/>
      <c r="E23" s="900"/>
      <c r="F23" s="900"/>
      <c r="G23" s="900"/>
      <c r="H23" s="900"/>
      <c r="I23" s="900"/>
      <c r="J23" s="900"/>
      <c r="K23" s="900"/>
      <c r="L23" s="900"/>
      <c r="M23" s="269"/>
      <c r="N23" s="269"/>
      <c r="O23" s="269"/>
      <c r="P23" s="269"/>
      <c r="Q23" s="269"/>
      <c r="R23" s="269"/>
      <c r="S23" s="268"/>
    </row>
    <row r="24" spans="1:24" ht="25.5" customHeight="1" thickBot="1" x14ac:dyDescent="0.3">
      <c r="A24" s="264">
        <v>2</v>
      </c>
      <c r="B24" s="901" t="s">
        <v>245</v>
      </c>
      <c r="C24" s="901"/>
      <c r="D24" s="901"/>
      <c r="E24" s="901"/>
      <c r="F24" s="901"/>
      <c r="G24" s="901"/>
      <c r="H24" s="901"/>
      <c r="I24" s="901"/>
      <c r="J24" s="901"/>
      <c r="K24" s="901"/>
      <c r="L24" s="901"/>
      <c r="M24" s="267"/>
      <c r="N24" s="267"/>
      <c r="O24" s="267"/>
      <c r="P24" s="267"/>
      <c r="Q24" s="267"/>
      <c r="R24" s="267"/>
      <c r="S24" s="266"/>
    </row>
    <row r="25" spans="1:24" ht="35.25" customHeight="1" x14ac:dyDescent="0.25">
      <c r="A25" s="264">
        <v>3</v>
      </c>
      <c r="B25" s="902" t="s">
        <v>244</v>
      </c>
      <c r="C25" s="902"/>
      <c r="D25" s="902"/>
      <c r="E25" s="902"/>
      <c r="F25" s="902"/>
      <c r="G25" s="902"/>
      <c r="H25" s="902"/>
      <c r="I25" s="902"/>
      <c r="J25" s="902"/>
      <c r="K25" s="902"/>
      <c r="L25" s="902"/>
    </row>
    <row r="26" spans="1:24" x14ac:dyDescent="0.25">
      <c r="A26" s="264">
        <v>4</v>
      </c>
      <c r="B26" s="903" t="s">
        <v>243</v>
      </c>
      <c r="C26" s="903"/>
      <c r="D26" s="903"/>
      <c r="E26" s="903"/>
      <c r="F26" s="903"/>
      <c r="G26" s="903"/>
      <c r="H26" s="903"/>
      <c r="I26" s="903"/>
      <c r="J26" s="903"/>
      <c r="K26" s="903"/>
      <c r="L26" s="903"/>
      <c r="R26" s="265"/>
    </row>
    <row r="27" spans="1:24" x14ac:dyDescent="0.25">
      <c r="A27" s="264">
        <v>5</v>
      </c>
      <c r="B27" s="903" t="s">
        <v>242</v>
      </c>
      <c r="C27" s="903"/>
      <c r="D27" s="903"/>
      <c r="E27" s="903"/>
      <c r="F27" s="903"/>
      <c r="G27" s="903"/>
      <c r="H27" s="903"/>
      <c r="I27" s="903"/>
      <c r="J27" s="903"/>
      <c r="K27" s="903"/>
      <c r="L27" s="903"/>
    </row>
    <row r="28" spans="1:24" x14ac:dyDescent="0.25">
      <c r="A28" s="264">
        <v>6</v>
      </c>
      <c r="B28" s="904" t="s">
        <v>241</v>
      </c>
      <c r="C28" s="905"/>
      <c r="D28" s="905"/>
      <c r="E28" s="905"/>
      <c r="F28" s="905"/>
      <c r="G28" s="905"/>
      <c r="H28" s="905"/>
      <c r="I28" s="905"/>
      <c r="J28" s="905"/>
      <c r="K28" s="905"/>
      <c r="L28" s="906"/>
    </row>
    <row r="29" spans="1:24" x14ac:dyDescent="0.25">
      <c r="A29" s="263">
        <v>7</v>
      </c>
      <c r="B29" s="894" t="s">
        <v>240</v>
      </c>
      <c r="C29" s="895"/>
      <c r="D29" s="895"/>
      <c r="E29" s="895"/>
      <c r="F29" s="895"/>
      <c r="G29" s="895"/>
      <c r="H29" s="895"/>
      <c r="I29" s="895"/>
      <c r="J29" s="895"/>
      <c r="K29" s="895"/>
      <c r="L29" s="896"/>
    </row>
    <row r="30" spans="1:24" x14ac:dyDescent="0.25">
      <c r="A30" s="263">
        <v>8</v>
      </c>
      <c r="B30" s="897" t="s">
        <v>239</v>
      </c>
      <c r="C30" s="898"/>
      <c r="D30" s="898"/>
      <c r="E30" s="898"/>
      <c r="F30" s="898"/>
      <c r="G30" s="898"/>
      <c r="H30" s="898"/>
      <c r="I30" s="898"/>
      <c r="J30" s="898"/>
      <c r="K30" s="898"/>
      <c r="L30" s="899"/>
    </row>
  </sheetData>
  <mergeCells count="8">
    <mergeCell ref="B29:L29"/>
    <mergeCell ref="B30:L30"/>
    <mergeCell ref="B23:L23"/>
    <mergeCell ref="B24:L24"/>
    <mergeCell ref="B25:L25"/>
    <mergeCell ref="B26:L26"/>
    <mergeCell ref="B27:L27"/>
    <mergeCell ref="B28:L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O47"/>
  <sheetViews>
    <sheetView showGridLines="0" topLeftCell="B1" workbookViewId="0">
      <selection activeCell="L12" sqref="L12"/>
    </sheetView>
  </sheetViews>
  <sheetFormatPr defaultRowHeight="15" x14ac:dyDescent="0.25"/>
  <cols>
    <col min="1" max="1" width="25" bestFit="1" customWidth="1"/>
    <col min="2" max="2" width="20.7109375" bestFit="1" customWidth="1"/>
    <col min="3" max="3" width="15" customWidth="1"/>
    <col min="4" max="4" width="11.5703125" customWidth="1"/>
    <col min="5" max="5" width="11.85546875" customWidth="1"/>
    <col min="6" max="14" width="13.7109375" bestFit="1" customWidth="1"/>
  </cols>
  <sheetData>
    <row r="2" spans="2:12" x14ac:dyDescent="0.25">
      <c r="B2" s="2" t="s">
        <v>296</v>
      </c>
      <c r="C2" s="322">
        <v>64.06</v>
      </c>
    </row>
    <row r="3" spans="2:12" x14ac:dyDescent="0.25">
      <c r="B3" s="160" t="s">
        <v>295</v>
      </c>
      <c r="C3" s="160" t="s">
        <v>289</v>
      </c>
    </row>
    <row r="4" spans="2:12" x14ac:dyDescent="0.25">
      <c r="B4" s="321" t="str">
        <f>'DFCU-AU Production'!A4</f>
        <v>C2</v>
      </c>
      <c r="C4" s="320">
        <f>580*$C$2</f>
        <v>37154.800000000003</v>
      </c>
      <c r="K4">
        <v>120</v>
      </c>
      <c r="L4" t="s">
        <v>294</v>
      </c>
    </row>
    <row r="5" spans="2:12" x14ac:dyDescent="0.25">
      <c r="B5" s="321" t="str">
        <f>'DFCU-AU Production'!A5</f>
        <v>C3</v>
      </c>
      <c r="C5" s="320">
        <f>496*C2</f>
        <v>31773.760000000002</v>
      </c>
      <c r="J5">
        <v>543</v>
      </c>
      <c r="K5">
        <v>150</v>
      </c>
      <c r="L5" t="s">
        <v>293</v>
      </c>
    </row>
    <row r="6" spans="2:12" x14ac:dyDescent="0.25">
      <c r="B6" s="321" t="str">
        <f>'DFCU-AU Production'!A6</f>
        <v>C4</v>
      </c>
      <c r="C6" s="320">
        <f>491*C2</f>
        <v>31453.460000000003</v>
      </c>
      <c r="K6">
        <v>163.69999999999999</v>
      </c>
      <c r="L6" t="s">
        <v>292</v>
      </c>
    </row>
    <row r="7" spans="2:12" x14ac:dyDescent="0.25">
      <c r="B7" s="321" t="str">
        <f>'DFCU-AU Production'!A7</f>
        <v>Naphtha</v>
      </c>
      <c r="C7" s="320">
        <f>582*C2</f>
        <v>37282.92</v>
      </c>
      <c r="K7">
        <v>32.299999999999997</v>
      </c>
      <c r="L7" t="s">
        <v>291</v>
      </c>
    </row>
    <row r="8" spans="2:12" x14ac:dyDescent="0.25">
      <c r="B8" s="321" t="str">
        <f>'DFCU-AU Production'!A8</f>
        <v>LPG</v>
      </c>
      <c r="C8" s="320">
        <v>38683</v>
      </c>
      <c r="K8">
        <v>77</v>
      </c>
      <c r="L8" t="s">
        <v>290</v>
      </c>
    </row>
    <row r="9" spans="2:12" x14ac:dyDescent="0.25">
      <c r="B9" s="319" t="str">
        <f>'DFCU-AU Production'!A57</f>
        <v xml:space="preserve">By Products: </v>
      </c>
      <c r="C9" s="319" t="s">
        <v>289</v>
      </c>
    </row>
    <row r="10" spans="2:12" x14ac:dyDescent="0.25">
      <c r="B10" s="318" t="str">
        <f>'DFCU-AU Production'!A58</f>
        <v>Particulars</v>
      </c>
      <c r="C10" s="316"/>
      <c r="K10">
        <f>SUM(K4:K8)</f>
        <v>543</v>
      </c>
    </row>
    <row r="11" spans="2:12" x14ac:dyDescent="0.25">
      <c r="B11" s="318" t="str">
        <f>'DFCU-AU Production'!A59</f>
        <v>Benzene</v>
      </c>
      <c r="C11" s="316">
        <v>55909</v>
      </c>
    </row>
    <row r="12" spans="2:12" x14ac:dyDescent="0.25">
      <c r="B12" s="318" t="str">
        <f>'DFCU-AU Production'!A60</f>
        <v>Butadiene</v>
      </c>
      <c r="C12" s="316">
        <v>91678</v>
      </c>
    </row>
    <row r="13" spans="2:12" x14ac:dyDescent="0.25">
      <c r="B13" s="318" t="str">
        <f>'DFCU-AU Production'!A61</f>
        <v>Pyrolysis Gasoline</v>
      </c>
      <c r="C13" s="316">
        <v>40745</v>
      </c>
    </row>
    <row r="14" spans="2:12" x14ac:dyDescent="0.25">
      <c r="B14" s="318" t="str">
        <f>'DFCU-AU Production'!A62</f>
        <v>CBFS</v>
      </c>
      <c r="C14" s="316">
        <v>22281</v>
      </c>
    </row>
    <row r="15" spans="2:12" x14ac:dyDescent="0.25">
      <c r="B15" s="318" t="str">
        <f>'DFCU-AU Production'!A63</f>
        <v>C9+ Fraction</v>
      </c>
      <c r="C15" s="316">
        <v>35869</v>
      </c>
    </row>
    <row r="16" spans="2:12" x14ac:dyDescent="0.25">
      <c r="B16" s="318" t="s">
        <v>288</v>
      </c>
      <c r="C16" s="316">
        <f>82000*0.96</f>
        <v>78720</v>
      </c>
      <c r="D16" s="315" t="s">
        <v>286</v>
      </c>
    </row>
    <row r="17" spans="1:15" x14ac:dyDescent="0.25">
      <c r="B17" s="317" t="s">
        <v>287</v>
      </c>
      <c r="C17" s="316">
        <f>90000.96</f>
        <v>90000.960000000006</v>
      </c>
      <c r="D17" s="315" t="s">
        <v>286</v>
      </c>
    </row>
    <row r="18" spans="1:15" s="202" customFormat="1" ht="12.75" x14ac:dyDescent="0.25">
      <c r="A18" s="249" t="s">
        <v>285</v>
      </c>
      <c r="O18" s="203"/>
    </row>
    <row r="19" spans="1:15" s="202" customFormat="1" ht="39" customHeight="1" x14ac:dyDescent="0.2">
      <c r="A19" s="212" t="s">
        <v>229</v>
      </c>
      <c r="B19" s="212" t="s">
        <v>193</v>
      </c>
      <c r="C19" s="248" t="s">
        <v>261</v>
      </c>
      <c r="D19" s="314" t="s">
        <v>227</v>
      </c>
      <c r="E19" s="248" t="s">
        <v>190</v>
      </c>
      <c r="F19" s="211" t="s">
        <v>189</v>
      </c>
      <c r="G19" s="211" t="s">
        <v>188</v>
      </c>
      <c r="H19" s="211" t="s">
        <v>187</v>
      </c>
      <c r="I19" s="211" t="s">
        <v>186</v>
      </c>
      <c r="J19" s="211" t="s">
        <v>185</v>
      </c>
      <c r="K19" s="211" t="s">
        <v>184</v>
      </c>
      <c r="L19" s="211" t="s">
        <v>183</v>
      </c>
      <c r="M19" s="211" t="s">
        <v>182</v>
      </c>
      <c r="N19" s="211" t="s">
        <v>181</v>
      </c>
      <c r="O19" s="210"/>
    </row>
    <row r="20" spans="1:15" s="202" customFormat="1" ht="12.75" x14ac:dyDescent="0.25">
      <c r="A20" s="247" t="s">
        <v>224</v>
      </c>
      <c r="B20" s="246" t="s">
        <v>13</v>
      </c>
      <c r="C20" s="205">
        <f>'DFCU-AU Production'!C13</f>
        <v>41868.54</v>
      </c>
      <c r="D20" s="205">
        <f>'DFCU-AU Production'!D13</f>
        <v>43204.770000000011</v>
      </c>
      <c r="E20" s="205">
        <f>'DFCU-AU Production'!F13</f>
        <v>41868.54</v>
      </c>
      <c r="F20" s="205">
        <f>'DFCU-AU Production'!G13</f>
        <v>46599.770000000004</v>
      </c>
      <c r="G20" s="205">
        <f>'DFCU-AU Production'!H13</f>
        <v>46599.770000000004</v>
      </c>
      <c r="H20" s="205">
        <f>'DFCU-AU Production'!I13</f>
        <v>45158.539999999994</v>
      </c>
      <c r="I20" s="205">
        <f>'DFCU-AU Production'!J13</f>
        <v>47957.77</v>
      </c>
      <c r="J20" s="205">
        <f>'DFCU-AU Production'!K13</f>
        <v>46474.539999999994</v>
      </c>
      <c r="K20" s="205">
        <f>'DFCU-AU Production'!L13</f>
        <v>47957.77</v>
      </c>
      <c r="L20" s="205">
        <f>'DFCU-AU Production'!M13</f>
        <v>43204.770000000004</v>
      </c>
      <c r="M20" s="205">
        <f>'DFCU-AU Production'!N13</f>
        <v>39132.450000000004</v>
      </c>
      <c r="N20" s="205">
        <f>'DFCU-AU Production'!O13</f>
        <v>43204.770000000004</v>
      </c>
      <c r="O20" s="205"/>
    </row>
    <row r="21" spans="1:15" s="202" customFormat="1" ht="12.75" x14ac:dyDescent="0.25">
      <c r="A21" s="247" t="s">
        <v>223</v>
      </c>
      <c r="B21" s="246" t="s">
        <v>13</v>
      </c>
      <c r="C21" s="205">
        <f>'DFCU-AU Production'!C14</f>
        <v>17766</v>
      </c>
      <c r="D21" s="205">
        <f>'DFCU-AU Production'!D14</f>
        <v>18333.000000000004</v>
      </c>
      <c r="E21" s="205">
        <f>'DFCU-AU Production'!F14</f>
        <v>17766</v>
      </c>
      <c r="F21" s="205">
        <f>'DFCU-AU Production'!G14</f>
        <v>18333.000000000004</v>
      </c>
      <c r="G21" s="205">
        <f>'DFCU-AU Production'!H14</f>
        <v>18333.000000000004</v>
      </c>
      <c r="H21" s="205">
        <f>'DFCU-AU Production'!I14</f>
        <v>17766</v>
      </c>
      <c r="I21" s="205">
        <f>'DFCU-AU Production'!J14</f>
        <v>18333</v>
      </c>
      <c r="J21" s="205">
        <f>'DFCU-AU Production'!K14</f>
        <v>17766</v>
      </c>
      <c r="K21" s="205">
        <f>'DFCU-AU Production'!L14</f>
        <v>18333</v>
      </c>
      <c r="L21" s="205">
        <f>'DFCU-AU Production'!M14</f>
        <v>18333</v>
      </c>
      <c r="M21" s="205">
        <f>'DFCU-AU Production'!N14</f>
        <v>16605</v>
      </c>
      <c r="N21" s="205">
        <f>'DFCU-AU Production'!O14</f>
        <v>18333</v>
      </c>
      <c r="O21" s="205"/>
    </row>
    <row r="22" spans="1:15" s="202" customFormat="1" ht="12.75" x14ac:dyDescent="0.25">
      <c r="A22" s="247" t="s">
        <v>222</v>
      </c>
      <c r="B22" s="246" t="s">
        <v>13</v>
      </c>
      <c r="C22" s="205">
        <f>'DFCU-AU Production'!C15</f>
        <v>10528</v>
      </c>
      <c r="D22" s="205">
        <f>'DFCU-AU Production'!D15</f>
        <v>10864.000000000002</v>
      </c>
      <c r="E22" s="205">
        <f>'DFCU-AU Production'!F15</f>
        <v>10528</v>
      </c>
      <c r="F22" s="205">
        <f>'DFCU-AU Production'!G15</f>
        <v>10864.000000000002</v>
      </c>
      <c r="G22" s="205">
        <f>'DFCU-AU Production'!H15</f>
        <v>10864.000000000002</v>
      </c>
      <c r="H22" s="205">
        <f>'DFCU-AU Production'!I15</f>
        <v>10528</v>
      </c>
      <c r="I22" s="205">
        <f>'DFCU-AU Production'!J15</f>
        <v>10864</v>
      </c>
      <c r="J22" s="205">
        <f>'DFCU-AU Production'!K15</f>
        <v>10528</v>
      </c>
      <c r="K22" s="205">
        <f>'DFCU-AU Production'!L15</f>
        <v>10864</v>
      </c>
      <c r="L22" s="205">
        <f>'DFCU-AU Production'!M15</f>
        <v>10864</v>
      </c>
      <c r="M22" s="205">
        <f>'DFCU-AU Production'!N15</f>
        <v>9840</v>
      </c>
      <c r="N22" s="205">
        <f>'DFCU-AU Production'!O15</f>
        <v>10864</v>
      </c>
      <c r="O22" s="205"/>
    </row>
    <row r="23" spans="1:15" s="202" customFormat="1" ht="12.75" x14ac:dyDescent="0.25">
      <c r="A23" s="247" t="s">
        <v>221</v>
      </c>
      <c r="B23" s="246" t="s">
        <v>13</v>
      </c>
      <c r="C23" s="205">
        <f>'DFCU-AU Production'!C16</f>
        <v>59220</v>
      </c>
      <c r="D23" s="205">
        <f>'DFCU-AU Production'!D16</f>
        <v>61110.000000000007</v>
      </c>
      <c r="E23" s="205">
        <f>'DFCU-AU Production'!F16</f>
        <v>59220</v>
      </c>
      <c r="F23" s="205">
        <f>'DFCU-AU Production'!G16</f>
        <v>65184.000000000015</v>
      </c>
      <c r="G23" s="205">
        <f>'DFCU-AU Production'!H16</f>
        <v>65184.000000000015</v>
      </c>
      <c r="H23" s="205">
        <f>'DFCU-AU Production'!I16</f>
        <v>63168</v>
      </c>
      <c r="I23" s="205">
        <f>'DFCU-AU Production'!J16</f>
        <v>74690</v>
      </c>
      <c r="J23" s="205">
        <f>'DFCU-AU Production'!K16</f>
        <v>72380</v>
      </c>
      <c r="K23" s="205">
        <f>'DFCU-AU Production'!L16</f>
        <v>74690</v>
      </c>
      <c r="L23" s="205">
        <f>'DFCU-AU Production'!M16</f>
        <v>121541</v>
      </c>
      <c r="M23" s="205">
        <f>'DFCU-AU Production'!N16</f>
        <v>110085</v>
      </c>
      <c r="N23" s="205">
        <f>'DFCU-AU Production'!O16</f>
        <v>121541</v>
      </c>
      <c r="O23" s="205"/>
    </row>
    <row r="24" spans="1:15" s="202" customFormat="1" ht="12.75" x14ac:dyDescent="0.25">
      <c r="A24" s="247" t="s">
        <v>220</v>
      </c>
      <c r="B24" s="246" t="s">
        <v>13</v>
      </c>
      <c r="C24" s="205">
        <f>'DFCU-AU Production'!C17</f>
        <v>0</v>
      </c>
      <c r="D24" s="205">
        <f>'DFCU-AU Production'!D17</f>
        <v>0</v>
      </c>
      <c r="E24" s="205">
        <f>'DFCU-AU Production'!F17</f>
        <v>0</v>
      </c>
      <c r="F24" s="205">
        <f>'DFCU-AU Production'!G17</f>
        <v>0</v>
      </c>
      <c r="G24" s="205">
        <f>'DFCU-AU Production'!H17</f>
        <v>0</v>
      </c>
      <c r="H24" s="205">
        <f>'DFCU-AU Production'!I17</f>
        <v>0</v>
      </c>
      <c r="I24" s="205">
        <f>'DFCU-AU Production'!J17</f>
        <v>0</v>
      </c>
      <c r="J24" s="205">
        <f>'DFCU-AU Production'!K17</f>
        <v>0</v>
      </c>
      <c r="K24" s="205">
        <f>'DFCU-AU Production'!L17</f>
        <v>0</v>
      </c>
      <c r="L24" s="205">
        <f>'DFCU-AU Production'!M17</f>
        <v>10185</v>
      </c>
      <c r="M24" s="205">
        <f>'DFCU-AU Production'!N17</f>
        <v>9225</v>
      </c>
      <c r="N24" s="205">
        <f>'DFCU-AU Production'!O17</f>
        <v>10185</v>
      </c>
      <c r="O24" s="205"/>
    </row>
    <row r="25" spans="1:15" s="202" customFormat="1" ht="15" customHeight="1" x14ac:dyDescent="0.25">
      <c r="A25" s="313" t="s">
        <v>284</v>
      </c>
      <c r="B25" s="244" t="s">
        <v>249</v>
      </c>
      <c r="C25" s="243">
        <f t="shared" ref="C25:N25" si="0">($C$4*C20+$C$5*C21+$C$6*C22+$C$7*C23+$C$8*C24)/100000</f>
        <v>46591.463994320002</v>
      </c>
      <c r="D25" s="243">
        <f t="shared" si="0"/>
        <v>48078.425611160012</v>
      </c>
      <c r="E25" s="243">
        <f t="shared" si="0"/>
        <v>46591.463994320002</v>
      </c>
      <c r="F25" s="243">
        <f t="shared" si="0"/>
        <v>50858.737231960011</v>
      </c>
      <c r="G25" s="243">
        <f t="shared" si="0"/>
        <v>50858.737231960011</v>
      </c>
      <c r="H25" s="243">
        <f t="shared" si="0"/>
        <v>49285.786595919999</v>
      </c>
      <c r="I25" s="243">
        <f t="shared" si="0"/>
        <v>54907.41379115999</v>
      </c>
      <c r="J25" s="243">
        <f t="shared" si="0"/>
        <v>53209.246354319992</v>
      </c>
      <c r="K25" s="243">
        <f t="shared" si="0"/>
        <v>54907.41379115999</v>
      </c>
      <c r="L25" s="243">
        <f t="shared" si="0"/>
        <v>74548.730546359991</v>
      </c>
      <c r="M25" s="243">
        <f t="shared" si="0"/>
        <v>67522.046076600003</v>
      </c>
      <c r="N25" s="243">
        <f t="shared" si="0"/>
        <v>74548.730546359991</v>
      </c>
      <c r="O25" s="205">
        <f>SUM(C25:N25)</f>
        <v>671908.19576559996</v>
      </c>
    </row>
    <row r="26" spans="1:15" s="202" customFormat="1" ht="15" customHeight="1" x14ac:dyDescent="0.25">
      <c r="A26" s="253"/>
      <c r="B26" s="312"/>
      <c r="C26" s="242"/>
      <c r="D26" s="242"/>
      <c r="E26" s="242"/>
      <c r="F26" s="242"/>
      <c r="G26" s="242"/>
      <c r="H26" s="242"/>
      <c r="I26" s="242"/>
      <c r="J26" s="242"/>
      <c r="K26" s="242"/>
      <c r="L26" s="242"/>
      <c r="M26" s="242"/>
      <c r="N26" s="242"/>
      <c r="O26" s="204"/>
    </row>
    <row r="27" spans="1:15" s="202" customFormat="1" ht="15" customHeight="1" thickBot="1" x14ac:dyDescent="0.3">
      <c r="A27" s="253"/>
      <c r="B27" s="312"/>
      <c r="C27" s="242"/>
      <c r="D27" s="242"/>
      <c r="E27" s="242"/>
      <c r="F27" s="242"/>
      <c r="G27" s="242"/>
      <c r="H27" s="242"/>
      <c r="I27" s="242"/>
      <c r="J27" s="242"/>
      <c r="K27" s="242"/>
      <c r="L27" s="242"/>
      <c r="M27" s="242"/>
      <c r="N27" s="242"/>
      <c r="O27" s="204"/>
    </row>
    <row r="28" spans="1:15" x14ac:dyDescent="0.25">
      <c r="B28" s="907" t="s">
        <v>202</v>
      </c>
      <c r="C28" s="908"/>
      <c r="D28" s="908"/>
      <c r="E28" s="908"/>
      <c r="F28" s="908"/>
      <c r="G28" s="908"/>
      <c r="H28" s="908"/>
      <c r="I28" s="908"/>
      <c r="J28" s="908"/>
      <c r="K28" s="908"/>
      <c r="L28" s="908"/>
      <c r="M28" s="908"/>
      <c r="N28" s="909"/>
    </row>
    <row r="29" spans="1:15" x14ac:dyDescent="0.25">
      <c r="A29" s="910" t="s">
        <v>171</v>
      </c>
      <c r="B29" s="910"/>
      <c r="C29" s="220">
        <v>43191</v>
      </c>
      <c r="D29" s="220">
        <v>43221</v>
      </c>
      <c r="E29" s="220">
        <v>43252</v>
      </c>
      <c r="F29" s="220">
        <v>43282</v>
      </c>
      <c r="G29" s="220">
        <v>43313</v>
      </c>
      <c r="H29" s="220">
        <v>43344</v>
      </c>
      <c r="I29" s="220">
        <v>43374</v>
      </c>
      <c r="J29" s="220">
        <v>43405</v>
      </c>
      <c r="K29" s="220">
        <v>43435</v>
      </c>
      <c r="L29" s="220">
        <v>43466</v>
      </c>
      <c r="M29" s="220">
        <v>43497</v>
      </c>
      <c r="N29" s="220">
        <v>43525</v>
      </c>
      <c r="O29" s="220" t="s">
        <v>201</v>
      </c>
    </row>
    <row r="30" spans="1:15" x14ac:dyDescent="0.25">
      <c r="A30" s="911" t="s">
        <v>200</v>
      </c>
      <c r="B30" s="911"/>
      <c r="C30" s="215">
        <f>'DFCU-AU Production'!C50</f>
        <v>11.5</v>
      </c>
      <c r="D30" s="215">
        <f>'DFCU-AU Production'!D50</f>
        <v>11.5</v>
      </c>
      <c r="E30" s="215">
        <f>'DFCU-AU Production'!E50</f>
        <v>11.5</v>
      </c>
      <c r="F30" s="215">
        <f>'DFCU-AU Production'!F50</f>
        <v>11.5</v>
      </c>
      <c r="G30" s="215">
        <f>'DFCU-AU Production'!G50</f>
        <v>11</v>
      </c>
      <c r="H30" s="215">
        <f>'DFCU-AU Production'!H50</f>
        <v>11</v>
      </c>
      <c r="I30" s="215">
        <f>'DFCU-AU Production'!I50</f>
        <v>10.5</v>
      </c>
      <c r="J30" s="215">
        <f>'DFCU-AU Production'!J50</f>
        <v>10.5</v>
      </c>
      <c r="K30" s="215">
        <f>'DFCU-AU Production'!K50</f>
        <v>10.5</v>
      </c>
      <c r="L30" s="215">
        <f>'DFCU-AU Production'!L50</f>
        <v>10.5</v>
      </c>
      <c r="M30" s="215">
        <f>'DFCU-AU Production'!M50</f>
        <v>11</v>
      </c>
      <c r="N30" s="215">
        <f>'DFCU-AU Production'!N50</f>
        <v>11</v>
      </c>
      <c r="O30" s="205">
        <f>SUM(C30:N30)</f>
        <v>132</v>
      </c>
    </row>
    <row r="31" spans="1:15" x14ac:dyDescent="0.25">
      <c r="A31" s="911" t="s">
        <v>199</v>
      </c>
      <c r="B31" s="911"/>
      <c r="C31" s="311">
        <f>'DFCU-AU Production'!C51</f>
        <v>521.10801000000004</v>
      </c>
      <c r="D31" s="311">
        <f>'DFCU-AU Production'!D51</f>
        <v>538.47827700000005</v>
      </c>
      <c r="E31" s="311">
        <f>'DFCU-AU Production'!E51</f>
        <v>521.10801000000004</v>
      </c>
      <c r="F31" s="311">
        <f>'DFCU-AU Production'!F51</f>
        <v>538.47827700000005</v>
      </c>
      <c r="G31" s="311">
        <f>'DFCU-AU Production'!G51</f>
        <v>515.06617800000004</v>
      </c>
      <c r="H31" s="311">
        <f>'DFCU-AU Production'!H51</f>
        <v>498.45114000000007</v>
      </c>
      <c r="I31" s="311">
        <f>'DFCU-AU Production'!I51</f>
        <v>491.65407900000008</v>
      </c>
      <c r="J31" s="311">
        <f>'DFCU-AU Production'!J51</f>
        <v>475.7942700000001</v>
      </c>
      <c r="K31" s="311">
        <f>'DFCU-AU Production'!K51</f>
        <v>491.65407900000008</v>
      </c>
      <c r="L31" s="311">
        <f>'DFCU-AU Production'!L51</f>
        <v>491.65407900000008</v>
      </c>
      <c r="M31" s="311">
        <f>'DFCU-AU Production'!M51</f>
        <v>465.22106400000007</v>
      </c>
      <c r="N31" s="311">
        <f>'DFCU-AU Production'!N51</f>
        <v>515.06617800000004</v>
      </c>
      <c r="O31" s="205">
        <f>SUM(C31:N31)</f>
        <v>6063.7336410000007</v>
      </c>
    </row>
    <row r="32" spans="1:15" x14ac:dyDescent="0.25">
      <c r="A32" s="911" t="s">
        <v>283</v>
      </c>
      <c r="B32" s="911"/>
      <c r="C32" s="311">
        <f>CPP!G19</f>
        <v>10870.173671393281</v>
      </c>
      <c r="D32" s="311">
        <f>CPP!H19</f>
        <v>11176.957609305602</v>
      </c>
      <c r="E32" s="311">
        <f>CPP!I19</f>
        <v>10874.5135042656</v>
      </c>
      <c r="F32" s="311">
        <f>CPP!J19</f>
        <v>11176.957609305602</v>
      </c>
      <c r="G32" s="311">
        <f>CPP!K19</f>
        <v>11176.957609305602</v>
      </c>
      <c r="H32" s="311">
        <f>CPP!L19</f>
        <v>11751.636324961923</v>
      </c>
      <c r="I32" s="311">
        <f>CPP!M19</f>
        <v>11758.253314104037</v>
      </c>
      <c r="J32" s="311">
        <f>CPP!N19</f>
        <v>11532.532373310723</v>
      </c>
      <c r="K32" s="311">
        <f>CPP!O19</f>
        <v>11710.630369310436</v>
      </c>
      <c r="L32" s="311">
        <f>CPP!P19</f>
        <v>11934.725364448821</v>
      </c>
      <c r="M32" s="311">
        <f>CPP!Q19</f>
        <v>10619.729065023826</v>
      </c>
      <c r="N32" s="311">
        <f>CPP!R19</f>
        <v>12283.294595857462</v>
      </c>
      <c r="O32" s="205">
        <f>SUM(C32:N32)</f>
        <v>136866.36141059292</v>
      </c>
    </row>
    <row r="33" spans="1:15" s="202" customFormat="1" ht="15" customHeight="1" x14ac:dyDescent="0.25">
      <c r="A33" s="912" t="s">
        <v>282</v>
      </c>
      <c r="B33" s="913"/>
      <c r="C33" s="243">
        <f t="shared" ref="C33:N33" si="1">C31+C25+C32</f>
        <v>57982.74567571329</v>
      </c>
      <c r="D33" s="243">
        <f t="shared" si="1"/>
        <v>59793.861497465616</v>
      </c>
      <c r="E33" s="243">
        <f t="shared" si="1"/>
        <v>57987.085508585602</v>
      </c>
      <c r="F33" s="243">
        <f t="shared" si="1"/>
        <v>62574.173118265615</v>
      </c>
      <c r="G33" s="243">
        <f t="shared" si="1"/>
        <v>62550.761019265614</v>
      </c>
      <c r="H33" s="243">
        <f t="shared" si="1"/>
        <v>61535.874060881921</v>
      </c>
      <c r="I33" s="243">
        <f t="shared" si="1"/>
        <v>67157.32118426403</v>
      </c>
      <c r="J33" s="243">
        <f t="shared" si="1"/>
        <v>65217.572997630712</v>
      </c>
      <c r="K33" s="243">
        <f t="shared" si="1"/>
        <v>67109.698239470425</v>
      </c>
      <c r="L33" s="243">
        <f t="shared" si="1"/>
        <v>86975.109989808814</v>
      </c>
      <c r="M33" s="243">
        <f t="shared" si="1"/>
        <v>78606.996205623829</v>
      </c>
      <c r="N33" s="243">
        <f t="shared" si="1"/>
        <v>87347.091320217442</v>
      </c>
      <c r="O33" s="205">
        <f>SUM(C33:N33)</f>
        <v>814838.29081719299</v>
      </c>
    </row>
    <row r="35" spans="1:15" x14ac:dyDescent="0.25">
      <c r="A35" s="247" t="s">
        <v>281</v>
      </c>
    </row>
    <row r="36" spans="1:15" x14ac:dyDescent="0.25">
      <c r="A36" s="6" t="str">
        <f>'DFCU-AU Production'!A31</f>
        <v xml:space="preserve">Ethylene </v>
      </c>
      <c r="B36" s="244" t="s">
        <v>13</v>
      </c>
      <c r="C36" s="310">
        <f>'DFCU-AU Production'!C31</f>
        <v>64988.4228</v>
      </c>
      <c r="D36" s="205">
        <f>'DFCU-AU Production'!D31</f>
        <v>67062.521400000012</v>
      </c>
      <c r="E36" s="205">
        <f>'DFCU-AU Production'!E31</f>
        <v>64988.4228</v>
      </c>
      <c r="F36" s="205">
        <f>'DFCU-AU Production'!F31</f>
        <v>71154.175400000007</v>
      </c>
      <c r="G36" s="205">
        <f>'DFCU-AU Production'!G31</f>
        <v>71154.175400000007</v>
      </c>
      <c r="H36" s="205">
        <f>'DFCU-AU Production'!H31</f>
        <v>68953.530799999993</v>
      </c>
      <c r="I36" s="205">
        <f>'DFCU-AU Production'!I31</f>
        <v>75319.161399999997</v>
      </c>
      <c r="J36" s="205">
        <f>'DFCU-AU Production'!J31</f>
        <v>72989.702799999985</v>
      </c>
      <c r="K36" s="205">
        <f>'DFCU-AU Production'!K31</f>
        <v>75319.161399999997</v>
      </c>
      <c r="L36" s="205">
        <f>'DFCU-AU Production'!L31</f>
        <v>90616.352400000003</v>
      </c>
      <c r="M36" s="205">
        <f>'DFCU-AU Production'!M31</f>
        <v>82075.194000000003</v>
      </c>
      <c r="N36" s="205">
        <f>'DFCU-AU Production'!N31</f>
        <v>90616.352400000003</v>
      </c>
      <c r="O36" s="205">
        <f>'DFCU-AU Production'!O31</f>
        <v>895237.17299999995</v>
      </c>
    </row>
    <row r="37" spans="1:15" x14ac:dyDescent="0.25">
      <c r="A37" s="6" t="str">
        <f>'DFCU-AU Production'!A32</f>
        <v>Propylene</v>
      </c>
      <c r="B37" s="244" t="s">
        <v>13</v>
      </c>
      <c r="C37" s="310">
        <f>'DFCU-AU Production'!C32</f>
        <v>18591.5268</v>
      </c>
      <c r="D37" s="205">
        <f>'DFCU-AU Production'!D32</f>
        <v>19184.873400000004</v>
      </c>
      <c r="E37" s="205">
        <f>'DFCU-AU Production'!E32</f>
        <v>18591.5268</v>
      </c>
      <c r="F37" s="205">
        <f>'DFCU-AU Production'!F32</f>
        <v>20055.351400000003</v>
      </c>
      <c r="G37" s="205">
        <f>'DFCU-AU Production'!G32</f>
        <v>20055.351400000003</v>
      </c>
      <c r="H37" s="205">
        <f>'DFCU-AU Production'!H32</f>
        <v>19435.0828</v>
      </c>
      <c r="I37" s="205">
        <f>'DFCU-AU Production'!I32</f>
        <v>21955.1934</v>
      </c>
      <c r="J37" s="205">
        <f>'DFCU-AU Production'!J32</f>
        <v>21276.166799999999</v>
      </c>
      <c r="K37" s="205">
        <f>'DFCU-AU Production'!K32</f>
        <v>21955.1934</v>
      </c>
      <c r="L37" s="205">
        <f>'DFCU-AU Production'!L32</f>
        <v>33265.296400000007</v>
      </c>
      <c r="M37" s="205">
        <f>'DFCU-AU Production'!M32</f>
        <v>30129.834000000003</v>
      </c>
      <c r="N37" s="205">
        <f>'DFCU-AU Production'!N32</f>
        <v>33265.296400000007</v>
      </c>
      <c r="O37" s="205">
        <f>'DFCU-AU Production'!O32</f>
        <v>277760.69300000003</v>
      </c>
    </row>
    <row r="38" spans="1:15" x14ac:dyDescent="0.25">
      <c r="A38" s="6" t="str">
        <f>'DFCU-AU Production'!A59</f>
        <v>Benzene</v>
      </c>
      <c r="B38" s="244" t="s">
        <v>13</v>
      </c>
      <c r="C38" s="310">
        <f>'DFCU-AU Production'!C59</f>
        <v>5374.908268799999</v>
      </c>
      <c r="D38" s="205">
        <f>'DFCU-AU Production'!D59</f>
        <v>5546.4478943999993</v>
      </c>
      <c r="E38" s="205">
        <f>'DFCU-AU Production'!E59</f>
        <v>5374.908268799999</v>
      </c>
      <c r="F38" s="205">
        <f>'DFCU-AU Production'!F59</f>
        <v>5906.5894943999992</v>
      </c>
      <c r="G38" s="205">
        <f>'DFCU-AU Production'!G59</f>
        <v>5906.5894943999992</v>
      </c>
      <c r="H38" s="205">
        <f>'DFCU-AU Production'!H59</f>
        <v>5723.9114687999991</v>
      </c>
      <c r="I38" s="205">
        <f>'DFCU-AU Production'!I59</f>
        <v>6702.8120543999994</v>
      </c>
      <c r="J38" s="205">
        <f>'DFCU-AU Production'!J59</f>
        <v>6495.5085887999994</v>
      </c>
      <c r="K38" s="205">
        <f>'DFCU-AU Production'!K59</f>
        <v>6702.8120543999994</v>
      </c>
      <c r="L38" s="205">
        <f>'DFCU-AU Production'!L59</f>
        <v>10618.577894399999</v>
      </c>
      <c r="M38" s="205">
        <f>'DFCU-AU Production'!M59</f>
        <v>9617.7104639999998</v>
      </c>
      <c r="N38" s="205">
        <f>'DFCU-AU Production'!N59</f>
        <v>10618.577894399999</v>
      </c>
      <c r="O38" s="205">
        <f>'DFCU-AU Production'!O59</f>
        <v>84589.353839999982</v>
      </c>
    </row>
    <row r="39" spans="1:15" x14ac:dyDescent="0.25">
      <c r="A39" s="6" t="str">
        <f>'DFCU-AU Production'!A60</f>
        <v>Butadiene</v>
      </c>
      <c r="B39" s="244" t="s">
        <v>13</v>
      </c>
      <c r="C39" s="310">
        <f>'DFCU-AU Production'!C60</f>
        <v>5521.8561517000007</v>
      </c>
      <c r="D39" s="205">
        <f>'DFCU-AU Production'!D60</f>
        <v>5698.0856033500004</v>
      </c>
      <c r="E39" s="205">
        <f>'DFCU-AU Production'!E60</f>
        <v>5521.8561517000007</v>
      </c>
      <c r="F39" s="205">
        <f>'DFCU-AU Production'!F60</f>
        <v>5985.7161143499998</v>
      </c>
      <c r="G39" s="205">
        <f>'DFCU-AU Production'!G60</f>
        <v>5985.7161143499998</v>
      </c>
      <c r="H39" s="205">
        <f>'DFCU-AU Production'!H60</f>
        <v>5800.5908737</v>
      </c>
      <c r="I39" s="205">
        <f>'DFCU-AU Production'!I60</f>
        <v>6533.0960383500005</v>
      </c>
      <c r="J39" s="205">
        <f>'DFCU-AU Production'!J60</f>
        <v>6331.0415217</v>
      </c>
      <c r="K39" s="205">
        <f>'DFCU-AU Production'!K60</f>
        <v>6533.0960383500005</v>
      </c>
      <c r="L39" s="205">
        <f>'DFCU-AU Production'!L60</f>
        <v>9548.5221373500008</v>
      </c>
      <c r="M39" s="205">
        <f>'DFCU-AU Production'!M60</f>
        <v>8648.5141597499987</v>
      </c>
      <c r="N39" s="205">
        <f>'DFCU-AU Production'!N60</f>
        <v>9548.5221373500008</v>
      </c>
      <c r="O39" s="205">
        <f>'DFCU-AU Production'!O60</f>
        <v>81656.613041999997</v>
      </c>
    </row>
    <row r="40" spans="1:15" x14ac:dyDescent="0.25">
      <c r="A40" s="6" t="str">
        <f>'DFCU-AU Production'!A61</f>
        <v>Pyrolysis Gasoline</v>
      </c>
      <c r="B40" s="244" t="s">
        <v>13</v>
      </c>
      <c r="C40" s="310">
        <f>'DFCU-AU Production'!C61</f>
        <v>6046.7718023999996</v>
      </c>
      <c r="D40" s="205">
        <f>'DFCU-AU Production'!D61</f>
        <v>6239.7538811999993</v>
      </c>
      <c r="E40" s="205">
        <f>'DFCU-AU Production'!E61</f>
        <v>6046.7718023999996</v>
      </c>
      <c r="F40" s="205">
        <f>'DFCU-AU Production'!F61</f>
        <v>6644.9131811999996</v>
      </c>
      <c r="G40" s="205">
        <f>'DFCU-AU Production'!G61</f>
        <v>6644.9131811999996</v>
      </c>
      <c r="H40" s="205">
        <f>'DFCU-AU Production'!H61</f>
        <v>6439.4004023999996</v>
      </c>
      <c r="I40" s="205">
        <f>'DFCU-AU Production'!I61</f>
        <v>7540.6635612</v>
      </c>
      <c r="J40" s="205">
        <f>'DFCU-AU Production'!J61</f>
        <v>7307.4471624000007</v>
      </c>
      <c r="K40" s="205">
        <f>'DFCU-AU Production'!K61</f>
        <v>7540.6635612</v>
      </c>
      <c r="L40" s="205">
        <f>'DFCU-AU Production'!L61</f>
        <v>11945.900131200002</v>
      </c>
      <c r="M40" s="205">
        <f>'DFCU-AU Production'!M61</f>
        <v>10819.924272</v>
      </c>
      <c r="N40" s="205">
        <f>'DFCU-AU Production'!N61</f>
        <v>11945.900131200002</v>
      </c>
      <c r="O40" s="205">
        <f>'DFCU-AU Production'!O61</f>
        <v>95163.02307000001</v>
      </c>
    </row>
    <row r="41" spans="1:15" x14ac:dyDescent="0.25">
      <c r="A41" s="6" t="str">
        <f>'DFCU-AU Production'!A62</f>
        <v>CBFS</v>
      </c>
      <c r="B41" s="244" t="s">
        <v>13</v>
      </c>
      <c r="C41" s="310">
        <f>'DFCU-AU Production'!C62</f>
        <v>3249.4211400000004</v>
      </c>
      <c r="D41" s="205">
        <f>'DFCU-AU Production'!D62</f>
        <v>3353.1260700000007</v>
      </c>
      <c r="E41" s="205">
        <f>'DFCU-AU Production'!E62</f>
        <v>3249.4211400000004</v>
      </c>
      <c r="F41" s="205">
        <f>'DFCU-AU Production'!F62</f>
        <v>3557.7087700000006</v>
      </c>
      <c r="G41" s="205">
        <f>'DFCU-AU Production'!G62</f>
        <v>3557.7087700000006</v>
      </c>
      <c r="H41" s="205">
        <f>'DFCU-AU Production'!H62</f>
        <v>3447.6765399999999</v>
      </c>
      <c r="I41" s="205">
        <f>'DFCU-AU Production'!I62</f>
        <v>3765.9580700000001</v>
      </c>
      <c r="J41" s="205">
        <f>'DFCU-AU Production'!J62</f>
        <v>3649.4851399999993</v>
      </c>
      <c r="K41" s="205">
        <f>'DFCU-AU Production'!K62</f>
        <v>3765.9580700000001</v>
      </c>
      <c r="L41" s="205">
        <f>'DFCU-AU Production'!L62</f>
        <v>4530.8176200000007</v>
      </c>
      <c r="M41" s="205">
        <f>'DFCU-AU Production'!M62</f>
        <v>4103.7597000000005</v>
      </c>
      <c r="N41" s="205">
        <f>'DFCU-AU Production'!N62</f>
        <v>4530.8176200000007</v>
      </c>
      <c r="O41" s="205">
        <f>'DFCU-AU Production'!O62</f>
        <v>44761.858650000009</v>
      </c>
    </row>
    <row r="42" spans="1:15" x14ac:dyDescent="0.25">
      <c r="A42" s="6" t="str">
        <f>'DFCU-AU Production'!A63</f>
        <v>C9+ Fraction</v>
      </c>
      <c r="B42" s="244" t="s">
        <v>13</v>
      </c>
      <c r="C42" s="310">
        <f>'DFCU-AU Production'!C63</f>
        <v>1814.0315407199998</v>
      </c>
      <c r="D42" s="205">
        <f>'DFCU-AU Production'!D63</f>
        <v>1871.9261643599998</v>
      </c>
      <c r="E42" s="205">
        <f>'DFCU-AU Production'!E63</f>
        <v>1814.0315407199998</v>
      </c>
      <c r="F42" s="205">
        <f>'DFCU-AU Production'!F63</f>
        <v>1993.4739543599999</v>
      </c>
      <c r="G42" s="205">
        <f>'DFCU-AU Production'!G63</f>
        <v>1993.4739543599999</v>
      </c>
      <c r="H42" s="205">
        <f>'DFCU-AU Production'!H63</f>
        <v>1931.8201207199997</v>
      </c>
      <c r="I42" s="205">
        <f>'DFCU-AU Production'!I63</f>
        <v>2262.1990683599997</v>
      </c>
      <c r="J42" s="205">
        <f>'DFCU-AU Production'!J63</f>
        <v>2192.2341487200001</v>
      </c>
      <c r="K42" s="205">
        <f>'DFCU-AU Production'!K63</f>
        <v>2262.1990683599997</v>
      </c>
      <c r="L42" s="205">
        <f>'DFCU-AU Production'!L63</f>
        <v>3583.7700393600003</v>
      </c>
      <c r="M42" s="205">
        <f>'DFCU-AU Production'!M63</f>
        <v>3245.9772816</v>
      </c>
      <c r="N42" s="205">
        <f>'DFCU-AU Production'!N63</f>
        <v>3583.7700393600003</v>
      </c>
      <c r="O42" s="205">
        <f>'DFCU-AU Production'!O63</f>
        <v>28548.906920999998</v>
      </c>
    </row>
    <row r="43" spans="1:15" x14ac:dyDescent="0.25">
      <c r="A43" s="8" t="s">
        <v>280</v>
      </c>
      <c r="B43" s="244" t="s">
        <v>278</v>
      </c>
      <c r="C43" s="309">
        <f t="shared" ref="C43:N43" si="2">(SUMPRODUCT(C38:C42,$C$11:$C$15)+SUMPRODUCT($C$16:$C$17,C36:C37))/100000</f>
        <v>79797.259442008348</v>
      </c>
      <c r="D43" s="309">
        <f t="shared" si="2"/>
        <v>82343.980488029905</v>
      </c>
      <c r="E43" s="309">
        <f t="shared" si="2"/>
        <v>79797.259442008348</v>
      </c>
      <c r="F43" s="309">
        <f t="shared" si="2"/>
        <v>87067.677745404377</v>
      </c>
      <c r="G43" s="309">
        <f t="shared" si="2"/>
        <v>87067.677745404377</v>
      </c>
      <c r="H43" s="309">
        <f t="shared" si="2"/>
        <v>84374.862969773298</v>
      </c>
      <c r="I43" s="309">
        <f t="shared" si="2"/>
        <v>93510.980330887338</v>
      </c>
      <c r="J43" s="309">
        <f t="shared" si="2"/>
        <v>90618.888155705237</v>
      </c>
      <c r="K43" s="309">
        <f t="shared" si="2"/>
        <v>93510.980330887338</v>
      </c>
      <c r="L43" s="309">
        <f t="shared" si="2"/>
        <v>123125.24451397297</v>
      </c>
      <c r="M43" s="309">
        <f t="shared" si="2"/>
        <v>111519.91955242027</v>
      </c>
      <c r="N43" s="309">
        <f t="shared" si="2"/>
        <v>123125.24451397297</v>
      </c>
    </row>
    <row r="45" spans="1:15" x14ac:dyDescent="0.25">
      <c r="A45" s="8" t="s">
        <v>279</v>
      </c>
      <c r="B45" s="244" t="s">
        <v>278</v>
      </c>
      <c r="C45" s="309">
        <f t="shared" ref="C45:N45" si="3">C43-C33</f>
        <v>21814.513766295058</v>
      </c>
      <c r="D45" s="309">
        <f t="shared" si="3"/>
        <v>22550.11899056429</v>
      </c>
      <c r="E45" s="309">
        <f t="shared" si="3"/>
        <v>21810.173933422746</v>
      </c>
      <c r="F45" s="309">
        <f t="shared" si="3"/>
        <v>24493.504627138762</v>
      </c>
      <c r="G45" s="309">
        <f t="shared" si="3"/>
        <v>24516.916726138763</v>
      </c>
      <c r="H45" s="309">
        <f t="shared" si="3"/>
        <v>22838.988908891377</v>
      </c>
      <c r="I45" s="309">
        <f t="shared" si="3"/>
        <v>26353.659146623308</v>
      </c>
      <c r="J45" s="309">
        <f t="shared" si="3"/>
        <v>25401.315158074525</v>
      </c>
      <c r="K45" s="309">
        <f t="shared" si="3"/>
        <v>26401.282091416913</v>
      </c>
      <c r="L45" s="309">
        <f t="shared" si="3"/>
        <v>36150.134524164154</v>
      </c>
      <c r="M45" s="309">
        <f t="shared" si="3"/>
        <v>32912.923346796437</v>
      </c>
      <c r="N45" s="309">
        <f t="shared" si="3"/>
        <v>35778.153193755526</v>
      </c>
      <c r="O45" s="308">
        <f>SUM(C45:N45)/100</f>
        <v>3210.2168441328186</v>
      </c>
    </row>
    <row r="46" spans="1:15" x14ac:dyDescent="0.25">
      <c r="A46" s="8" t="s">
        <v>277</v>
      </c>
      <c r="B46" s="244" t="s">
        <v>276</v>
      </c>
      <c r="C46" s="307">
        <f t="shared" ref="C46:N46" si="4">C45/DAY(DATE(YEAR(C$29),MONTH(C$29)+1,1)-1)/100</f>
        <v>7.2715045887650192</v>
      </c>
      <c r="D46" s="307">
        <f t="shared" si="4"/>
        <v>7.2742319324400935</v>
      </c>
      <c r="E46" s="307">
        <f t="shared" si="4"/>
        <v>7.2700579778075811</v>
      </c>
      <c r="F46" s="307">
        <f t="shared" si="4"/>
        <v>7.901130524883472</v>
      </c>
      <c r="G46" s="307">
        <f t="shared" si="4"/>
        <v>7.9086828148834716</v>
      </c>
      <c r="H46" s="307">
        <f t="shared" si="4"/>
        <v>7.6129963029637917</v>
      </c>
      <c r="I46" s="307">
        <f t="shared" si="4"/>
        <v>8.5011803698784867</v>
      </c>
      <c r="J46" s="307">
        <f t="shared" si="4"/>
        <v>8.4671050526915081</v>
      </c>
      <c r="K46" s="307">
        <f t="shared" si="4"/>
        <v>8.5165426101344881</v>
      </c>
      <c r="L46" s="307">
        <f t="shared" si="4"/>
        <v>11.661333717472308</v>
      </c>
      <c r="M46" s="307">
        <f t="shared" si="4"/>
        <v>11.754615480998728</v>
      </c>
      <c r="N46" s="307">
        <f t="shared" si="4"/>
        <v>11.541339739921138</v>
      </c>
      <c r="O46" s="307">
        <f>O45/365</f>
        <v>8.7951146414597776</v>
      </c>
    </row>
    <row r="47" spans="1:15" x14ac:dyDescent="0.25">
      <c r="C47" s="1"/>
      <c r="D47" s="1"/>
      <c r="E47" s="1"/>
      <c r="F47" s="1"/>
      <c r="G47" s="1"/>
      <c r="H47" s="1"/>
      <c r="I47" s="1"/>
      <c r="J47" s="1"/>
      <c r="K47" s="1"/>
      <c r="L47" s="1"/>
      <c r="M47" s="1"/>
      <c r="N47" s="1"/>
      <c r="O47" s="1"/>
    </row>
  </sheetData>
  <mergeCells count="6">
    <mergeCell ref="B28:N28"/>
    <mergeCell ref="A29:B29"/>
    <mergeCell ref="A30:B30"/>
    <mergeCell ref="A31:B31"/>
    <mergeCell ref="A33:B33"/>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36745-0301-4E77-8852-C68E255C222F}">
  <dimension ref="A1:S39"/>
  <sheetViews>
    <sheetView showGridLines="0" tabSelected="1" topLeftCell="A10" zoomScaleNormal="100" workbookViewId="0">
      <selection activeCell="C8" sqref="C8"/>
    </sheetView>
  </sheetViews>
  <sheetFormatPr defaultRowHeight="12" x14ac:dyDescent="0.2"/>
  <cols>
    <col min="1" max="1" width="22.5703125" style="792" customWidth="1"/>
    <col min="2" max="3" width="18" style="792" customWidth="1"/>
    <col min="4" max="4" width="3.85546875" style="792" customWidth="1"/>
    <col min="5" max="5" width="19.42578125" style="792" customWidth="1"/>
    <col min="6" max="6" width="13.7109375" style="792" customWidth="1"/>
    <col min="7" max="7" width="13.85546875" style="792" customWidth="1"/>
    <col min="8" max="9" width="6.42578125" style="792" customWidth="1"/>
    <col min="10" max="10" width="11.140625" style="792" customWidth="1"/>
    <col min="11" max="11" width="8.7109375" style="857" customWidth="1"/>
    <col min="12" max="12" width="19.85546875" style="792" customWidth="1"/>
    <col min="13" max="13" width="24.28515625" style="792" customWidth="1"/>
    <col min="14" max="14" width="1.85546875" style="792" customWidth="1"/>
    <col min="15" max="15" width="2.85546875" style="792" customWidth="1"/>
    <col min="16" max="16" width="9.140625" style="792" customWidth="1"/>
    <col min="17" max="16384" width="9.140625" style="792"/>
  </cols>
  <sheetData>
    <row r="1" spans="1:19" s="657" customFormat="1" ht="15" customHeight="1" x14ac:dyDescent="0.2">
      <c r="A1" s="921" t="s">
        <v>687</v>
      </c>
      <c r="B1" s="921"/>
      <c r="C1" s="921"/>
      <c r="E1" s="791" t="s">
        <v>688</v>
      </c>
      <c r="F1" s="792"/>
      <c r="G1" s="792"/>
      <c r="H1" s="793"/>
      <c r="I1" s="922" t="s">
        <v>689</v>
      </c>
      <c r="J1" s="923"/>
      <c r="K1" s="924"/>
      <c r="L1" s="794" t="s">
        <v>690</v>
      </c>
      <c r="M1" s="794" t="s">
        <v>691</v>
      </c>
      <c r="N1" s="795"/>
      <c r="O1" s="795"/>
      <c r="P1" s="795"/>
      <c r="Q1" s="795"/>
    </row>
    <row r="2" spans="1:19" s="657" customFormat="1" ht="12" customHeight="1" x14ac:dyDescent="0.25">
      <c r="A2" s="925" t="s">
        <v>692</v>
      </c>
      <c r="B2" s="925"/>
      <c r="C2" s="925"/>
      <c r="E2" s="796" t="s">
        <v>476</v>
      </c>
      <c r="F2" s="797" t="s">
        <v>693</v>
      </c>
      <c r="G2" s="798" t="s">
        <v>694</v>
      </c>
      <c r="H2" s="799"/>
      <c r="I2" s="926">
        <f>IF((J2-[3]FM_BC!H72)&gt;1,1,IF((J2-[3]FM_BC!H72)&lt;-1,-1,0))</f>
        <v>1</v>
      </c>
      <c r="J2" s="928">
        <f>'[3]Financial Model_OPaL'!H72</f>
        <v>44919.880606617444</v>
      </c>
      <c r="K2" s="930"/>
      <c r="L2" s="914">
        <f>'[3]Financial Model_OPaL'!H97</f>
        <v>0.26253437833223836</v>
      </c>
      <c r="M2" s="916">
        <f>F24</f>
        <v>177.14986390531294</v>
      </c>
      <c r="Q2" s="800"/>
    </row>
    <row r="3" spans="1:19" s="657" customFormat="1" ht="12" customHeight="1" x14ac:dyDescent="0.2">
      <c r="A3" s="918" t="s">
        <v>695</v>
      </c>
      <c r="B3" s="918"/>
      <c r="C3" s="918"/>
      <c r="D3" s="801"/>
      <c r="E3" s="802" t="s">
        <v>696</v>
      </c>
      <c r="F3" s="803">
        <f>'[3]Financial Model_OPaL'!H21</f>
        <v>78339.24473848255</v>
      </c>
      <c r="G3" s="804">
        <f>'[3]Financial Model_OPaL'!I21</f>
        <v>1169.2424587833218</v>
      </c>
      <c r="H3" s="799"/>
      <c r="I3" s="927"/>
      <c r="J3" s="929"/>
      <c r="K3" s="931"/>
      <c r="L3" s="915"/>
      <c r="M3" s="917"/>
    </row>
    <row r="4" spans="1:19" s="657" customFormat="1" ht="15" x14ac:dyDescent="0.25">
      <c r="D4" s="805"/>
      <c r="E4" s="802" t="s">
        <v>697</v>
      </c>
      <c r="F4" s="803">
        <f>'[3]Financial Model_OPaL'!H37</f>
        <v>50952.476666849107</v>
      </c>
      <c r="G4" s="804">
        <f>'[3]Financial Model_OPaL'!I37</f>
        <v>760.48472637088196</v>
      </c>
      <c r="H4" s="799"/>
      <c r="I4" s="805"/>
      <c r="J4" s="805"/>
      <c r="K4" s="806"/>
      <c r="Q4" s="800"/>
    </row>
    <row r="5" spans="1:19" s="657" customFormat="1" ht="15" x14ac:dyDescent="0.25">
      <c r="A5" s="807" t="s">
        <v>403</v>
      </c>
      <c r="B5" s="919" t="str">
        <f>IF(Dashboard!$A$5="Current Scenario",'[3]Feedstock Mix (Input)'!C1,IF(Dashboard!$A$5="Scenario 1",'[3]Feedstock Mix (Input)'!F1,IF(Dashboard!$A$5="Scenario 2",'[3]Feedstock Mix (Input)'!I1,IF(Dashboard!$A$5="Scenario 3",'[3]Feedstock Mix (Input)'!L1,IF(Dashboard!$A$5="Scenario 4",'[3]Feedstock Mix (Input)'!O1,IF(Dashboard!$A$5="Scenario 5",'[3]Feedstock Mix (Input)'!R1,'[3]Feedstock Mix (Input)'!U1))))))</f>
        <v>Additional 247 KTPA Ethane in Base case</v>
      </c>
      <c r="C5" s="920"/>
      <c r="D5" s="808"/>
      <c r="E5" s="802" t="s">
        <v>511</v>
      </c>
      <c r="F5" s="803">
        <f>'[3]Financial Model_OPaL'!H48</f>
        <v>10005.607749999997</v>
      </c>
      <c r="G5" s="804">
        <f>'[3]Financial Model_OPaL'!I48</f>
        <v>149.33742910447759</v>
      </c>
      <c r="H5" s="799"/>
      <c r="I5" s="808"/>
      <c r="J5" s="808"/>
      <c r="K5" s="808"/>
      <c r="L5" s="809"/>
      <c r="Q5" s="800"/>
    </row>
    <row r="6" spans="1:19" s="657" customFormat="1" ht="15" x14ac:dyDescent="0.25">
      <c r="E6" s="802" t="s">
        <v>698</v>
      </c>
      <c r="F6" s="803">
        <f>'[3]Financial Model_OPaL'!H50</f>
        <v>37392.375821633439</v>
      </c>
      <c r="G6" s="804">
        <f>'[3]Financial Model_OPaL'!I50</f>
        <v>558.09516151691696</v>
      </c>
      <c r="H6" s="799"/>
      <c r="K6" s="734"/>
      <c r="Q6" s="800"/>
    </row>
    <row r="7" spans="1:19" s="657" customFormat="1" ht="15" x14ac:dyDescent="0.25">
      <c r="A7" s="810" t="s">
        <v>295</v>
      </c>
      <c r="B7" s="811" t="s">
        <v>623</v>
      </c>
      <c r="C7" s="812"/>
      <c r="D7" s="805"/>
      <c r="E7" s="802" t="s">
        <v>699</v>
      </c>
      <c r="F7" s="803">
        <f>'[3]Financial Model_OPaL'!H65</f>
        <v>3344.9177633422792</v>
      </c>
      <c r="G7" s="804">
        <f>'[3]Financial Model_OPaL'!I61</f>
        <v>16.546910966250987</v>
      </c>
      <c r="H7" s="799"/>
      <c r="I7" s="805"/>
      <c r="J7" s="813"/>
      <c r="K7" s="814"/>
      <c r="L7" s="815"/>
      <c r="P7" s="805"/>
      <c r="Q7" s="800"/>
      <c r="R7" s="805"/>
      <c r="S7" s="805"/>
    </row>
    <row r="8" spans="1:19" s="657" customFormat="1" ht="15.75" thickBot="1" x14ac:dyDescent="0.25">
      <c r="A8" s="816" t="s">
        <v>384</v>
      </c>
      <c r="B8" s="817">
        <f>IF(Dashboard!$A$5="Current Scenario",'[3]Feedstock Mix (Input)'!B3,IF(Dashboard!$A$5="Scenario 1",'[3]Feedstock Mix (Input)'!E3,IF(Dashboard!$A$5="Scenario 2",'[3]Feedstock Mix (Input)'!H3,IF(Dashboard!$A$5="Scenario 3",'[3]Feedstock Mix (Input)'!K3,IF(Dashboard!$A$5="Scenario 4",'[3]Feedstock Mix (Input)'!N3,IF(Dashboard!$A$5="Scenario 5",'[3]Feedstock Mix (Input)'!Q3,'[3]Feedstock Mix (Input)'!T3))))))</f>
        <v>782.4</v>
      </c>
      <c r="C8" s="818"/>
      <c r="D8" s="805"/>
      <c r="E8" s="802" t="s">
        <v>700</v>
      </c>
      <c r="F8" s="803">
        <f>'[3]Financial Model_OPaL'!H69</f>
        <v>4182.5870216417306</v>
      </c>
      <c r="G8" s="804">
        <f>'[3]Financial Model_OPaL'!I69</f>
        <v>62.426671964801955</v>
      </c>
      <c r="H8" s="819"/>
      <c r="I8" s="805"/>
      <c r="J8" s="805"/>
      <c r="K8" s="806"/>
      <c r="P8" s="820"/>
      <c r="Q8" s="820"/>
      <c r="R8" s="820"/>
      <c r="S8" s="805"/>
    </row>
    <row r="9" spans="1:19" s="657" customFormat="1" ht="15.75" thickBot="1" x14ac:dyDescent="0.3">
      <c r="A9" s="816" t="s">
        <v>221</v>
      </c>
      <c r="B9" s="817">
        <f>IF(Dashboard!$A$5="Current Scenario",'[3]Feedstock Mix (Input)'!B4,IF(Dashboard!$A$5="Scenario 1",'[3]Feedstock Mix (Input)'!E4,IF(Dashboard!$A$5="Scenario 2",'[3]Feedstock Mix (Input)'!H4,IF(Dashboard!$A$5="Scenario 3",'[3]Feedstock Mix (Input)'!K4,IF(Dashboard!$A$5="Scenario 4",'[3]Feedstock Mix (Input)'!N4,IF(Dashboard!$A$5="Scenario 5",'[3]Feedstock Mix (Input)'!Q4,'[3]Feedstock Mix (Input)'!T4))))))</f>
        <v>1560</v>
      </c>
      <c r="C9" s="818"/>
      <c r="D9" s="821"/>
      <c r="E9" s="822" t="s">
        <v>701</v>
      </c>
      <c r="F9" s="823">
        <f>'[3]Financial Model_OPaL'!H72</f>
        <v>44919.880606617444</v>
      </c>
      <c r="G9" s="824">
        <f>'[3]Financial Model_OPaL'!I72</f>
        <v>670.44597920324611</v>
      </c>
      <c r="H9" s="825"/>
      <c r="I9" s="805"/>
      <c r="J9" s="813"/>
      <c r="K9" s="814"/>
      <c r="L9" s="815"/>
      <c r="O9" s="665"/>
      <c r="P9" s="820"/>
      <c r="Q9" s="820"/>
      <c r="R9" s="820"/>
      <c r="S9" s="805"/>
    </row>
    <row r="10" spans="1:19" s="657" customFormat="1" ht="15" x14ac:dyDescent="0.25">
      <c r="A10" s="816" t="s">
        <v>392</v>
      </c>
      <c r="B10" s="817">
        <f>IF(Dashboard!$A$5="Current Scenario",'[3]Feedstock Mix (Input)'!B5,IF(Dashboard!$A$5="Scenario 1",'[3]Feedstock Mix (Input)'!E5,IF(Dashboard!$A$5="Scenario 2",'[3]Feedstock Mix (Input)'!H5,IF(Dashboard!$A$5="Scenario 3",'[3]Feedstock Mix (Input)'!K5,IF(Dashboard!$A$5="Scenario 4",'[3]Feedstock Mix (Input)'!N5,IF(Dashboard!$A$5="Scenario 5",'[3]Feedstock Mix (Input)'!Q5,'[3]Feedstock Mix (Input)'!T5))))))</f>
        <v>220</v>
      </c>
      <c r="C10" s="818"/>
      <c r="D10" s="826"/>
      <c r="E10" s="802" t="s">
        <v>702</v>
      </c>
      <c r="F10" s="827">
        <f>'[3]Financial Model_OPaL'!H77</f>
        <v>130002.47666684911</v>
      </c>
      <c r="G10" s="828">
        <f>'[3]Financial Model_OPaL'!I77</f>
        <v>1940.3354726395389</v>
      </c>
      <c r="H10" s="825"/>
      <c r="I10" s="826"/>
      <c r="J10" s="826"/>
      <c r="K10" s="829"/>
      <c r="L10" s="826"/>
      <c r="P10" s="820"/>
      <c r="Q10" s="820"/>
      <c r="R10" s="820"/>
      <c r="S10" s="805"/>
    </row>
    <row r="11" spans="1:19" s="657" customFormat="1" ht="15" x14ac:dyDescent="0.25">
      <c r="A11" s="816" t="s">
        <v>393</v>
      </c>
      <c r="B11" s="817">
        <f>IF(Dashboard!$A$5="Current Scenario",'[3]Feedstock Mix (Input)'!B6,IF(Dashboard!$A$5="Scenario 1",'[3]Feedstock Mix (Input)'!E6,IF(Dashboard!$A$5="Scenario 2",'[3]Feedstock Mix (Input)'!H6,IF(Dashboard!$A$5="Scenario 3",'[3]Feedstock Mix (Input)'!K6,IF(Dashboard!$A$5="Scenario 4",'[3]Feedstock Mix (Input)'!N6,IF(Dashboard!$A$5="Scenario 5",'[3]Feedstock Mix (Input)'!Q6,'[3]Feedstock Mix (Input)'!T6))))))</f>
        <v>128</v>
      </c>
      <c r="C11" s="818"/>
      <c r="D11" s="826"/>
      <c r="E11" s="802" t="s">
        <v>703</v>
      </c>
      <c r="F11" s="827">
        <f>'[3]Financial Model_OPaL'!H81</f>
        <v>88344.852488482546</v>
      </c>
      <c r="G11" s="828">
        <f>'[3]Financial Model_OPaL'!I81</f>
        <v>1318.5798878877993</v>
      </c>
      <c r="H11" s="825"/>
      <c r="I11" s="826"/>
      <c r="J11" s="826"/>
      <c r="K11" s="829"/>
      <c r="L11" s="826"/>
      <c r="P11" s="820"/>
      <c r="Q11" s="820"/>
      <c r="R11" s="820"/>
      <c r="S11" s="805"/>
    </row>
    <row r="12" spans="1:19" s="657" customFormat="1" ht="15" x14ac:dyDescent="0.25">
      <c r="A12" s="830" t="s">
        <v>15</v>
      </c>
      <c r="B12" s="831">
        <f>SUM(B8:B11)</f>
        <v>2690.4</v>
      </c>
      <c r="C12" s="832"/>
      <c r="D12" s="826"/>
      <c r="E12" s="802" t="s">
        <v>704</v>
      </c>
      <c r="F12" s="827">
        <f>'[3]Financial Model_OPaL'!H85</f>
        <v>41657.624178366561</v>
      </c>
      <c r="G12" s="828">
        <f>'[3]Financial Model_OPaL'!I85</f>
        <v>621.75558475173966</v>
      </c>
      <c r="H12" s="825"/>
      <c r="I12" s="826"/>
      <c r="J12" s="826"/>
      <c r="K12" s="829"/>
      <c r="L12" s="826"/>
      <c r="P12" s="820"/>
      <c r="Q12" s="820"/>
      <c r="R12" s="820"/>
      <c r="S12" s="805"/>
    </row>
    <row r="13" spans="1:19" s="657" customFormat="1" ht="15" x14ac:dyDescent="0.25">
      <c r="A13" s="832"/>
      <c r="B13" s="832"/>
      <c r="C13" s="832"/>
      <c r="D13" s="826"/>
      <c r="E13" s="802" t="s">
        <v>705</v>
      </c>
      <c r="F13" s="827">
        <f>'[3]Financial Model_OPaL'!H87</f>
        <v>7527.5047849840103</v>
      </c>
      <c r="G13" s="828">
        <f>'[3]Financial Model_OPaL'!I87</f>
        <v>112.35081768632851</v>
      </c>
      <c r="H13" s="825"/>
      <c r="I13" s="826"/>
      <c r="J13" s="826"/>
      <c r="K13" s="829"/>
      <c r="L13" s="826"/>
      <c r="P13" s="820"/>
      <c r="Q13" s="820"/>
      <c r="R13" s="820"/>
      <c r="S13" s="805"/>
    </row>
    <row r="14" spans="1:19" s="657" customFormat="1" ht="15" x14ac:dyDescent="0.25">
      <c r="A14" s="792"/>
      <c r="B14" s="792"/>
      <c r="C14" s="792"/>
      <c r="D14" s="826"/>
      <c r="E14" s="802" t="s">
        <v>706</v>
      </c>
      <c r="F14" s="827">
        <f>'[3]Financial Model_OPaL'!H89</f>
        <v>95872.35727346655</v>
      </c>
      <c r="G14" s="828">
        <f>'[3]Financial Model_OPaL'!I89</f>
        <v>1430.9307055741276</v>
      </c>
      <c r="H14" s="799"/>
      <c r="I14" s="826"/>
      <c r="J14" s="826"/>
      <c r="K14" s="829"/>
      <c r="L14" s="826"/>
      <c r="S14" s="805"/>
    </row>
    <row r="15" spans="1:19" s="657" customFormat="1" ht="15" x14ac:dyDescent="0.2">
      <c r="A15" s="833" t="s">
        <v>632</v>
      </c>
      <c r="B15" s="834" t="s">
        <v>633</v>
      </c>
      <c r="C15" s="811" t="s">
        <v>623</v>
      </c>
      <c r="E15" s="835" t="s">
        <v>707</v>
      </c>
      <c r="F15" s="803">
        <f>'[3]Financial Model_OPaL'!H95</f>
        <v>34130.119393382556</v>
      </c>
      <c r="G15" s="804">
        <f>'[3]Financial Model_OPaL'!I95</f>
        <v>509.40476706541131</v>
      </c>
      <c r="H15" s="836"/>
      <c r="K15" s="734"/>
      <c r="O15" s="795"/>
      <c r="P15" s="805"/>
      <c r="Q15" s="805"/>
      <c r="R15" s="805"/>
      <c r="S15" s="805"/>
    </row>
    <row r="16" spans="1:19" s="657" customFormat="1" ht="15" x14ac:dyDescent="0.2">
      <c r="A16" s="816" t="s">
        <v>11</v>
      </c>
      <c r="B16" s="837">
        <f>IF(Dashboard!$A$5="Current Scenario",'[3]Feedstock Mix (Input)'!B13,IF(Dashboard!$A$5="Scenario 1",'[3]Feedstock Mix (Input)'!E13,IF(Dashboard!$A$5="Scenario 2",'[3]Feedstock Mix (Input)'!H13,IF(Dashboard!$A$5="Scenario 3",'[3]Feedstock Mix (Input)'!K13,IF(Dashboard!$A$5="Scenario 4",'[3]Feedstock Mix (Input)'!N13,IF(Dashboard!$A$5="Scenario 5",'[3]Feedstock Mix (Input)'!Q13,'[3]Feedstock Mix (Input)'!T13))))))</f>
        <v>0.47732976509069286</v>
      </c>
      <c r="C16" s="817">
        <f>B16*$B$12</f>
        <v>1284.2080000000001</v>
      </c>
      <c r="D16" s="826"/>
      <c r="E16" s="835" t="s">
        <v>708</v>
      </c>
      <c r="F16" s="838">
        <f>'[3]Financial Model_OPaL'!H97</f>
        <v>0.26253437833223836</v>
      </c>
      <c r="G16" s="839"/>
      <c r="H16" s="836"/>
      <c r="I16" s="826"/>
      <c r="J16" s="826"/>
      <c r="K16" s="829"/>
      <c r="L16" s="826"/>
      <c r="P16" s="805"/>
      <c r="Q16" s="805"/>
      <c r="R16" s="805"/>
      <c r="S16" s="805"/>
    </row>
    <row r="17" spans="1:19" s="657" customFormat="1" ht="15" x14ac:dyDescent="0.2">
      <c r="A17" s="816" t="s">
        <v>126</v>
      </c>
      <c r="B17" s="837">
        <f>IF(Dashboard!$A$5="Current Scenario",'[3]Feedstock Mix (Input)'!B14,IF(Dashboard!$A$5="Scenario 1",'[3]Feedstock Mix (Input)'!E14,IF(Dashboard!$A$5="Scenario 2",'[3]Feedstock Mix (Input)'!H14,IF(Dashboard!$A$5="Scenario 3",'[3]Feedstock Mix (Input)'!K14,IF(Dashboard!$A$5="Scenario 4",'[3]Feedstock Mix (Input)'!N14,IF(Dashboard!$A$5="Scenario 5",'[3]Feedstock Mix (Input)'!Q14,'[3]Feedstock Mix (Input)'!T14))))))</f>
        <v>0.1458608385370205</v>
      </c>
      <c r="C17" s="817">
        <f t="shared" ref="C17:C26" si="0">B17*$B$12</f>
        <v>392.42399999999998</v>
      </c>
      <c r="E17" s="840" t="s">
        <v>709</v>
      </c>
      <c r="F17" s="841">
        <f>'[3]Financial Model_OPaL'!H103</f>
        <v>0.21315062580203981</v>
      </c>
      <c r="G17" s="842"/>
      <c r="K17" s="734"/>
      <c r="P17" s="805"/>
      <c r="Q17" s="805"/>
      <c r="R17" s="805"/>
      <c r="S17" s="805"/>
    </row>
    <row r="18" spans="1:19" s="657" customFormat="1" x14ac:dyDescent="0.2">
      <c r="A18" s="816" t="s">
        <v>119</v>
      </c>
      <c r="B18" s="837">
        <f>IF(Dashboard!$A$5="Current Scenario",'[3]Feedstock Mix (Input)'!B15,IF(Dashboard!$A$5="Scenario 1",'[3]Feedstock Mix (Input)'!E15,IF(Dashboard!$A$5="Scenario 2",'[3]Feedstock Mix (Input)'!H15,IF(Dashboard!$A$5="Scenario 3",'[3]Feedstock Mix (Input)'!K15,IF(Dashboard!$A$5="Scenario 4",'[3]Feedstock Mix (Input)'!N15,IF(Dashboard!$A$5="Scenario 5",'[3]Feedstock Mix (Input)'!Q15,'[3]Feedstock Mix (Input)'!T15))))))</f>
        <v>2.2691168599464764E-2</v>
      </c>
      <c r="C18" s="817">
        <f t="shared" si="0"/>
        <v>61.048320000000004</v>
      </c>
      <c r="E18" s="792"/>
      <c r="F18" s="792"/>
      <c r="G18" s="792"/>
      <c r="K18" s="734"/>
    </row>
    <row r="19" spans="1:19" s="657" customFormat="1" x14ac:dyDescent="0.2">
      <c r="A19" s="816" t="s">
        <v>179</v>
      </c>
      <c r="B19" s="837">
        <f>IF(Dashboard!$A$5="Current Scenario",'[3]Feedstock Mix (Input)'!B16,IF(Dashboard!$A$5="Scenario 1",'[3]Feedstock Mix (Input)'!E16,IF(Dashboard!$A$5="Scenario 2",'[3]Feedstock Mix (Input)'!H16,IF(Dashboard!$A$5="Scenario 3",'[3]Feedstock Mix (Input)'!K16,IF(Dashboard!$A$5="Scenario 4",'[3]Feedstock Mix (Input)'!N16,IF(Dashboard!$A$5="Scenario 5",'[3]Feedstock Mix (Input)'!Q16,'[3]Feedstock Mix (Input)'!T16))))))</f>
        <v>5.0430187332738616E-2</v>
      </c>
      <c r="C19" s="817">
        <f t="shared" si="0"/>
        <v>135.67737599999998</v>
      </c>
      <c r="E19" s="843" t="s">
        <v>710</v>
      </c>
      <c r="F19" s="792" t="str">
        <f>B5</f>
        <v>Additional 247 KTPA Ethane in Base case</v>
      </c>
      <c r="G19" s="792"/>
      <c r="K19" s="734"/>
    </row>
    <row r="20" spans="1:19" s="657" customFormat="1" x14ac:dyDescent="0.2">
      <c r="A20" s="816" t="s">
        <v>117</v>
      </c>
      <c r="B20" s="837">
        <f>IF(Dashboard!$A$5="Current Scenario",'[3]Feedstock Mix (Input)'!B17,IF(Dashboard!$A$5="Scenario 1",'[3]Feedstock Mix (Input)'!E17,IF(Dashboard!$A$5="Scenario 2",'[3]Feedstock Mix (Input)'!H17,IF(Dashboard!$A$5="Scenario 3",'[3]Feedstock Mix (Input)'!K17,IF(Dashboard!$A$5="Scenario 4",'[3]Feedstock Mix (Input)'!N17,IF(Dashboard!$A$5="Scenario 5",'[3]Feedstock Mix (Input)'!Q17,'[3]Feedstock Mix (Input)'!T17))))))</f>
        <v>4.3165845970859346E-2</v>
      </c>
      <c r="C20" s="817">
        <f t="shared" si="0"/>
        <v>116.13339199999999</v>
      </c>
      <c r="E20" s="810" t="s">
        <v>711</v>
      </c>
      <c r="F20" s="811" t="s">
        <v>712</v>
      </c>
      <c r="G20" s="811" t="s">
        <v>713</v>
      </c>
      <c r="K20" s="734"/>
    </row>
    <row r="21" spans="1:19" s="657" customFormat="1" x14ac:dyDescent="0.2">
      <c r="A21" s="816" t="s">
        <v>118</v>
      </c>
      <c r="B21" s="837">
        <f>IF(Dashboard!$A$5="Current Scenario",'[3]Feedstock Mix (Input)'!B18,IF(Dashboard!$A$5="Scenario 1",'[3]Feedstock Mix (Input)'!E18,IF(Dashboard!$A$5="Scenario 2",'[3]Feedstock Mix (Input)'!H18,IF(Dashboard!$A$5="Scenario 3",'[3]Feedstock Mix (Input)'!K18,IF(Dashboard!$A$5="Scenario 4",'[3]Feedstock Mix (Input)'!N18,IF(Dashboard!$A$5="Scenario 5",'[3]Feedstock Mix (Input)'!Q18,'[3]Feedstock Mix (Input)'!T18))))))</f>
        <v>5.6733960749330938E-2</v>
      </c>
      <c r="C21" s="817">
        <f t="shared" si="0"/>
        <v>152.63704799999996</v>
      </c>
      <c r="E21" s="844" t="s">
        <v>714</v>
      </c>
      <c r="F21" s="845">
        <f>'[3]Downstream units'!E9</f>
        <v>15689.990551874998</v>
      </c>
      <c r="G21" s="845">
        <f>F21/'[3]Financial Model_OPaL'!$K$1*10</f>
        <v>2341.7896346082089</v>
      </c>
      <c r="K21" s="734"/>
    </row>
    <row r="22" spans="1:19" s="657" customFormat="1" x14ac:dyDescent="0.2">
      <c r="A22" s="816" t="s">
        <v>395</v>
      </c>
      <c r="B22" s="837">
        <f>IF(Dashboard!$A$5="Current Scenario",'[3]Feedstock Mix (Input)'!B19,IF(Dashboard!$A$5="Scenario 1",'[3]Feedstock Mix (Input)'!E19,IF(Dashboard!$A$5="Scenario 2",'[3]Feedstock Mix (Input)'!H19,IF(Dashboard!$A$5="Scenario 3",'[3]Feedstock Mix (Input)'!K19,IF(Dashboard!$A$5="Scenario 4",'[3]Feedstock Mix (Input)'!N19,IF(Dashboard!$A$5="Scenario 5",'[3]Feedstock Mix (Input)'!Q19,'[3]Feedstock Mix (Input)'!T19))))))</f>
        <v>2.6450858162355043E-2</v>
      </c>
      <c r="C22" s="817">
        <f t="shared" si="0"/>
        <v>71.163388800000007</v>
      </c>
      <c r="E22" s="846" t="s">
        <v>715</v>
      </c>
      <c r="F22" s="847">
        <f>[3]Revenue_Profile!H18</f>
        <v>3691.1191326664589</v>
      </c>
      <c r="G22" s="847">
        <f>F22/'[3]Financial Model_OPaL'!$K$1*10</f>
        <v>550.91330338305352</v>
      </c>
      <c r="K22" s="734"/>
    </row>
    <row r="23" spans="1:19" s="657" customFormat="1" ht="12.75" thickBot="1" x14ac:dyDescent="0.25">
      <c r="A23" s="816" t="s">
        <v>396</v>
      </c>
      <c r="B23" s="837">
        <f>IF(Dashboard!$A$5="Current Scenario",'[3]Feedstock Mix (Input)'!B20,IF(Dashboard!$A$5="Scenario 1",'[3]Feedstock Mix (Input)'!E20,IF(Dashboard!$A$5="Scenario 2",'[3]Feedstock Mix (Input)'!H20,IF(Dashboard!$A$5="Scenario 3",'[3]Feedstock Mix (Input)'!K20,IF(Dashboard!$A$5="Scenario 4",'[3]Feedstock Mix (Input)'!N20,IF(Dashboard!$A$5="Scenario 5",'[3]Feedstock Mix (Input)'!Q20,'[3]Feedstock Mix (Input)'!T20))))))</f>
        <v>6.6826167112696993E-4</v>
      </c>
      <c r="C23" s="817">
        <f t="shared" si="0"/>
        <v>1.7978912</v>
      </c>
      <c r="E23" s="846" t="s">
        <v>716</v>
      </c>
      <c r="F23" s="847">
        <f>'[3]Downstream units'!E10</f>
        <v>3905.2498639053128</v>
      </c>
      <c r="G23" s="847">
        <f>F23/'[3]Financial Model_OPaL'!$K$1*10</f>
        <v>582.87311401571833</v>
      </c>
      <c r="K23" s="734"/>
    </row>
    <row r="24" spans="1:19" s="657" customFormat="1" ht="12.75" thickBot="1" x14ac:dyDescent="0.25">
      <c r="A24" s="816" t="s">
        <v>120</v>
      </c>
      <c r="B24" s="837">
        <f>IF(Dashboard!$A$5="Current Scenario",'[3]Feedstock Mix (Input)'!B21,IF(Dashboard!$A$5="Scenario 1",'[3]Feedstock Mix (Input)'!E21,IF(Dashboard!$A$5="Scenario 2",'[3]Feedstock Mix (Input)'!H21,IF(Dashboard!$A$5="Scenario 3",'[3]Feedstock Mix (Input)'!K21,IF(Dashboard!$A$5="Scenario 4",'[3]Feedstock Mix (Input)'!N21,IF(Dashboard!$A$5="Scenario 5",'[3]Feedstock Mix (Input)'!Q21,'[3]Feedstock Mix (Input)'!T21))))))</f>
        <v>1.7020188224799285E-2</v>
      </c>
      <c r="C24" s="817">
        <f t="shared" si="0"/>
        <v>45.791114399999998</v>
      </c>
      <c r="E24" s="848" t="s">
        <v>390</v>
      </c>
      <c r="F24" s="849">
        <f>F23-'[3]Base margins'!$E$10</f>
        <v>177.14986390531294</v>
      </c>
      <c r="G24" s="849">
        <f>F24/'[3]Financial Model_OPaL'!$K$1*10</f>
        <v>26.440278194822827</v>
      </c>
      <c r="K24" s="734"/>
    </row>
    <row r="25" spans="1:19" s="657" customFormat="1" x14ac:dyDescent="0.2">
      <c r="A25" s="816" t="s">
        <v>397</v>
      </c>
      <c r="B25" s="837">
        <f>IF(Dashboard!$A$5="Current Scenario",'[3]Feedstock Mix (Input)'!B22,IF(Dashboard!$A$5="Scenario 1",'[3]Feedstock Mix (Input)'!E22,IF(Dashboard!$A$5="Scenario 2",'[3]Feedstock Mix (Input)'!H22,IF(Dashboard!$A$5="Scenario 3",'[3]Feedstock Mix (Input)'!K22,IF(Dashboard!$A$5="Scenario 4",'[3]Feedstock Mix (Input)'!N22,IF(Dashboard!$A$5="Scenario 5",'[3]Feedstock Mix (Input)'!Q22,'[3]Feedstock Mix (Input)'!T22))))))</f>
        <v>0.14149866190900981</v>
      </c>
      <c r="C25" s="817">
        <f t="shared" si="0"/>
        <v>380.68799999999999</v>
      </c>
      <c r="E25" s="846" t="s">
        <v>717</v>
      </c>
      <c r="F25" s="850">
        <f>[3]Revenue_Profile!B20</f>
        <v>2366</v>
      </c>
      <c r="G25" s="847">
        <f>F25/'[3]Financial Model_OPaL'!$K$1*10</f>
        <v>353.13432835820896</v>
      </c>
      <c r="K25" s="734"/>
    </row>
    <row r="26" spans="1:19" s="657" customFormat="1" x14ac:dyDescent="0.2">
      <c r="A26" s="816" t="s">
        <v>634</v>
      </c>
      <c r="B26" s="837">
        <f>IF(Dashboard!$A$5="Current Scenario",'[3]Feedstock Mix (Input)'!B23,IF(Dashboard!$A$5="Scenario 1",'[3]Feedstock Mix (Input)'!E23,IF(Dashboard!$A$5="Scenario 2",'[3]Feedstock Mix (Input)'!H23,IF(Dashboard!$A$5="Scenario 3",'[3]Feedstock Mix (Input)'!K23,IF(Dashboard!$A$5="Scenario 4",'[3]Feedstock Mix (Input)'!N23,IF(Dashboard!$A$5="Scenario 5",'[3]Feedstock Mix (Input)'!Q23,'[3]Feedstock Mix (Input)'!T23))))))</f>
        <v>1.8150263752601894E-2</v>
      </c>
      <c r="C26" s="817">
        <f t="shared" si="0"/>
        <v>48.831469600000133</v>
      </c>
      <c r="E26" s="846" t="s">
        <v>718</v>
      </c>
      <c r="F26" s="851">
        <f>F25/F24</f>
        <v>13.355923328649201</v>
      </c>
      <c r="G26" s="847">
        <f>F26</f>
        <v>13.355923328649201</v>
      </c>
      <c r="K26" s="734"/>
    </row>
    <row r="27" spans="1:19" s="657" customFormat="1" x14ac:dyDescent="0.2">
      <c r="A27" s="830" t="s">
        <v>15</v>
      </c>
      <c r="B27" s="852">
        <f>SUM(B16:B26)</f>
        <v>1.0000000000000002</v>
      </c>
      <c r="C27" s="853">
        <f>SUM(C16:C26)</f>
        <v>2690.4</v>
      </c>
      <c r="E27" s="854" t="s">
        <v>719</v>
      </c>
      <c r="F27" s="855">
        <f>[3]Loan!B7</f>
        <v>255.19532266042066</v>
      </c>
      <c r="G27" s="855">
        <f>F27/'[3]Financial Model_OPaL'!$K$1</f>
        <v>3.8088854128420992</v>
      </c>
      <c r="K27" s="734"/>
    </row>
    <row r="28" spans="1:19" x14ac:dyDescent="0.2">
      <c r="C28" s="856"/>
    </row>
    <row r="38" spans="3:3" x14ac:dyDescent="0.2">
      <c r="C38" s="856"/>
    </row>
    <row r="39" spans="3:3" x14ac:dyDescent="0.2">
      <c r="C39" s="856"/>
    </row>
  </sheetData>
  <mergeCells count="10">
    <mergeCell ref="L2:L3"/>
    <mergeCell ref="M2:M3"/>
    <mergeCell ref="A3:C3"/>
    <mergeCell ref="B5:C5"/>
    <mergeCell ref="A1:C1"/>
    <mergeCell ref="I1:K1"/>
    <mergeCell ref="A2:C2"/>
    <mergeCell ref="I2:I3"/>
    <mergeCell ref="J2:J3"/>
    <mergeCell ref="K2:K3"/>
  </mergeCells>
  <conditionalFormatting sqref="F5:F8 F3 F11 F13:F14">
    <cfRule type="dataBar" priority="12">
      <dataBar>
        <cfvo type="min"/>
        <cfvo type="max"/>
        <color rgb="FFFF555A"/>
      </dataBar>
      <extLst>
        <ext xmlns:x14="http://schemas.microsoft.com/office/spreadsheetml/2009/9/main" uri="{B025F937-C7B1-47D3-B67F-A62EFF666E3E}">
          <x14:id>{2E78C6A3-8E70-4793-A363-D11866A119FD}</x14:id>
        </ext>
      </extLst>
    </cfRule>
  </conditionalFormatting>
  <conditionalFormatting sqref="F4 F10 F12 F15">
    <cfRule type="dataBar" priority="11">
      <dataBar>
        <cfvo type="min"/>
        <cfvo type="max"/>
        <color rgb="FF63C384"/>
      </dataBar>
      <extLst>
        <ext xmlns:x14="http://schemas.microsoft.com/office/spreadsheetml/2009/9/main" uri="{B025F937-C7B1-47D3-B67F-A62EFF666E3E}">
          <x14:id>{55BF8FA1-8F99-4CC1-A5C5-B243B14F389C}</x14:id>
        </ext>
      </extLst>
    </cfRule>
  </conditionalFormatting>
  <conditionalFormatting sqref="G5:G8 H4:H7 H2 G3 H10 G11 H12:H13 G13:G14">
    <cfRule type="dataBar" priority="10">
      <dataBar>
        <cfvo type="min"/>
        <cfvo type="max"/>
        <color rgb="FFFF555A"/>
      </dataBar>
      <extLst>
        <ext xmlns:x14="http://schemas.microsoft.com/office/spreadsheetml/2009/9/main" uri="{B025F937-C7B1-47D3-B67F-A62EFF666E3E}">
          <x14:id>{6B013614-AA2C-4D7F-8969-6B59FD31C6BC}</x14:id>
        </ext>
      </extLst>
    </cfRule>
  </conditionalFormatting>
  <conditionalFormatting sqref="H3 G4 H9 H11 G10 G12 H14 G15">
    <cfRule type="dataBar" priority="9">
      <dataBar>
        <cfvo type="min"/>
        <cfvo type="max"/>
        <color rgb="FF63C384"/>
      </dataBar>
      <extLst>
        <ext xmlns:x14="http://schemas.microsoft.com/office/spreadsheetml/2009/9/main" uri="{B025F937-C7B1-47D3-B67F-A62EFF666E3E}">
          <x14:id>{FC284007-2C9F-4B86-B659-8C9AC28D9F59}</x14:id>
        </ext>
      </extLst>
    </cfRule>
  </conditionalFormatting>
  <conditionalFormatting sqref="F9">
    <cfRule type="dataBar" priority="8">
      <dataBar>
        <cfvo type="min"/>
        <cfvo type="max"/>
        <color rgb="FFFFB628"/>
      </dataBar>
      <extLst>
        <ext xmlns:x14="http://schemas.microsoft.com/office/spreadsheetml/2009/9/main" uri="{B025F937-C7B1-47D3-B67F-A62EFF666E3E}">
          <x14:id>{74A14D48-CFC2-47AD-869E-D46BF597D9AA}</x14:id>
        </ext>
      </extLst>
    </cfRule>
  </conditionalFormatting>
  <conditionalFormatting sqref="H8 G9">
    <cfRule type="dataBar" priority="7">
      <dataBar>
        <cfvo type="min"/>
        <cfvo type="max"/>
        <color rgb="FFFFB628"/>
      </dataBar>
      <extLst>
        <ext xmlns:x14="http://schemas.microsoft.com/office/spreadsheetml/2009/9/main" uri="{B025F937-C7B1-47D3-B67F-A62EFF666E3E}">
          <x14:id>{27B784BA-5153-4A4B-A687-9027738C9DB6}</x14:id>
        </ext>
      </extLst>
    </cfRule>
  </conditionalFormatting>
  <conditionalFormatting sqref="F16:G17 H15:H16">
    <cfRule type="dataBar" priority="6">
      <dataBar>
        <cfvo type="min"/>
        <cfvo type="max"/>
        <color rgb="FF63C384"/>
      </dataBar>
      <extLst>
        <ext xmlns:x14="http://schemas.microsoft.com/office/spreadsheetml/2009/9/main" uri="{B025F937-C7B1-47D3-B67F-A62EFF666E3E}">
          <x14:id>{B5106E93-B3CF-43F3-A46E-84FB28DADE26}</x14:id>
        </ext>
      </extLst>
    </cfRule>
  </conditionalFormatting>
  <conditionalFormatting sqref="B8:B11">
    <cfRule type="dataBar" priority="5">
      <dataBar>
        <cfvo type="min"/>
        <cfvo type="max"/>
        <color rgb="FF638EC6"/>
      </dataBar>
      <extLst>
        <ext xmlns:x14="http://schemas.microsoft.com/office/spreadsheetml/2009/9/main" uri="{B025F937-C7B1-47D3-B67F-A62EFF666E3E}">
          <x14:id>{3B985D5C-247A-449A-AB68-976FE385EA5C}</x14:id>
        </ext>
      </extLst>
    </cfRule>
  </conditionalFormatting>
  <conditionalFormatting sqref="B16:B26">
    <cfRule type="dataBar" priority="4">
      <dataBar>
        <cfvo type="min"/>
        <cfvo type="max"/>
        <color rgb="FF638EC6"/>
      </dataBar>
      <extLst>
        <ext xmlns:x14="http://schemas.microsoft.com/office/spreadsheetml/2009/9/main" uri="{B025F937-C7B1-47D3-B67F-A62EFF666E3E}">
          <x14:id>{E792D304-2FD0-4808-934C-73511B883293}</x14:id>
        </ext>
      </extLst>
    </cfRule>
  </conditionalFormatting>
  <conditionalFormatting sqref="B16:B27">
    <cfRule type="dataBar" priority="2">
      <dataBar>
        <cfvo type="min"/>
        <cfvo type="max"/>
        <color rgb="FF008AEF"/>
      </dataBar>
      <extLst>
        <ext xmlns:x14="http://schemas.microsoft.com/office/spreadsheetml/2009/9/main" uri="{B025F937-C7B1-47D3-B67F-A62EFF666E3E}">
          <x14:id>{99F84B91-62DF-4E59-AACC-38A4A0EEB352}</x14:id>
        </ext>
      </extLst>
    </cfRule>
  </conditionalFormatting>
  <conditionalFormatting sqref="B8:B12">
    <cfRule type="dataBar" priority="3">
      <dataBar>
        <cfvo type="min"/>
        <cfvo type="max"/>
        <color rgb="FF008AEF"/>
      </dataBar>
      <extLst>
        <ext xmlns:x14="http://schemas.microsoft.com/office/spreadsheetml/2009/9/main" uri="{B025F937-C7B1-47D3-B67F-A62EFF666E3E}">
          <x14:id>{75FE591A-81D0-4A1D-84CE-021215D07032}</x14:id>
        </ext>
      </extLst>
    </cfRule>
  </conditionalFormatting>
  <conditionalFormatting sqref="C16:C27">
    <cfRule type="dataBar" priority="1">
      <dataBar>
        <cfvo type="min"/>
        <cfvo type="max"/>
        <color rgb="FFFFB628"/>
      </dataBar>
      <extLst>
        <ext xmlns:x14="http://schemas.microsoft.com/office/spreadsheetml/2009/9/main" uri="{B025F937-C7B1-47D3-B67F-A62EFF666E3E}">
          <x14:id>{3E590AF2-40A3-433A-BDFE-4CDAFC87B01E}</x14:id>
        </ext>
      </extLst>
    </cfRule>
  </conditionalFormatting>
  <conditionalFormatting sqref="F24:F25 F21:F22">
    <cfRule type="dataBar" priority="13">
      <dataBar>
        <cfvo type="min"/>
        <cfvo type="max"/>
        <color rgb="FF008AEF"/>
      </dataBar>
      <extLst>
        <ext xmlns:x14="http://schemas.microsoft.com/office/spreadsheetml/2009/9/main" uri="{B025F937-C7B1-47D3-B67F-A62EFF666E3E}">
          <x14:id>{00C19086-3AAF-46AA-9088-E0FFCC9574DD}</x14:id>
        </ext>
      </extLst>
    </cfRule>
  </conditionalFormatting>
  <conditionalFormatting sqref="G21:G25">
    <cfRule type="dataBar" priority="14">
      <dataBar>
        <cfvo type="min"/>
        <cfvo type="max"/>
        <color rgb="FF008AEF"/>
      </dataBar>
      <extLst>
        <ext xmlns:x14="http://schemas.microsoft.com/office/spreadsheetml/2009/9/main" uri="{B025F937-C7B1-47D3-B67F-A62EFF666E3E}">
          <x14:id>{89EE7EC4-8AEA-466B-B5A4-7DA676F79167}</x14:id>
        </ext>
      </extLst>
    </cfRule>
  </conditionalFormatting>
  <conditionalFormatting sqref="F21:F25">
    <cfRule type="dataBar" priority="15">
      <dataBar>
        <cfvo type="min"/>
        <cfvo type="max"/>
        <color rgb="FF008AEF"/>
      </dataBar>
      <extLst>
        <ext xmlns:x14="http://schemas.microsoft.com/office/spreadsheetml/2009/9/main" uri="{B025F937-C7B1-47D3-B67F-A62EFF666E3E}">
          <x14:id>{5763C119-9E00-48E9-A867-E84FC7E0183A}</x14:id>
        </ext>
      </extLst>
    </cfRule>
  </conditionalFormatting>
  <dataValidations count="1">
    <dataValidation type="list" allowBlank="1" showInputMessage="1" showErrorMessage="1" sqref="A5" xr:uid="{F936D31E-C632-4C51-89C5-B1E2D4640038}">
      <formula1>"Current Scenario, Scenario 1, Scenario 2, Scenario 3, Scenario 4, Scenario 5, Scenario 6"</formula1>
    </dataValidation>
  </dataValidations>
  <pageMargins left="0.7" right="0.7" top="0.75" bottom="0.75" header="0.3" footer="0.3"/>
  <pageSetup paperSize="9" orientation="portrait" verticalDpi="0" r:id="rId1"/>
  <drawing r:id="rId2"/>
  <extLst>
    <ext xmlns:x14="http://schemas.microsoft.com/office/spreadsheetml/2009/9/main" uri="{78C0D931-6437-407d-A8EE-F0AAD7539E65}">
      <x14:conditionalFormattings>
        <x14:conditionalFormatting xmlns:xm="http://schemas.microsoft.com/office/excel/2006/main">
          <x14:cfRule type="dataBar" id="{2E78C6A3-8E70-4793-A363-D11866A119FD}">
            <x14:dataBar minLength="0" maxLength="100" border="1" negativeBarBorderColorSameAsPositive="0">
              <x14:cfvo type="autoMin"/>
              <x14:cfvo type="autoMax"/>
              <x14:borderColor rgb="FFFF555A"/>
              <x14:negativeFillColor rgb="FFFF0000"/>
              <x14:negativeBorderColor rgb="FFFF0000"/>
              <x14:axisColor rgb="FF000000"/>
            </x14:dataBar>
          </x14:cfRule>
          <xm:sqref>F5:F8 F3 F11 F13:F14</xm:sqref>
        </x14:conditionalFormatting>
        <x14:conditionalFormatting xmlns:xm="http://schemas.microsoft.com/office/excel/2006/main">
          <x14:cfRule type="dataBar" id="{55BF8FA1-8F99-4CC1-A5C5-B243B14F389C}">
            <x14:dataBar minLength="0" maxLength="100" border="1" negativeBarBorderColorSameAsPositive="0">
              <x14:cfvo type="autoMin"/>
              <x14:cfvo type="autoMax"/>
              <x14:borderColor rgb="FF63C384"/>
              <x14:negativeFillColor rgb="FFFF0000"/>
              <x14:negativeBorderColor rgb="FFFF0000"/>
              <x14:axisColor rgb="FF000000"/>
            </x14:dataBar>
          </x14:cfRule>
          <xm:sqref>F4 F10 F12 F15</xm:sqref>
        </x14:conditionalFormatting>
        <x14:conditionalFormatting xmlns:xm="http://schemas.microsoft.com/office/excel/2006/main">
          <x14:cfRule type="dataBar" id="{6B013614-AA2C-4D7F-8969-6B59FD31C6BC}">
            <x14:dataBar minLength="0" maxLength="100" border="1" negativeBarBorderColorSameAsPositive="0">
              <x14:cfvo type="autoMin"/>
              <x14:cfvo type="autoMax"/>
              <x14:borderColor rgb="FFFF555A"/>
              <x14:negativeFillColor rgb="FFFF0000"/>
              <x14:negativeBorderColor rgb="FFFF0000"/>
              <x14:axisColor rgb="FF000000"/>
            </x14:dataBar>
          </x14:cfRule>
          <xm:sqref>G5:G8 H4:H7 H2 G3 H10 G11 H12:H13 G13:G14</xm:sqref>
        </x14:conditionalFormatting>
        <x14:conditionalFormatting xmlns:xm="http://schemas.microsoft.com/office/excel/2006/main">
          <x14:cfRule type="dataBar" id="{FC284007-2C9F-4B86-B659-8C9AC28D9F59}">
            <x14:dataBar minLength="0" maxLength="100" border="1" negativeBarBorderColorSameAsPositive="0">
              <x14:cfvo type="autoMin"/>
              <x14:cfvo type="autoMax"/>
              <x14:borderColor rgb="FF63C384"/>
              <x14:negativeFillColor rgb="FFFF0000"/>
              <x14:negativeBorderColor rgb="FFFF0000"/>
              <x14:axisColor rgb="FF000000"/>
            </x14:dataBar>
          </x14:cfRule>
          <xm:sqref>H3 G4 H9 H11 G10 G12 H14 G15</xm:sqref>
        </x14:conditionalFormatting>
        <x14:conditionalFormatting xmlns:xm="http://schemas.microsoft.com/office/excel/2006/main">
          <x14:cfRule type="dataBar" id="{74A14D48-CFC2-47AD-869E-D46BF597D9AA}">
            <x14:dataBar minLength="0" maxLength="100" border="1" negativeBarBorderColorSameAsPositive="0">
              <x14:cfvo type="autoMin"/>
              <x14:cfvo type="autoMax"/>
              <x14:borderColor rgb="FFFFB628"/>
              <x14:negativeFillColor rgb="FFFF0000"/>
              <x14:negativeBorderColor rgb="FFFF0000"/>
              <x14:axisColor rgb="FF000000"/>
            </x14:dataBar>
          </x14:cfRule>
          <xm:sqref>F9</xm:sqref>
        </x14:conditionalFormatting>
        <x14:conditionalFormatting xmlns:xm="http://schemas.microsoft.com/office/excel/2006/main">
          <x14:cfRule type="dataBar" id="{27B784BA-5153-4A4B-A687-9027738C9DB6}">
            <x14:dataBar minLength="0" maxLength="100" border="1" negativeBarBorderColorSameAsPositive="0">
              <x14:cfvo type="autoMin"/>
              <x14:cfvo type="autoMax"/>
              <x14:borderColor rgb="FFFFB628"/>
              <x14:negativeFillColor rgb="FFFF0000"/>
              <x14:negativeBorderColor rgb="FFFF0000"/>
              <x14:axisColor rgb="FF000000"/>
            </x14:dataBar>
          </x14:cfRule>
          <xm:sqref>H8 G9</xm:sqref>
        </x14:conditionalFormatting>
        <x14:conditionalFormatting xmlns:xm="http://schemas.microsoft.com/office/excel/2006/main">
          <x14:cfRule type="dataBar" id="{B5106E93-B3CF-43F3-A46E-84FB28DADE26}">
            <x14:dataBar minLength="0" maxLength="100" border="1" negativeBarBorderColorSameAsPositive="0">
              <x14:cfvo type="autoMin"/>
              <x14:cfvo type="autoMax"/>
              <x14:borderColor rgb="FF63C384"/>
              <x14:negativeFillColor rgb="FFFF0000"/>
              <x14:negativeBorderColor rgb="FFFF0000"/>
              <x14:axisColor rgb="FF000000"/>
            </x14:dataBar>
          </x14:cfRule>
          <xm:sqref>F16:G17 H15:H16</xm:sqref>
        </x14:conditionalFormatting>
        <x14:conditionalFormatting xmlns:xm="http://schemas.microsoft.com/office/excel/2006/main">
          <x14:cfRule type="dataBar" id="{3B985D5C-247A-449A-AB68-976FE385EA5C}">
            <x14:dataBar minLength="0" maxLength="100" border="1" negativeBarBorderColorSameAsPositive="0">
              <x14:cfvo type="autoMin"/>
              <x14:cfvo type="autoMax"/>
              <x14:borderColor rgb="FF638EC6"/>
              <x14:negativeFillColor rgb="FFFF0000"/>
              <x14:negativeBorderColor rgb="FFFF0000"/>
              <x14:axisColor rgb="FF000000"/>
            </x14:dataBar>
          </x14:cfRule>
          <xm:sqref>B8:B11</xm:sqref>
        </x14:conditionalFormatting>
        <x14:conditionalFormatting xmlns:xm="http://schemas.microsoft.com/office/excel/2006/main">
          <x14:cfRule type="dataBar" id="{E792D304-2FD0-4808-934C-73511B883293}">
            <x14:dataBar minLength="0" maxLength="100" border="1" negativeBarBorderColorSameAsPositive="0">
              <x14:cfvo type="autoMin"/>
              <x14:cfvo type="autoMax"/>
              <x14:borderColor rgb="FF638EC6"/>
              <x14:negativeFillColor rgb="FFFF0000"/>
              <x14:negativeBorderColor rgb="FFFF0000"/>
              <x14:axisColor rgb="FF000000"/>
            </x14:dataBar>
          </x14:cfRule>
          <xm:sqref>B16:B26</xm:sqref>
        </x14:conditionalFormatting>
        <x14:conditionalFormatting xmlns:xm="http://schemas.microsoft.com/office/excel/2006/main">
          <x14:cfRule type="dataBar" id="{99F84B91-62DF-4E59-AACC-38A4A0EEB352}">
            <x14:dataBar minLength="0" maxLength="100" border="1" negativeBarBorderColorSameAsPositive="0">
              <x14:cfvo type="autoMin"/>
              <x14:cfvo type="autoMax"/>
              <x14:borderColor rgb="FF008AEF"/>
              <x14:negativeFillColor rgb="FFFF0000"/>
              <x14:negativeBorderColor rgb="FFFF0000"/>
              <x14:axisColor rgb="FF000000"/>
            </x14:dataBar>
          </x14:cfRule>
          <xm:sqref>B16:B27</xm:sqref>
        </x14:conditionalFormatting>
        <x14:conditionalFormatting xmlns:xm="http://schemas.microsoft.com/office/excel/2006/main">
          <x14:cfRule type="dataBar" id="{75FE591A-81D0-4A1D-84CE-021215D07032}">
            <x14:dataBar minLength="0" maxLength="100" border="1" negativeBarBorderColorSameAsPositive="0">
              <x14:cfvo type="autoMin"/>
              <x14:cfvo type="autoMax"/>
              <x14:borderColor rgb="FF008AEF"/>
              <x14:negativeFillColor rgb="FFFF0000"/>
              <x14:negativeBorderColor rgb="FFFF0000"/>
              <x14:axisColor rgb="FF000000"/>
            </x14:dataBar>
          </x14:cfRule>
          <xm:sqref>B8:B12</xm:sqref>
        </x14:conditionalFormatting>
        <x14:conditionalFormatting xmlns:xm="http://schemas.microsoft.com/office/excel/2006/main">
          <x14:cfRule type="dataBar" id="{3E590AF2-40A3-433A-BDFE-4CDAFC87B01E}">
            <x14:dataBar minLength="0" maxLength="100" border="1" negativeBarBorderColorSameAsPositive="0">
              <x14:cfvo type="autoMin"/>
              <x14:cfvo type="autoMax"/>
              <x14:borderColor rgb="FFFFB628"/>
              <x14:negativeFillColor rgb="FFFF0000"/>
              <x14:negativeBorderColor rgb="FFFF0000"/>
              <x14:axisColor rgb="FF000000"/>
            </x14:dataBar>
          </x14:cfRule>
          <xm:sqref>C16:C27</xm:sqref>
        </x14:conditionalFormatting>
        <x14:conditionalFormatting xmlns:xm="http://schemas.microsoft.com/office/excel/2006/main">
          <x14:cfRule type="dataBar" id="{00C19086-3AAF-46AA-9088-E0FFCC9574DD}">
            <x14:dataBar minLength="0" maxLength="100" border="1" negativeBarBorderColorSameAsPositive="0">
              <x14:cfvo type="autoMin"/>
              <x14:cfvo type="autoMax"/>
              <x14:borderColor rgb="FF008AEF"/>
              <x14:negativeFillColor rgb="FFFF0000"/>
              <x14:negativeBorderColor rgb="FFFF0000"/>
              <x14:axisColor rgb="FF000000"/>
            </x14:dataBar>
          </x14:cfRule>
          <xm:sqref>F24:F25 F21:F22</xm:sqref>
        </x14:conditionalFormatting>
        <x14:conditionalFormatting xmlns:xm="http://schemas.microsoft.com/office/excel/2006/main">
          <x14:cfRule type="dataBar" id="{89EE7EC4-8AEA-466B-B5A4-7DA676F79167}">
            <x14:dataBar minLength="0" maxLength="100" border="1" negativeBarBorderColorSameAsPositive="0">
              <x14:cfvo type="autoMin"/>
              <x14:cfvo type="autoMax"/>
              <x14:borderColor rgb="FF008AEF"/>
              <x14:negativeFillColor rgb="FFFF0000"/>
              <x14:negativeBorderColor rgb="FFFF0000"/>
              <x14:axisColor rgb="FF000000"/>
            </x14:dataBar>
          </x14:cfRule>
          <xm:sqref>G21:G25</xm:sqref>
        </x14:conditionalFormatting>
        <x14:conditionalFormatting xmlns:xm="http://schemas.microsoft.com/office/excel/2006/main">
          <x14:cfRule type="dataBar" id="{5763C119-9E00-48E9-A867-E84FC7E0183A}">
            <x14:dataBar minLength="0" maxLength="100" border="1" negativeBarBorderColorSameAsPositive="0">
              <x14:cfvo type="autoMin"/>
              <x14:cfvo type="autoMax"/>
              <x14:borderColor rgb="FF008AEF"/>
              <x14:negativeFillColor rgb="FFFF0000"/>
              <x14:negativeBorderColor rgb="FFFF0000"/>
              <x14:axisColor rgb="FF000000"/>
            </x14:dataBar>
          </x14:cfRule>
          <xm:sqref>F21:F25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6"/>
  <sheetViews>
    <sheetView topLeftCell="G1" zoomScaleNormal="100" workbookViewId="0">
      <selection activeCell="I1" sqref="I1"/>
    </sheetView>
  </sheetViews>
  <sheetFormatPr defaultRowHeight="12" x14ac:dyDescent="0.2"/>
  <cols>
    <col min="1" max="1" width="23.140625" style="657" bestFit="1" customWidth="1"/>
    <col min="2" max="2" width="18.5703125" style="657" bestFit="1" customWidth="1"/>
    <col min="3" max="3" width="25.5703125" style="657" bestFit="1" customWidth="1"/>
    <col min="4" max="4" width="13.140625" style="657" bestFit="1" customWidth="1"/>
    <col min="5" max="5" width="18.7109375" style="657" bestFit="1" customWidth="1"/>
    <col min="6" max="6" width="23.7109375" style="657" customWidth="1"/>
    <col min="7" max="7" width="11" style="657" bestFit="1" customWidth="1"/>
    <col min="8" max="8" width="18.7109375" style="657" bestFit="1" customWidth="1"/>
    <col min="9" max="9" width="21" style="657" bestFit="1" customWidth="1"/>
    <col min="10" max="10" width="9.140625" style="657"/>
    <col min="11" max="11" width="18.7109375" style="657" bestFit="1" customWidth="1"/>
    <col min="12" max="12" width="21" style="657" bestFit="1" customWidth="1"/>
    <col min="13" max="13" width="9.140625" style="657"/>
    <col min="14" max="14" width="17.7109375" style="657" bestFit="1" customWidth="1"/>
    <col min="15" max="15" width="25" style="657" bestFit="1" customWidth="1"/>
    <col min="16" max="16" width="9.140625" style="657"/>
    <col min="17" max="17" width="17.7109375" style="657" bestFit="1" customWidth="1"/>
    <col min="18" max="18" width="21" style="657" bestFit="1" customWidth="1"/>
    <col min="19" max="19" width="9.140625" style="657"/>
    <col min="20" max="20" width="17.7109375" style="657" bestFit="1" customWidth="1"/>
    <col min="21" max="21" width="33.5703125" style="657" customWidth="1"/>
    <col min="22" max="16384" width="9.140625" style="657"/>
  </cols>
  <sheetData>
    <row r="1" spans="1:21" x14ac:dyDescent="0.2">
      <c r="B1" s="658" t="s">
        <v>614</v>
      </c>
      <c r="C1" s="658" t="s">
        <v>615</v>
      </c>
      <c r="E1" s="658" t="s">
        <v>385</v>
      </c>
      <c r="F1" s="658" t="s">
        <v>616</v>
      </c>
      <c r="H1" s="858" t="s">
        <v>386</v>
      </c>
      <c r="I1" s="858" t="s">
        <v>617</v>
      </c>
      <c r="K1" s="658" t="s">
        <v>387</v>
      </c>
      <c r="L1" s="658" t="s">
        <v>618</v>
      </c>
      <c r="N1" s="658" t="s">
        <v>401</v>
      </c>
      <c r="O1" s="658" t="s">
        <v>619</v>
      </c>
      <c r="Q1" s="858" t="s">
        <v>402</v>
      </c>
      <c r="R1" s="858" t="s">
        <v>620</v>
      </c>
      <c r="T1" s="658" t="s">
        <v>403</v>
      </c>
      <c r="U1" s="658" t="s">
        <v>621</v>
      </c>
    </row>
    <row r="2" spans="1:21" ht="12.75" x14ac:dyDescent="0.2">
      <c r="A2" s="659" t="s">
        <v>622</v>
      </c>
      <c r="B2" s="660" t="s">
        <v>623</v>
      </c>
      <c r="C2" s="661" t="s">
        <v>624</v>
      </c>
      <c r="E2" s="660" t="s">
        <v>623</v>
      </c>
      <c r="F2" s="661" t="s">
        <v>624</v>
      </c>
      <c r="H2" s="859" t="s">
        <v>623</v>
      </c>
      <c r="I2" s="860" t="s">
        <v>624</v>
      </c>
      <c r="K2" s="660" t="s">
        <v>623</v>
      </c>
      <c r="L2" s="661" t="s">
        <v>624</v>
      </c>
      <c r="N2" s="660" t="s">
        <v>623</v>
      </c>
      <c r="O2" s="661" t="s">
        <v>624</v>
      </c>
      <c r="Q2" s="859" t="s">
        <v>623</v>
      </c>
      <c r="R2" s="860" t="s">
        <v>624</v>
      </c>
      <c r="T2" s="660" t="s">
        <v>623</v>
      </c>
      <c r="U2" s="661" t="s">
        <v>624</v>
      </c>
    </row>
    <row r="3" spans="1:21" x14ac:dyDescent="0.2">
      <c r="A3" s="662" t="s">
        <v>384</v>
      </c>
      <c r="B3" s="790">
        <v>614</v>
      </c>
      <c r="C3" s="663">
        <f>((B3/$B$7)/$B$14)</f>
        <v>0.50662992087001724</v>
      </c>
      <c r="D3" s="663"/>
      <c r="E3" s="657">
        <f>(97.375*8)</f>
        <v>779</v>
      </c>
      <c r="F3" s="663">
        <f>(E3/$E$7)/$E$14</f>
        <v>0.71223899046751782</v>
      </c>
      <c r="H3" s="861">
        <v>1080</v>
      </c>
      <c r="I3" s="862">
        <f>(H3/$H$7)/$H$14</f>
        <v>0.78657119051919533</v>
      </c>
      <c r="J3" s="657">
        <f>H3/8</f>
        <v>135</v>
      </c>
      <c r="K3" s="657">
        <v>1256.2</v>
      </c>
      <c r="L3" s="663">
        <v>0.84378266114623335</v>
      </c>
      <c r="N3" s="657">
        <v>535.20000000000005</v>
      </c>
      <c r="O3" s="663">
        <f>(N3/$N$7)/$N$14</f>
        <v>0.43016422113913144</v>
      </c>
      <c r="Q3" s="861">
        <v>569</v>
      </c>
      <c r="R3" s="862">
        <f>(Q3/$Q$7)/$Q$14</f>
        <v>0.42225718356684872</v>
      </c>
      <c r="T3" s="657">
        <v>782.4</v>
      </c>
      <c r="U3" s="663">
        <f>(T3/$T$7)/$T$14</f>
        <v>0.60924710015822969</v>
      </c>
    </row>
    <row r="4" spans="1:21" x14ac:dyDescent="0.2">
      <c r="A4" s="662" t="s">
        <v>221</v>
      </c>
      <c r="B4" s="790">
        <v>1611</v>
      </c>
      <c r="C4" s="663">
        <f>((B4/$B$7)/$B$14)</f>
        <v>1.3292846946605825</v>
      </c>
      <c r="D4" s="663"/>
      <c r="E4" s="657">
        <f>126*8</f>
        <v>1008</v>
      </c>
      <c r="F4" s="663">
        <f>(E4/$E$7)/$E$14</f>
        <v>0.92161348188864944</v>
      </c>
      <c r="H4" s="861">
        <v>1071</v>
      </c>
      <c r="I4" s="862">
        <f>(H4/$H$7)/$H$14</f>
        <v>0.78001643059820203</v>
      </c>
      <c r="J4" s="657">
        <f>H4/8</f>
        <v>133.875</v>
      </c>
      <c r="K4" s="657">
        <v>1008</v>
      </c>
      <c r="L4" s="663">
        <v>0.67706808027018239</v>
      </c>
      <c r="N4" s="657">
        <v>2030.4</v>
      </c>
      <c r="O4" s="663">
        <f>(N4/$N$7)/$N$14</f>
        <v>1.6319234577744628</v>
      </c>
      <c r="Q4" s="861">
        <v>1610.75</v>
      </c>
      <c r="R4" s="862">
        <f>(Q4/$Q$7)/$Q$14</f>
        <v>1.1953440394205652</v>
      </c>
      <c r="T4" s="657">
        <v>1560</v>
      </c>
      <c r="U4" s="663">
        <f>(T4/$T$7)/$T$14</f>
        <v>1.2147564880455501</v>
      </c>
    </row>
    <row r="5" spans="1:21" x14ac:dyDescent="0.2">
      <c r="A5" s="662" t="s">
        <v>392</v>
      </c>
      <c r="B5" s="790">
        <v>291</v>
      </c>
      <c r="C5" s="663">
        <f>(B5/$B$7)/$B$14</f>
        <v>0.24011287780647397</v>
      </c>
      <c r="E5" s="657">
        <f>27.875*8</f>
        <v>223</v>
      </c>
      <c r="F5" s="663">
        <f>(E5/$B$7)/$E$14</f>
        <v>0.16167352328220905</v>
      </c>
      <c r="H5" s="861">
        <v>245</v>
      </c>
      <c r="I5" s="862">
        <f>(H5/$B$7)/$H$14</f>
        <v>0.16764295070661636</v>
      </c>
      <c r="J5" s="657">
        <f>H5/8</f>
        <v>30.625</v>
      </c>
      <c r="K5" s="657">
        <v>230.4</v>
      </c>
      <c r="L5" s="663">
        <v>0.16412027010031358</v>
      </c>
      <c r="N5" s="657">
        <v>246.4</v>
      </c>
      <c r="O5" s="663">
        <f>(N5/$N$7)/$N$14</f>
        <v>0.19804272064402459</v>
      </c>
      <c r="Q5" s="861">
        <v>697</v>
      </c>
      <c r="R5" s="862">
        <f>(Q5/$Q$7)/$Q$14</f>
        <v>0.51724649726905725</v>
      </c>
      <c r="T5" s="657">
        <v>220</v>
      </c>
      <c r="U5" s="663">
        <f>(T5/$T$7)/$T$14</f>
        <v>0.17131181241668014</v>
      </c>
    </row>
    <row r="6" spans="1:21" ht="11.25" customHeight="1" x14ac:dyDescent="0.2">
      <c r="A6" s="662" t="s">
        <v>393</v>
      </c>
      <c r="B6" s="790">
        <v>179</v>
      </c>
      <c r="C6" s="663">
        <f>(B6/$B$7)/$B$14</f>
        <v>0.1476982994067314</v>
      </c>
      <c r="E6" s="657">
        <f>15.875*8</f>
        <v>127</v>
      </c>
      <c r="F6" s="663">
        <f>(E6/$B$7)/$E$14</f>
        <v>9.2074158999284964E-2</v>
      </c>
      <c r="H6" s="861">
        <v>136</v>
      </c>
      <c r="I6" s="862">
        <f>(H6/$B$7)/$H$14</f>
        <v>9.3058944065713564E-2</v>
      </c>
      <c r="J6" s="657">
        <f>H6/8</f>
        <v>17</v>
      </c>
      <c r="K6" s="657">
        <v>128</v>
      </c>
      <c r="L6" s="663">
        <v>9.1177927833507547E-2</v>
      </c>
      <c r="N6" s="657">
        <v>128</v>
      </c>
      <c r="O6" s="663">
        <f>(N6/$N$7)/$N$14</f>
        <v>0.1028793353994933</v>
      </c>
      <c r="Q6" s="861">
        <v>136</v>
      </c>
      <c r="R6" s="862">
        <f>(Q6/$Q$7)/$Q$14</f>
        <v>0.10092614580859653</v>
      </c>
      <c r="T6" s="657">
        <v>128</v>
      </c>
      <c r="U6" s="663">
        <f>(T6/$T$7)/$T$14</f>
        <v>9.9672327224250262E-2</v>
      </c>
    </row>
    <row r="7" spans="1:21" x14ac:dyDescent="0.2">
      <c r="A7" s="664" t="s">
        <v>15</v>
      </c>
      <c r="B7" s="665">
        <f>SUM(B3:B6)</f>
        <v>2695</v>
      </c>
      <c r="C7" s="665"/>
      <c r="D7" s="665"/>
      <c r="E7" s="665">
        <f>SUM(E3:E6)</f>
        <v>2137</v>
      </c>
      <c r="F7" s="665"/>
      <c r="G7" s="665"/>
      <c r="H7" s="863">
        <f>SUM(H3:H6)</f>
        <v>2532</v>
      </c>
      <c r="I7" s="863"/>
      <c r="J7" s="665"/>
      <c r="K7" s="665">
        <f>SUM(K3:K6)</f>
        <v>2622.6</v>
      </c>
      <c r="N7" s="665">
        <f>SUM(N3:N6)</f>
        <v>2940.0000000000005</v>
      </c>
      <c r="Q7" s="863">
        <f>SUM(Q3:Q6)</f>
        <v>3012.75</v>
      </c>
      <c r="R7" s="864"/>
      <c r="T7" s="665">
        <f>SUM(T3:T6)</f>
        <v>2690.4</v>
      </c>
      <c r="U7" s="665"/>
    </row>
    <row r="8" spans="1:21" x14ac:dyDescent="0.2">
      <c r="A8" s="664" t="s">
        <v>625</v>
      </c>
      <c r="E8" s="657">
        <v>850</v>
      </c>
      <c r="H8" s="864">
        <v>2664</v>
      </c>
      <c r="I8" s="864"/>
      <c r="K8" s="657">
        <v>5203</v>
      </c>
      <c r="N8" s="657">
        <v>2522</v>
      </c>
      <c r="Q8" s="864">
        <v>2366</v>
      </c>
      <c r="R8" s="864"/>
      <c r="T8" s="657">
        <v>2017</v>
      </c>
    </row>
    <row r="9" spans="1:21" x14ac:dyDescent="0.2">
      <c r="A9" s="662" t="s">
        <v>626</v>
      </c>
      <c r="B9" s="666"/>
      <c r="E9" s="657">
        <v>0</v>
      </c>
      <c r="H9" s="864">
        <v>1764</v>
      </c>
      <c r="I9" s="864"/>
      <c r="K9" s="657">
        <v>4303</v>
      </c>
      <c r="N9" s="657">
        <v>2522</v>
      </c>
      <c r="O9" s="667"/>
      <c r="Q9" s="864">
        <v>2366</v>
      </c>
      <c r="R9" s="864"/>
      <c r="T9" s="657">
        <v>2017</v>
      </c>
    </row>
    <row r="10" spans="1:21" x14ac:dyDescent="0.2">
      <c r="A10" s="662"/>
      <c r="B10" s="666"/>
      <c r="E10" s="657">
        <v>244</v>
      </c>
      <c r="H10" s="864">
        <v>545</v>
      </c>
      <c r="I10" s="864"/>
      <c r="K10" s="657">
        <v>721.2</v>
      </c>
      <c r="N10" s="657">
        <v>0.20000000000004547</v>
      </c>
      <c r="O10" s="667"/>
      <c r="Q10" s="864">
        <v>34</v>
      </c>
      <c r="R10" s="864"/>
      <c r="T10" s="657">
        <v>247.39999999999998</v>
      </c>
    </row>
    <row r="11" spans="1:21" x14ac:dyDescent="0.2">
      <c r="B11" s="668" t="s">
        <v>627</v>
      </c>
      <c r="H11" s="668" t="s">
        <v>628</v>
      </c>
      <c r="L11" s="667"/>
      <c r="N11" s="668" t="s">
        <v>629</v>
      </c>
      <c r="Q11" s="668" t="s">
        <v>630</v>
      </c>
      <c r="T11" s="668" t="s">
        <v>631</v>
      </c>
    </row>
    <row r="13" spans="1:21" x14ac:dyDescent="0.2">
      <c r="A13" s="669" t="s">
        <v>632</v>
      </c>
      <c r="B13" s="670" t="s">
        <v>633</v>
      </c>
      <c r="C13" s="671" t="s">
        <v>624</v>
      </c>
      <c r="D13" s="672"/>
      <c r="E13" s="670" t="s">
        <v>633</v>
      </c>
      <c r="F13" s="671" t="s">
        <v>624</v>
      </c>
      <c r="G13" s="672"/>
      <c r="H13" s="670" t="s">
        <v>633</v>
      </c>
      <c r="I13" s="671" t="s">
        <v>624</v>
      </c>
      <c r="J13" s="672"/>
      <c r="K13" s="670" t="s">
        <v>633</v>
      </c>
      <c r="L13" s="671" t="s">
        <v>624</v>
      </c>
      <c r="N13" s="670" t="s">
        <v>633</v>
      </c>
      <c r="O13" s="671" t="s">
        <v>624</v>
      </c>
      <c r="Q13" s="670" t="s">
        <v>633</v>
      </c>
      <c r="R13" s="671" t="s">
        <v>624</v>
      </c>
      <c r="T13" s="670" t="s">
        <v>633</v>
      </c>
      <c r="U13" s="671" t="s">
        <v>624</v>
      </c>
    </row>
    <row r="14" spans="1:21" x14ac:dyDescent="0.2">
      <c r="A14" s="662" t="s">
        <v>11</v>
      </c>
      <c r="B14" s="673">
        <f>(($B$3*Datasheet!B20)+('Feedstock Mix (Input)'!$B$4*Datasheet!E20)+('Feedstock Mix (Input)'!$B$5*Datasheet!C20)+('Feedstock Mix (Input)'!$B$6*Datasheet!D20))/'Feedstock Mix (Input)'!$B$7</f>
        <v>0.44969573283858999</v>
      </c>
      <c r="C14" s="673">
        <f>B14/B14</f>
        <v>1</v>
      </c>
      <c r="E14" s="673">
        <f>(($E$3*Datasheet!H20)+('Feedstock Mix (Input)'!$E$4*Datasheet!K20)+('Feedstock Mix (Input)'!$E$5*Datasheet!I20)+('Feedstock Mix (Input)'!$E$6*Datasheet!J20))/'Feedstock Mix (Input)'!$E$7</f>
        <v>0.51180814225549831</v>
      </c>
      <c r="F14" s="673">
        <f>E14/$E$14</f>
        <v>1</v>
      </c>
      <c r="H14" s="673">
        <f>(($H$3*Datasheet!H20)+('Feedstock Mix (Input)'!$H$4*Datasheet!K20)+('Feedstock Mix (Input)'!$H$5*Datasheet!I20)+('Feedstock Mix (Input)'!$H$6*Datasheet!J20))/'Feedstock Mix (Input)'!$H$7</f>
        <v>0.54227804107424959</v>
      </c>
      <c r="I14" s="673">
        <f>H14/$H$14</f>
        <v>1</v>
      </c>
      <c r="J14" s="673"/>
      <c r="K14" s="673">
        <f>(($K$3*Datasheet!H20)+('Feedstock Mix (Input)'!$K$4*Datasheet!K20)+('Feedstock Mix (Input)'!$K$5*Datasheet!I20)+('Feedstock Mix (Input)'!$K$6*Datasheet!J20))/'Feedstock Mix (Input)'!$K$7</f>
        <v>0.56767025089605738</v>
      </c>
      <c r="L14" s="673">
        <f>K14/$K$14</f>
        <v>1</v>
      </c>
      <c r="N14" s="673">
        <f>(($N$3*Datasheet!B20)+('Feedstock Mix (Input)'!$N$4*Datasheet!E20)+('Feedstock Mix (Input)'!$N$5*Datasheet!C20)+('Feedstock Mix (Input)'!$N$6*Datasheet!D20))/'Feedstock Mix (Input)'!$N$7</f>
        <v>0.4231891156462585</v>
      </c>
      <c r="O14" s="673">
        <f>N14/$N$14</f>
        <v>1</v>
      </c>
      <c r="Q14" s="673">
        <f>(($Q$3*Datasheet!B20)+('Feedstock Mix (Input)'!$Q$4*Datasheet!E20)+('Feedstock Mix (Input)'!$Q$5*Datasheet!C20)+('Feedstock Mix (Input)'!$Q$6*Datasheet!D20))/'Feedstock Mix (Input)'!$Q$7</f>
        <v>0.44727242552485269</v>
      </c>
      <c r="R14" s="673">
        <f>Q14/$Q$14</f>
        <v>1</v>
      </c>
      <c r="T14" s="673">
        <f>(($T$3*Datasheet!B20)+('Feedstock Mix (Input)'!$T$4*Datasheet!E20)+('Feedstock Mix (Input)'!$T$5*Datasheet!C20)+('Feedstock Mix (Input)'!$T$6*Datasheet!D20))/'Feedstock Mix (Input)'!$T$7</f>
        <v>0.47732976509069286</v>
      </c>
      <c r="U14" s="673">
        <f>T14/$T$14</f>
        <v>1</v>
      </c>
    </row>
    <row r="15" spans="1:21" x14ac:dyDescent="0.2">
      <c r="A15" s="662" t="s">
        <v>126</v>
      </c>
      <c r="B15" s="673">
        <f>(($B$3*Datasheet!B21)+('Feedstock Mix (Input)'!$B$4*Datasheet!E21)+('Feedstock Mix (Input)'!$B$5*Datasheet!C21)+('Feedstock Mix (Input)'!$B$6*Datasheet!D21))/'Feedstock Mix (Input)'!$B$7</f>
        <v>0.15950389610389609</v>
      </c>
      <c r="C15" s="673">
        <f t="shared" ref="C15:C24" si="0">B15/$B$14</f>
        <v>0.3546929278093619</v>
      </c>
      <c r="E15" s="673">
        <f>(($E$3*Datasheet!H21)+('Feedstock Mix (Input)'!$E$4*Datasheet!K21)+('Feedstock Mix (Input)'!$E$5*Datasheet!I21)+('Feedstock Mix (Input)'!$E$6*Datasheet!J21))/'Feedstock Mix (Input)'!$E$7</f>
        <v>0.14861113710809545</v>
      </c>
      <c r="F15" s="673">
        <f t="shared" ref="F15:F24" si="1">E15/$E$14</f>
        <v>0.29036493333845342</v>
      </c>
      <c r="H15" s="673">
        <f>(($H$3*Datasheet!H21)+('Feedstock Mix (Input)'!$H$4*Datasheet!K21)+('Feedstock Mix (Input)'!$H$5*Datasheet!I21)+('Feedstock Mix (Input)'!$H$6*Datasheet!J21))/'Feedstock Mix (Input)'!$H$7</f>
        <v>0.13512796208530806</v>
      </c>
      <c r="I15" s="673">
        <f t="shared" ref="I15:I24" si="2">H15/$H$14</f>
        <v>0.24918575315648106</v>
      </c>
      <c r="J15" s="673"/>
      <c r="K15" s="673">
        <f>(($K$3*Datasheet!H21)+('Feedstock Mix (Input)'!$K$4*Datasheet!K21)+('Feedstock Mix (Input)'!$K$5*Datasheet!I21)+('Feedstock Mix (Input)'!$K$6*Datasheet!J21))/'Feedstock Mix (Input)'!$K$7</f>
        <v>0.12368260504842524</v>
      </c>
      <c r="L15" s="673">
        <f t="shared" ref="L15:L24" si="3">K15/$K$14</f>
        <v>0.21787755277503876</v>
      </c>
      <c r="N15" s="673">
        <f>(($N$3*Datasheet!B21)+('Feedstock Mix (Input)'!$N$4*Datasheet!E21)+('Feedstock Mix (Input)'!$N$5*Datasheet!C21)+('Feedstock Mix (Input)'!$N$6*Datasheet!D21))/'Feedstock Mix (Input)'!$N$7</f>
        <v>0.16567183673469385</v>
      </c>
      <c r="O15" s="673">
        <f t="shared" ref="O15:O24" si="4">N15/$N$14</f>
        <v>0.39148416301230687</v>
      </c>
      <c r="Q15" s="673">
        <f>(($Q$3*Datasheet!B21)+('Feedstock Mix (Input)'!$Q$4*Datasheet!E21)+('Feedstock Mix (Input)'!$Q$5*Datasheet!C21)+('Feedstock Mix (Input)'!$Q$6*Datasheet!D21))/'Feedstock Mix (Input)'!$Q$7</f>
        <v>0.17143299311260474</v>
      </c>
      <c r="R15" s="673">
        <f t="shared" ref="R15:R24" si="5">Q15/$Q$14</f>
        <v>0.38328540578247444</v>
      </c>
      <c r="T15" s="673">
        <f>(($T$3*Datasheet!B21)+('Feedstock Mix (Input)'!$T$4*Datasheet!E21)+('Feedstock Mix (Input)'!$T$5*Datasheet!C21)+('Feedstock Mix (Input)'!$T$6*Datasheet!D21))/'Feedstock Mix (Input)'!$T$7</f>
        <v>0.1458608385370205</v>
      </c>
      <c r="U15" s="673">
        <f t="shared" ref="U15:U24" si="6">T15/$T$14</f>
        <v>0.30557666670819678</v>
      </c>
    </row>
    <row r="16" spans="1:21" x14ac:dyDescent="0.2">
      <c r="A16" s="662" t="s">
        <v>119</v>
      </c>
      <c r="B16" s="673">
        <f>(($B$3*Datasheet!B22)+('Feedstock Mix (Input)'!$B$4*Datasheet!E22)+('Feedstock Mix (Input)'!$B$5*Datasheet!C22)+('Feedstock Mix (Input)'!$B$6*Datasheet!D22))/'Feedstock Mix (Input)'!$B$7</f>
        <v>2.3673914656771794E-2</v>
      </c>
      <c r="C16" s="673">
        <f t="shared" si="0"/>
        <v>5.264429463747905E-2</v>
      </c>
      <c r="E16" s="673">
        <f>(($E$3*Datasheet!H22)+('Feedstock Mix (Input)'!$E$4*Datasheet!K22)+('Feedstock Mix (Input)'!$E$5*Datasheet!I22)+('Feedstock Mix (Input)'!$E$6*Datasheet!J22))/'Feedstock Mix (Input)'!$E$7</f>
        <v>1.9746467009826862E-2</v>
      </c>
      <c r="F16" s="673">
        <f t="shared" si="1"/>
        <v>3.8581775824834928E-2</v>
      </c>
      <c r="H16" s="673">
        <f>(($H$3*Datasheet!H22)+('Feedstock Mix (Input)'!$H$4*Datasheet!K22)+('Feedstock Mix (Input)'!$H$5*Datasheet!I22)+('Feedstock Mix (Input)'!$H$6*Datasheet!J22))/'Feedstock Mix (Input)'!$H$7</f>
        <v>1.792298578199052E-2</v>
      </c>
      <c r="I16" s="673">
        <f t="shared" si="2"/>
        <v>3.305128444162185E-2</v>
      </c>
      <c r="J16" s="673"/>
      <c r="K16" s="673">
        <f>(($K$3*Datasheet!H22)+('Feedstock Mix (Input)'!$K$4*Datasheet!K22)+('Feedstock Mix (Input)'!$K$5*Datasheet!I22)+('Feedstock Mix (Input)'!$K$6*Datasheet!J22))/'Feedstock Mix (Input)'!$K$7</f>
        <v>1.6449767406390606E-2</v>
      </c>
      <c r="L16" s="673">
        <f t="shared" si="3"/>
        <v>2.8977680934353951E-2</v>
      </c>
      <c r="N16" s="673">
        <f>(($N$3*Datasheet!B22)+('Feedstock Mix (Input)'!$N$4*Datasheet!E22)+('Feedstock Mix (Input)'!$N$5*Datasheet!C22)+('Feedstock Mix (Input)'!$N$6*Datasheet!D22))/'Feedstock Mix (Input)'!$N$7</f>
        <v>2.6463183673469379E-2</v>
      </c>
      <c r="O16" s="673">
        <f t="shared" si="4"/>
        <v>6.2532760638366255E-2</v>
      </c>
      <c r="Q16" s="673">
        <f>(($Q$3*Datasheet!B22)+('Feedstock Mix (Input)'!$Q$4*Datasheet!E22)+('Feedstock Mix (Input)'!$Q$5*Datasheet!C22)+('Feedstock Mix (Input)'!$Q$6*Datasheet!D22))/'Feedstock Mix (Input)'!$Q$7</f>
        <v>2.2352070367604348E-2</v>
      </c>
      <c r="R16" s="673">
        <f t="shared" si="5"/>
        <v>4.9974174780337215E-2</v>
      </c>
      <c r="T16" s="673">
        <f>(($T$3*Datasheet!B22)+('Feedstock Mix (Input)'!$T$4*Datasheet!E22)+('Feedstock Mix (Input)'!$T$5*Datasheet!C22)+('Feedstock Mix (Input)'!$T$6*Datasheet!D22))/'Feedstock Mix (Input)'!$T$7</f>
        <v>2.2691168599464764E-2</v>
      </c>
      <c r="U16" s="673">
        <f t="shared" si="6"/>
        <v>4.7537719746333924E-2</v>
      </c>
    </row>
    <row r="17" spans="1:21" x14ac:dyDescent="0.2">
      <c r="A17" s="662" t="s">
        <v>179</v>
      </c>
      <c r="B17" s="673">
        <f>(($B$3*Datasheet!B23)+('Feedstock Mix (Input)'!$B$4*Datasheet!E23)+('Feedstock Mix (Input)'!$B$5*Datasheet!C23)+('Feedstock Mix (Input)'!$B$6*Datasheet!D23))/'Feedstock Mix (Input)'!$B$7</f>
        <v>5.2266478664192949E-2</v>
      </c>
      <c r="C17" s="673">
        <f t="shared" si="0"/>
        <v>0.11622631670145965</v>
      </c>
      <c r="E17" s="673">
        <f>(($E$3*Datasheet!H23)+('Feedstock Mix (Input)'!$E$4*Datasheet!K23)+('Feedstock Mix (Input)'!$E$5*Datasheet!I23)+('Feedstock Mix (Input)'!$E$6*Datasheet!J23))/'Feedstock Mix (Input)'!$E$7</f>
        <v>4.3039466541881143E-2</v>
      </c>
      <c r="F17" s="673">
        <f t="shared" si="1"/>
        <v>8.4092969588583699E-2</v>
      </c>
      <c r="H17" s="673">
        <f>(($H$3*Datasheet!H23)+('Feedstock Mix (Input)'!$H$4*Datasheet!K23)+('Feedstock Mix (Input)'!$H$5*Datasheet!I23)+('Feedstock Mix (Input)'!$H$6*Datasheet!J23))/'Feedstock Mix (Input)'!$H$7</f>
        <v>3.8885260663507115E-2</v>
      </c>
      <c r="I17" s="673">
        <f t="shared" si="2"/>
        <v>7.1707238202888768E-2</v>
      </c>
      <c r="J17" s="673"/>
      <c r="K17" s="673">
        <f>(($K$3*Datasheet!H23)+('Feedstock Mix (Input)'!$K$4*Datasheet!K23)+('Feedstock Mix (Input)'!$K$5*Datasheet!I23)+('Feedstock Mix (Input)'!$K$6*Datasheet!J23))/'Feedstock Mix (Input)'!$K$7</f>
        <v>3.5580103713871734E-2</v>
      </c>
      <c r="L17" s="673">
        <f t="shared" si="3"/>
        <v>6.2677414674644605E-2</v>
      </c>
      <c r="N17" s="673">
        <f>(($N$3*Datasheet!B23)+('Feedstock Mix (Input)'!$N$4*Datasheet!E23)+('Feedstock Mix (Input)'!$N$5*Datasheet!C23)+('Feedstock Mix (Input)'!$N$6*Datasheet!D23))/'Feedstock Mix (Input)'!$N$7</f>
        <v>5.9167444897959158E-2</v>
      </c>
      <c r="O17" s="673">
        <f t="shared" si="4"/>
        <v>0.139813248286416</v>
      </c>
      <c r="Q17" s="673">
        <f>(($Q$3*Datasheet!B23)+('Feedstock Mix (Input)'!$Q$4*Datasheet!E23)+('Feedstock Mix (Input)'!$Q$5*Datasheet!C23)+('Feedstock Mix (Input)'!$Q$6*Datasheet!D23))/'Feedstock Mix (Input)'!$Q$7</f>
        <v>4.7020184217077404E-2</v>
      </c>
      <c r="R17" s="673">
        <f t="shared" si="5"/>
        <v>0.10512649905010683</v>
      </c>
      <c r="T17" s="673">
        <f>(($T$3*Datasheet!B23)+('Feedstock Mix (Input)'!$T$4*Datasheet!E23)+('Feedstock Mix (Input)'!$T$5*Datasheet!C23)+('Feedstock Mix (Input)'!$T$6*Datasheet!D23))/'Feedstock Mix (Input)'!$T$7</f>
        <v>5.0430187332738616E-2</v>
      </c>
      <c r="U17" s="673">
        <f>T17/$T$14</f>
        <v>0.10565062357499717</v>
      </c>
    </row>
    <row r="18" spans="1:21" x14ac:dyDescent="0.2">
      <c r="A18" s="662" t="s">
        <v>117</v>
      </c>
      <c r="B18" s="673">
        <f>(($B$3*Datasheet!B24)+('Feedstock Mix (Input)'!$B$4*Datasheet!E24)+('Feedstock Mix (Input)'!$B$5*Datasheet!C24)+('Feedstock Mix (Input)'!$B$6*Datasheet!D24))/'Feedstock Mix (Input)'!$B$7</f>
        <v>4.6124359554730987E-2</v>
      </c>
      <c r="C18" s="673">
        <f t="shared" si="0"/>
        <v>0.10256792801564447</v>
      </c>
      <c r="E18" s="673">
        <f>(($E$3*Datasheet!H24)+('Feedstock Mix (Input)'!$E$4*Datasheet!K24)+('Feedstock Mix (Input)'!$E$5*Datasheet!I24)+('Feedstock Mix (Input)'!$E$6*Datasheet!J24))/'Feedstock Mix (Input)'!$E$7</f>
        <v>4.4511839026672911E-2</v>
      </c>
      <c r="F18" s="673">
        <f t="shared" si="1"/>
        <v>8.6969775100710064E-2</v>
      </c>
      <c r="H18" s="673">
        <f>(($H$3*Datasheet!H24)+('Feedstock Mix (Input)'!$H$4*Datasheet!K24)+('Feedstock Mix (Input)'!$H$5*Datasheet!I24)+('Feedstock Mix (Input)'!$H$6*Datasheet!J24))/'Feedstock Mix (Input)'!$H$7</f>
        <v>4.1307898894154829E-2</v>
      </c>
      <c r="I18" s="673">
        <f t="shared" si="2"/>
        <v>7.6174758639173598E-2</v>
      </c>
      <c r="J18" s="673"/>
      <c r="K18" s="673">
        <f>(($K$3*Datasheet!H24)+('Feedstock Mix (Input)'!$K$4*Datasheet!K24)+('Feedstock Mix (Input)'!$K$5*Datasheet!I24)+('Feedstock Mix (Input)'!$K$6*Datasheet!J24))/'Feedstock Mix (Input)'!$K$7</f>
        <v>3.8722260352322131E-2</v>
      </c>
      <c r="L18" s="673">
        <f t="shared" si="3"/>
        <v>6.8212594003648652E-2</v>
      </c>
      <c r="N18" s="673">
        <f>(($N$3*Datasheet!B24)+('Feedstock Mix (Input)'!$N$4*Datasheet!E24)+('Feedstock Mix (Input)'!$N$5*Datasheet!C24)+('Feedstock Mix (Input)'!$N$6*Datasheet!D24))/'Feedstock Mix (Input)'!$N$7</f>
        <v>4.7270097823129249E-2</v>
      </c>
      <c r="O18" s="673">
        <f t="shared" si="4"/>
        <v>0.11169970132842942</v>
      </c>
      <c r="Q18" s="673">
        <f>(($Q$3*Datasheet!B24)+('Feedstock Mix (Input)'!$Q$4*Datasheet!E24)+('Feedstock Mix (Input)'!$Q$5*Datasheet!C24)+('Feedstock Mix (Input)'!$Q$6*Datasheet!D24))/'Feedstock Mix (Input)'!$Q$7</f>
        <v>4.1174129698780183E-2</v>
      </c>
      <c r="R18" s="673">
        <f t="shared" si="5"/>
        <v>9.2056043138506294E-2</v>
      </c>
      <c r="T18" s="673">
        <f>(($T$3*Datasheet!B24)+('Feedstock Mix (Input)'!$T$4*Datasheet!E24)+('Feedstock Mix (Input)'!$T$5*Datasheet!C24)+('Feedstock Mix (Input)'!$T$6*Datasheet!D24))/'Feedstock Mix (Input)'!$T$7</f>
        <v>4.3165845970859346E-2</v>
      </c>
      <c r="U18" s="673">
        <f t="shared" si="6"/>
        <v>9.0431917570985371E-2</v>
      </c>
    </row>
    <row r="19" spans="1:21" x14ac:dyDescent="0.2">
      <c r="A19" s="662" t="s">
        <v>118</v>
      </c>
      <c r="B19" s="673">
        <f>(($B$3*Datasheet!B25)+('Feedstock Mix (Input)'!$B$4*Datasheet!E25)+('Feedstock Mix (Input)'!$B$5*Datasheet!C25)+('Feedstock Mix (Input)'!$B$6*Datasheet!D25))/'Feedstock Mix (Input)'!$B$7</f>
        <v>5.8799788497217079E-2</v>
      </c>
      <c r="C19" s="673">
        <f t="shared" si="0"/>
        <v>0.13075460628914212</v>
      </c>
      <c r="E19" s="673">
        <f>(($E$3*Datasheet!H25)+('Feedstock Mix (Input)'!$E$4*Datasheet!K25)+('Feedstock Mix (Input)'!$E$5*Datasheet!I25)+('Feedstock Mix (Input)'!$E$6*Datasheet!J25))/'Feedstock Mix (Input)'!$E$7</f>
        <v>5.1647359850257375E-2</v>
      </c>
      <c r="F19" s="673">
        <f t="shared" si="1"/>
        <v>0.10091156350630046</v>
      </c>
      <c r="H19" s="673">
        <f>(($H$3*Datasheet!H25)+('Feedstock Mix (Input)'!$H$4*Datasheet!K25)+('Feedstock Mix (Input)'!$H$5*Datasheet!I25)+('Feedstock Mix (Input)'!$H$6*Datasheet!J25))/'Feedstock Mix (Input)'!$H$7</f>
        <v>4.6662312796208534E-2</v>
      </c>
      <c r="I19" s="673">
        <f t="shared" si="2"/>
        <v>8.6048685843466519E-2</v>
      </c>
      <c r="J19" s="673"/>
      <c r="K19" s="673">
        <f>(($K$3*Datasheet!H25)+('Feedstock Mix (Input)'!$K$4*Datasheet!K25)+('Feedstock Mix (Input)'!$K$5*Datasheet!I25)+('Feedstock Mix (Input)'!$K$6*Datasheet!J25))/'Feedstock Mix (Input)'!$K$7</f>
        <v>4.2696124456646077E-2</v>
      </c>
      <c r="L19" s="673">
        <f t="shared" si="3"/>
        <v>7.5212897609573517E-2</v>
      </c>
      <c r="N19" s="673">
        <f>(($N$3*Datasheet!B25)+('Feedstock Mix (Input)'!$N$4*Datasheet!E25)+('Feedstock Mix (Input)'!$N$5*Datasheet!C25)+('Feedstock Mix (Input)'!$N$6*Datasheet!D25))/'Feedstock Mix (Input)'!$N$7</f>
        <v>6.6563375510204068E-2</v>
      </c>
      <c r="O19" s="673">
        <f t="shared" si="4"/>
        <v>0.15728990432221804</v>
      </c>
      <c r="Q19" s="673">
        <f>(($Q$3*Datasheet!B25)+('Feedstock Mix (Input)'!$Q$4*Datasheet!E25)+('Feedstock Mix (Input)'!$Q$5*Datasheet!C25)+('Feedstock Mix (Input)'!$Q$6*Datasheet!D25))/'Feedstock Mix (Input)'!$Q$7</f>
        <v>5.2897707244212104E-2</v>
      </c>
      <c r="R19" s="673">
        <f t="shared" si="5"/>
        <v>0.11826731143137025</v>
      </c>
      <c r="T19" s="673">
        <f>(($T$3*Datasheet!B25)+('Feedstock Mix (Input)'!$T$4*Datasheet!E25)+('Feedstock Mix (Input)'!$T$5*Datasheet!C25)+('Feedstock Mix (Input)'!$T$6*Datasheet!D25))/'Feedstock Mix (Input)'!$T$7</f>
        <v>5.6733960749330938E-2</v>
      </c>
      <c r="U19" s="673">
        <f t="shared" si="6"/>
        <v>0.1188569515218718</v>
      </c>
    </row>
    <row r="20" spans="1:21" x14ac:dyDescent="0.2">
      <c r="A20" s="662" t="s">
        <v>395</v>
      </c>
      <c r="B20" s="673">
        <f>(($B$3*Datasheet!B26)+('Feedstock Mix (Input)'!$B$4*Datasheet!E26)+('Feedstock Mix (Input)'!$B$5*Datasheet!C26)+('Feedstock Mix (Input)'!$B$6*Datasheet!D26))/'Feedstock Mix (Input)'!$B$7</f>
        <v>2.3536548423005565E-2</v>
      </c>
      <c r="C20" s="673">
        <f t="shared" si="0"/>
        <v>5.2338829800401013E-2</v>
      </c>
      <c r="E20" s="673">
        <f>(($E$3*Datasheet!H26)+('Feedstock Mix (Input)'!$E$4*Datasheet!K26)+('Feedstock Mix (Input)'!$E$5*Datasheet!I26)+('Feedstock Mix (Input)'!$E$6*Datasheet!J26))/'Feedstock Mix (Input)'!$E$7</f>
        <v>3.1726987552643887E-2</v>
      </c>
      <c r="F20" s="673">
        <f t="shared" si="1"/>
        <v>6.199000159088041E-2</v>
      </c>
      <c r="H20" s="673">
        <f>(($H$3*Datasheet!H26)+('Feedstock Mix (Input)'!$H$4*Datasheet!K26)+('Feedstock Mix (Input)'!$H$5*Datasheet!I26)+('Feedstock Mix (Input)'!$H$6*Datasheet!J26))/'Feedstock Mix (Input)'!$H$7</f>
        <v>3.4588362085308057E-2</v>
      </c>
      <c r="I20" s="673">
        <f t="shared" si="2"/>
        <v>6.3783445880988873E-2</v>
      </c>
      <c r="J20" s="673"/>
      <c r="K20" s="673">
        <f>(($K$3*Datasheet!H26)+('Feedstock Mix (Input)'!$K$4*Datasheet!K26)+('Feedstock Mix (Input)'!$K$5*Datasheet!I26)+('Feedstock Mix (Input)'!$K$6*Datasheet!J26))/'Feedstock Mix (Input)'!$K$7</f>
        <v>3.7008830626096237E-2</v>
      </c>
      <c r="L20" s="673">
        <f t="shared" si="3"/>
        <v>6.5194240085117122E-2</v>
      </c>
      <c r="N20" s="673">
        <f>(($N$3*Datasheet!B26)+('Feedstock Mix (Input)'!$N$4*Datasheet!E26)+('Feedstock Mix (Input)'!$N$5*Datasheet!C26)+('Feedstock Mix (Input)'!$N$6*Datasheet!D26))/'Feedstock Mix (Input)'!$N$7</f>
        <v>2.1033113469387753E-2</v>
      </c>
      <c r="O20" s="673">
        <f t="shared" si="4"/>
        <v>4.9701451884620822E-2</v>
      </c>
      <c r="Q20" s="673">
        <f>(($Q$3*Datasheet!B26)+('Feedstock Mix (Input)'!$Q$4*Datasheet!E26)+('Feedstock Mix (Input)'!$Q$5*Datasheet!C26)+('Feedstock Mix (Input)'!$Q$6*Datasheet!D26))/'Feedstock Mix (Input)'!$Q$7</f>
        <v>2.1811367355406192E-2</v>
      </c>
      <c r="R20" s="673">
        <f t="shared" si="5"/>
        <v>4.8765285116361919E-2</v>
      </c>
      <c r="T20" s="673">
        <f>(($T$3*Datasheet!B26)+('Feedstock Mix (Input)'!$T$4*Datasheet!E26)+('Feedstock Mix (Input)'!$T$5*Datasheet!C26)+('Feedstock Mix (Input)'!$T$6*Datasheet!D26))/'Feedstock Mix (Input)'!$T$7</f>
        <v>2.6450858162355043E-2</v>
      </c>
      <c r="U20" s="673">
        <f t="shared" si="6"/>
        <v>5.5414223241094906E-2</v>
      </c>
    </row>
    <row r="21" spans="1:21" x14ac:dyDescent="0.2">
      <c r="A21" s="662" t="s">
        <v>396</v>
      </c>
      <c r="B21" s="673">
        <f>(($B$3*Datasheet!B27)+('Feedstock Mix (Input)'!$B$4*Datasheet!E27)+('Feedstock Mix (Input)'!$B$5*Datasheet!C27)+('Feedstock Mix (Input)'!$B$6*Datasheet!D27))/'Feedstock Mix (Input)'!$B$7</f>
        <v>6.2957402597402592E-4</v>
      </c>
      <c r="C21" s="673">
        <f t="shared" si="0"/>
        <v>1.3999999999999998E-3</v>
      </c>
      <c r="E21" s="673">
        <f>(($E$3*Datasheet!H27)+('Feedstock Mix (Input)'!$E$4*Datasheet!K27)+('Feedstock Mix (Input)'!$E$5*Datasheet!I27)+('Feedstock Mix (Input)'!$E$6*Datasheet!J27))/'Feedstock Mix (Input)'!$E$7</f>
        <v>7.1653139915769763E-4</v>
      </c>
      <c r="F21" s="673">
        <f t="shared" si="1"/>
        <v>1.4E-3</v>
      </c>
      <c r="H21" s="673">
        <f>(($H$3*Datasheet!H27)+('Feedstock Mix (Input)'!$H$4*Datasheet!K27)+('Feedstock Mix (Input)'!$H$5*Datasheet!I27)+('Feedstock Mix (Input)'!$H$6*Datasheet!J27))/'Feedstock Mix (Input)'!$H$7</f>
        <v>7.5918925750394944E-4</v>
      </c>
      <c r="I21" s="673">
        <f t="shared" si="2"/>
        <v>1.4E-3</v>
      </c>
      <c r="J21" s="673"/>
      <c r="K21" s="673">
        <f>(($K$3*Datasheet!H27)+('Feedstock Mix (Input)'!$K$4*Datasheet!K27)+('Feedstock Mix (Input)'!$K$5*Datasheet!I27)+('Feedstock Mix (Input)'!$K$6*Datasheet!J27))/'Feedstock Mix (Input)'!$K$7</f>
        <v>7.9473835125448038E-4</v>
      </c>
      <c r="L21" s="673">
        <f t="shared" si="3"/>
        <v>1.4E-3</v>
      </c>
      <c r="N21" s="673">
        <f>(($N$3*Datasheet!B27)+('Feedstock Mix (Input)'!$N$4*Datasheet!E27)+('Feedstock Mix (Input)'!$N$5*Datasheet!C27)+('Feedstock Mix (Input)'!$N$6*Datasheet!D27))/'Feedstock Mix (Input)'!$N$7</f>
        <v>5.9246476190476184E-4</v>
      </c>
      <c r="O21" s="673">
        <f t="shared" si="4"/>
        <v>1.3999999999999998E-3</v>
      </c>
      <c r="Q21" s="673">
        <f>(($Q$3*Datasheet!B27)+('Feedstock Mix (Input)'!$Q$4*Datasheet!E27)+('Feedstock Mix (Input)'!$Q$5*Datasheet!C27)+('Feedstock Mix (Input)'!$Q$6*Datasheet!D27))/'Feedstock Mix (Input)'!$Q$7</f>
        <v>6.2618139573479374E-4</v>
      </c>
      <c r="R21" s="673">
        <f t="shared" si="5"/>
        <v>1.4E-3</v>
      </c>
      <c r="T21" s="673">
        <f>(($T$3*Datasheet!B27)+('Feedstock Mix (Input)'!$T$4*Datasheet!E27)+('Feedstock Mix (Input)'!$T$5*Datasheet!C27)+('Feedstock Mix (Input)'!$T$6*Datasheet!D27))/'Feedstock Mix (Input)'!$T$7</f>
        <v>6.6826167112696993E-4</v>
      </c>
      <c r="U21" s="673">
        <f t="shared" si="6"/>
        <v>1.3999999999999998E-3</v>
      </c>
    </row>
    <row r="22" spans="1:21" x14ac:dyDescent="0.2">
      <c r="A22" s="662" t="s">
        <v>120</v>
      </c>
      <c r="B22" s="673">
        <f>(($B$3*Datasheet!B28)+('Feedstock Mix (Input)'!$B$4*Datasheet!E28)+('Feedstock Mix (Input)'!$B$5*Datasheet!C28)+('Feedstock Mix (Input)'!$B$6*Datasheet!D28))/'Feedstock Mix (Input)'!$B$7</f>
        <v>1.7639936549165122E-2</v>
      </c>
      <c r="C22" s="673">
        <f t="shared" si="0"/>
        <v>3.9226381886742635E-2</v>
      </c>
      <c r="E22" s="673">
        <f>(($E$3*Datasheet!H28)+('Feedstock Mix (Input)'!$E$4*Datasheet!K28)+('Feedstock Mix (Input)'!$E$5*Datasheet!I28)+('Feedstock Mix (Input)'!$E$6*Datasheet!J28))/'Feedstock Mix (Input)'!$E$7</f>
        <v>9.2965247730463288E-3</v>
      </c>
      <c r="F22" s="673">
        <f t="shared" si="1"/>
        <v>1.8164081431134085E-2</v>
      </c>
      <c r="H22" s="673">
        <f>(($H$3*Datasheet!H28)+('Feedstock Mix (Input)'!$H$4*Datasheet!K28)+('Feedstock Mix (Input)'!$H$5*Datasheet!I28)+('Feedstock Mix (Input)'!$H$6*Datasheet!J28))/'Feedstock Mix (Input)'!$H$7</f>
        <v>8.3992163033175353E-3</v>
      </c>
      <c r="I22" s="673">
        <f t="shared" si="2"/>
        <v>1.5488763451823971E-2</v>
      </c>
      <c r="J22" s="673"/>
      <c r="K22" s="673">
        <f>(($K$3*Datasheet!H28)+('Feedstock Mix (Input)'!$K$4*Datasheet!K28)+('Feedstock Mix (Input)'!$K$5*Datasheet!I28)+('Feedstock Mix (Input)'!$K$6*Datasheet!J28))/'Feedstock Mix (Input)'!$K$7</f>
        <v>7.6853024021962943E-3</v>
      </c>
      <c r="L22" s="673">
        <f t="shared" si="3"/>
        <v>1.3538321569723235E-2</v>
      </c>
      <c r="N22" s="673">
        <f>(($N$3*Datasheet!B28)+('Feedstock Mix (Input)'!$N$4*Datasheet!E28)+('Feedstock Mix (Input)'!$N$5*Datasheet!C28)+('Feedstock Mix (Input)'!$N$6*Datasheet!D28))/'Feedstock Mix (Input)'!$N$7</f>
        <v>1.9969012653061221E-2</v>
      </c>
      <c r="O22" s="673">
        <f t="shared" si="4"/>
        <v>4.7186971296665416E-2</v>
      </c>
      <c r="Q22" s="673">
        <f>(($Q$3*Datasheet!B28)+('Feedstock Mix (Input)'!$Q$4*Datasheet!E28)+('Feedstock Mix (Input)'!$Q$5*Datasheet!C28)+('Feedstock Mix (Input)'!$Q$6*Datasheet!D28))/'Feedstock Mix (Input)'!$Q$7</f>
        <v>1.5869312173263629E-2</v>
      </c>
      <c r="R22" s="673">
        <f t="shared" si="5"/>
        <v>3.5480193429411069E-2</v>
      </c>
      <c r="T22" s="673">
        <f>(($T$3*Datasheet!B28)+('Feedstock Mix (Input)'!$T$4*Datasheet!E28)+('Feedstock Mix (Input)'!$T$5*Datasheet!C28)+('Feedstock Mix (Input)'!$T$6*Datasheet!D28))/'Feedstock Mix (Input)'!$T$7</f>
        <v>1.7020188224799285E-2</v>
      </c>
      <c r="U22" s="673">
        <f t="shared" si="6"/>
        <v>3.5657085456561551E-2</v>
      </c>
    </row>
    <row r="23" spans="1:21" x14ac:dyDescent="0.2">
      <c r="A23" s="662" t="s">
        <v>397</v>
      </c>
      <c r="B23" s="673">
        <f>(($B$3*Datasheet!B29)+('Feedstock Mix (Input)'!$B$4*Datasheet!E29)+('Feedstock Mix (Input)'!$B$5*Datasheet!C29)+('Feedstock Mix (Input)'!$B$6*Datasheet!D29))/'Feedstock Mix (Input)'!$B$7</f>
        <v>0.15178560296846011</v>
      </c>
      <c r="C23" s="673">
        <f t="shared" si="0"/>
        <v>0.33752956028813547</v>
      </c>
      <c r="E23" s="673">
        <f>(($E$3*Datasheet!H29)+('Feedstock Mix (Input)'!$E$4*Datasheet!K29)+('Feedstock Mix (Input)'!$E$5*Datasheet!I29)+('Feedstock Mix (Input)'!$E$6*Datasheet!J29))/'Feedstock Mix (Input)'!$E$7</f>
        <v>0.14407814693495555</v>
      </c>
      <c r="F23" s="673">
        <f t="shared" si="1"/>
        <v>0.2815081180616128</v>
      </c>
      <c r="H23" s="673">
        <f>(($H$3*Datasheet!H29)+('Feedstock Mix (Input)'!$H$4*Datasheet!K29)+('Feedstock Mix (Input)'!$H$5*Datasheet!I29)+('Feedstock Mix (Input)'!$H$6*Datasheet!J29))/'Feedstock Mix (Input)'!$H$7</f>
        <v>0.13600236966824641</v>
      </c>
      <c r="I23" s="673">
        <f t="shared" si="2"/>
        <v>0.25079822409704533</v>
      </c>
      <c r="J23" s="673"/>
      <c r="K23" s="673">
        <f>(($K$3*Datasheet!H29)+('Feedstock Mix (Input)'!$K$4*Datasheet!K29)+('Feedstock Mix (Input)'!$K$5*Datasheet!I29)+('Feedstock Mix (Input)'!$K$6*Datasheet!J29))/'Feedstock Mix (Input)'!$K$7</f>
        <v>0.12904903530847253</v>
      </c>
      <c r="L23" s="673">
        <f t="shared" si="3"/>
        <v>0.22733098150690639</v>
      </c>
      <c r="N23" s="673">
        <f>(($N$3*Datasheet!B29)+('Feedstock Mix (Input)'!$N$4*Datasheet!E29)+('Feedstock Mix (Input)'!$N$5*Datasheet!C29)+('Feedstock Mix (Input)'!$N$6*Datasheet!D29))/'Feedstock Mix (Input)'!$N$7</f>
        <v>0.15188832653061224</v>
      </c>
      <c r="O23" s="673">
        <f t="shared" si="4"/>
        <v>0.35891359421818136</v>
      </c>
      <c r="Q23" s="673">
        <f>(($Q$3*Datasheet!B29)+('Feedstock Mix (Input)'!$Q$4*Datasheet!E29)+('Feedstock Mix (Input)'!$Q$5*Datasheet!C29)+('Feedstock Mix (Input)'!$Q$6*Datasheet!D29))/'Feedstock Mix (Input)'!$Q$7</f>
        <v>0.16039014189693798</v>
      </c>
      <c r="R23" s="673">
        <f t="shared" si="5"/>
        <v>0.35859608762764184</v>
      </c>
      <c r="T23" s="673">
        <f>(($T$3*Datasheet!B29)+('Feedstock Mix (Input)'!$T$4*Datasheet!E29)+('Feedstock Mix (Input)'!$T$5*Datasheet!C29)+('Feedstock Mix (Input)'!$T$6*Datasheet!D29))/'Feedstock Mix (Input)'!$T$7</f>
        <v>0.14149866190900981</v>
      </c>
      <c r="U23" s="673">
        <f t="shared" si="6"/>
        <v>0.29643796020582336</v>
      </c>
    </row>
    <row r="24" spans="1:21" x14ac:dyDescent="0.2">
      <c r="A24" s="662" t="s">
        <v>634</v>
      </c>
      <c r="B24" s="673">
        <f>(($B$3*Datasheet!B30)+('Feedstock Mix (Input)'!$B$4*Datasheet!E30)+('Feedstock Mix (Input)'!$B$5*Datasheet!C30)+('Feedstock Mix (Input)'!$B$6*Datasheet!D30))/'Feedstock Mix (Input)'!$B$7</f>
        <v>1.6344167717996343E-2</v>
      </c>
      <c r="C24" s="673">
        <f t="shared" si="0"/>
        <v>3.6344947315439129E-2</v>
      </c>
      <c r="E24" s="673">
        <v>0</v>
      </c>
      <c r="F24" s="673">
        <f t="shared" si="1"/>
        <v>0</v>
      </c>
      <c r="H24" s="673">
        <v>0</v>
      </c>
      <c r="I24" s="673">
        <f t="shared" si="2"/>
        <v>0</v>
      </c>
      <c r="J24" s="673"/>
      <c r="K24" s="673">
        <v>0</v>
      </c>
      <c r="L24" s="673">
        <f t="shared" si="3"/>
        <v>0</v>
      </c>
      <c r="N24" s="673">
        <f>(($N$3*Datasheet!B30)+('Feedstock Mix (Input)'!$N$4*Datasheet!E30)+('Feedstock Mix (Input)'!$N$5*Datasheet!C30)+('Feedstock Mix (Input)'!$N$6*Datasheet!D30))/'Feedstock Mix (Input)'!$N$7</f>
        <v>1.8192028299319773E-2</v>
      </c>
      <c r="O24" s="673">
        <f t="shared" si="4"/>
        <v>4.29879399699079E-2</v>
      </c>
      <c r="Q24" s="673">
        <f>(($Q$3*Datasheet!B30)+('Feedstock Mix (Input)'!$Q$4*Datasheet!E30)+('Feedstock Mix (Input)'!$Q$5*Datasheet!C30)+('Feedstock Mix (Input)'!$Q$6*Datasheet!D30))/'Feedstock Mix (Input)'!$Q$7</f>
        <v>1.9153487013525899E-2</v>
      </c>
      <c r="R24" s="673">
        <f t="shared" si="5"/>
        <v>4.282286570885787E-2</v>
      </c>
      <c r="T24" s="673">
        <f>(($T$3*Datasheet!B30)+('Feedstock Mix (Input)'!$T$4*Datasheet!E30)+('Feedstock Mix (Input)'!$T$5*Datasheet!C30)+('Feedstock Mix (Input)'!$T$6*Datasheet!D30))/'Feedstock Mix (Input)'!$T$7</f>
        <v>1.8150263752601894E-2</v>
      </c>
      <c r="U24" s="673">
        <f t="shared" si="6"/>
        <v>3.8024579818845647E-2</v>
      </c>
    </row>
    <row r="25" spans="1:21" x14ac:dyDescent="0.2">
      <c r="D25" s="665"/>
      <c r="G25" s="665"/>
    </row>
    <row r="26" spans="1:21" x14ac:dyDescent="0.2">
      <c r="B26" s="673"/>
      <c r="C26" s="673"/>
      <c r="F26" s="673"/>
      <c r="K26" s="674"/>
    </row>
    <row r="27" spans="1:21" x14ac:dyDescent="0.2">
      <c r="B27" s="673"/>
      <c r="C27" s="673"/>
      <c r="K27" s="667"/>
    </row>
    <row r="28" spans="1:21" x14ac:dyDescent="0.2">
      <c r="B28" s="673"/>
      <c r="C28" s="673"/>
      <c r="D28" s="663"/>
      <c r="E28" s="663"/>
    </row>
    <row r="29" spans="1:21" x14ac:dyDescent="0.2">
      <c r="B29" s="673"/>
      <c r="C29" s="673"/>
      <c r="D29" s="663"/>
      <c r="E29" s="663"/>
    </row>
    <row r="30" spans="1:21" x14ac:dyDescent="0.2">
      <c r="B30" s="673"/>
      <c r="C30" s="673"/>
    </row>
    <row r="31" spans="1:21" x14ac:dyDescent="0.2">
      <c r="B31" s="673"/>
      <c r="C31" s="673"/>
    </row>
    <row r="32" spans="1:21" x14ac:dyDescent="0.2">
      <c r="B32" s="673"/>
      <c r="C32" s="673"/>
    </row>
    <row r="33" spans="2:3" x14ac:dyDescent="0.2">
      <c r="B33" s="673"/>
      <c r="C33" s="673"/>
    </row>
    <row r="34" spans="2:3" x14ac:dyDescent="0.2">
      <c r="B34" s="673"/>
      <c r="C34" s="673"/>
    </row>
    <row r="35" spans="2:3" x14ac:dyDescent="0.2">
      <c r="B35" s="673"/>
      <c r="C35" s="673"/>
    </row>
    <row r="36" spans="2:3" x14ac:dyDescent="0.2">
      <c r="B36" s="673"/>
      <c r="C36" s="673"/>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37"/>
  <sheetViews>
    <sheetView showGridLines="0" zoomScale="110" zoomScaleNormal="110" workbookViewId="0">
      <pane ySplit="7" topLeftCell="A8" activePane="bottomLeft" state="frozen"/>
      <selection activeCell="D41" sqref="D41"/>
      <selection pane="bottomLeft" activeCell="B40" sqref="B40"/>
    </sheetView>
  </sheetViews>
  <sheetFormatPr defaultRowHeight="12" x14ac:dyDescent="0.2"/>
  <cols>
    <col min="1" max="1" width="26.7109375" style="657" customWidth="1"/>
    <col min="2" max="2" width="18.5703125" style="657" bestFit="1" customWidth="1"/>
    <col min="3" max="3" width="11.28515625" style="657" customWidth="1"/>
    <col min="4" max="4" width="10.140625" style="657" customWidth="1"/>
    <col min="5" max="5" width="11.42578125" style="657" customWidth="1"/>
    <col min="6" max="6" width="11.85546875" style="657" customWidth="1"/>
    <col min="7" max="7" width="11.5703125" style="657" customWidth="1"/>
    <col min="8" max="8" width="9.5703125" style="657" customWidth="1"/>
    <col min="9" max="9" width="10.28515625" style="657" customWidth="1"/>
    <col min="10" max="10" width="11.7109375" style="657" customWidth="1"/>
    <col min="11" max="11" width="11.42578125" style="657" customWidth="1"/>
    <col min="12" max="12" width="21" style="657" bestFit="1" customWidth="1"/>
    <col min="13" max="13" width="9.140625" style="657"/>
    <col min="14" max="14" width="17.7109375" style="657" bestFit="1" customWidth="1"/>
    <col min="15" max="15" width="25" style="657" bestFit="1" customWidth="1"/>
    <col min="16" max="16" width="9.140625" style="657"/>
    <col min="17" max="17" width="17.7109375" style="657" bestFit="1" customWidth="1"/>
    <col min="18" max="18" width="21" style="657" bestFit="1" customWidth="1"/>
    <col min="19" max="19" width="9.140625" style="657"/>
    <col min="20" max="20" width="17.7109375" style="657" bestFit="1" customWidth="1"/>
    <col min="21" max="21" width="24" style="657" bestFit="1" customWidth="1"/>
    <col min="22" max="16384" width="9.140625" style="657"/>
  </cols>
  <sheetData>
    <row r="1" spans="1:11" s="665" customFormat="1" ht="24" x14ac:dyDescent="0.2">
      <c r="A1" s="675"/>
      <c r="B1" s="676" t="s">
        <v>11</v>
      </c>
      <c r="C1" s="677" t="s">
        <v>126</v>
      </c>
      <c r="D1" s="676" t="s">
        <v>119</v>
      </c>
      <c r="E1" s="676" t="s">
        <v>179</v>
      </c>
      <c r="F1" s="676" t="s">
        <v>117</v>
      </c>
      <c r="G1" s="676" t="s">
        <v>118</v>
      </c>
      <c r="H1" s="676" t="s">
        <v>395</v>
      </c>
      <c r="I1" s="676" t="s">
        <v>396</v>
      </c>
      <c r="J1" s="676" t="s">
        <v>120</v>
      </c>
      <c r="K1" s="678" t="s">
        <v>397</v>
      </c>
    </row>
    <row r="2" spans="1:11" x14ac:dyDescent="0.2">
      <c r="A2" s="679" t="s">
        <v>686</v>
      </c>
      <c r="B2" s="680">
        <v>1212</v>
      </c>
      <c r="C2" s="680">
        <v>410</v>
      </c>
      <c r="D2" s="680">
        <f t="shared" ref="D2:K2" si="0">D7</f>
        <v>63.801199999999987</v>
      </c>
      <c r="E2" s="680">
        <f t="shared" si="0"/>
        <v>140.85816</v>
      </c>
      <c r="F2" s="680">
        <f t="shared" si="0"/>
        <v>124.30514900000001</v>
      </c>
      <c r="G2" s="680">
        <f t="shared" si="0"/>
        <v>158.46543000000003</v>
      </c>
      <c r="H2" s="680">
        <f t="shared" si="0"/>
        <v>63.430998000000002</v>
      </c>
      <c r="I2" s="680">
        <f t="shared" si="0"/>
        <v>1.6967019999999999</v>
      </c>
      <c r="J2" s="680">
        <f t="shared" si="0"/>
        <v>47.539629000000005</v>
      </c>
      <c r="K2" s="681">
        <f t="shared" si="0"/>
        <v>409.06220000000002</v>
      </c>
    </row>
    <row r="3" spans="1:11" x14ac:dyDescent="0.2">
      <c r="A3" s="679" t="s">
        <v>635</v>
      </c>
      <c r="B3" s="680">
        <f>'OPERATING COSTS'!G8/1000</f>
        <v>156.80000000000001</v>
      </c>
      <c r="C3" s="680">
        <v>93</v>
      </c>
      <c r="D3" s="680"/>
      <c r="E3" s="680">
        <f>'OPERATING COSTS'!G10/1000-'Products Output'!E2</f>
        <v>33.141840000000002</v>
      </c>
      <c r="F3" s="680"/>
      <c r="G3" s="680"/>
      <c r="H3" s="680"/>
      <c r="I3" s="680"/>
      <c r="J3" s="680"/>
      <c r="K3" s="681"/>
    </row>
    <row r="4" spans="1:11" ht="12.75" thickBot="1" x14ac:dyDescent="0.25">
      <c r="A4" s="682" t="s">
        <v>15</v>
      </c>
      <c r="B4" s="865">
        <f>B3+B2</f>
        <v>1368.8</v>
      </c>
      <c r="C4" s="865">
        <f t="shared" ref="C4:K4" si="1">C3+C2</f>
        <v>503</v>
      </c>
      <c r="D4" s="865">
        <f t="shared" si="1"/>
        <v>63.801199999999987</v>
      </c>
      <c r="E4" s="865">
        <f t="shared" si="1"/>
        <v>174</v>
      </c>
      <c r="F4" s="865">
        <f t="shared" si="1"/>
        <v>124.30514900000001</v>
      </c>
      <c r="G4" s="865">
        <f t="shared" si="1"/>
        <v>158.46543000000003</v>
      </c>
      <c r="H4" s="865">
        <f t="shared" si="1"/>
        <v>63.430998000000002</v>
      </c>
      <c r="I4" s="865">
        <f t="shared" si="1"/>
        <v>1.6967019999999999</v>
      </c>
      <c r="J4" s="865">
        <f t="shared" si="1"/>
        <v>47.539629000000005</v>
      </c>
      <c r="K4" s="866">
        <f t="shared" si="1"/>
        <v>409.06220000000002</v>
      </c>
    </row>
    <row r="5" spans="1:11" s="665" customFormat="1" ht="24" x14ac:dyDescent="0.2">
      <c r="A5" s="683"/>
      <c r="B5" s="684" t="s">
        <v>11</v>
      </c>
      <c r="C5" s="685" t="s">
        <v>126</v>
      </c>
      <c r="D5" s="684" t="s">
        <v>119</v>
      </c>
      <c r="E5" s="684" t="s">
        <v>179</v>
      </c>
      <c r="F5" s="684" t="s">
        <v>117</v>
      </c>
      <c r="G5" s="684" t="s">
        <v>118</v>
      </c>
      <c r="H5" s="684" t="s">
        <v>395</v>
      </c>
      <c r="I5" s="684" t="s">
        <v>396</v>
      </c>
      <c r="J5" s="684" t="s">
        <v>120</v>
      </c>
      <c r="K5" s="684" t="s">
        <v>397</v>
      </c>
    </row>
    <row r="6" spans="1:11" x14ac:dyDescent="0.2">
      <c r="A6" s="686" t="s">
        <v>683</v>
      </c>
      <c r="B6" s="687">
        <f>'Feedstock Mix (Input)'!$B14</f>
        <v>0.44969573283858999</v>
      </c>
      <c r="C6" s="687">
        <f>'Feedstock Mix (Input)'!$B15</f>
        <v>0.15950389610389609</v>
      </c>
      <c r="D6" s="687">
        <f>'Feedstock Mix (Input)'!$B16</f>
        <v>2.3673914656771794E-2</v>
      </c>
      <c r="E6" s="687">
        <f>'Feedstock Mix (Input)'!$B17</f>
        <v>5.2266478664192949E-2</v>
      </c>
      <c r="F6" s="687">
        <f>'Feedstock Mix (Input)'!$B18</f>
        <v>4.6124359554730987E-2</v>
      </c>
      <c r="G6" s="687">
        <f>'Feedstock Mix (Input)'!$B19</f>
        <v>5.8799788497217079E-2</v>
      </c>
      <c r="H6" s="687">
        <f>'Feedstock Mix (Input)'!$B20</f>
        <v>2.3536548423005565E-2</v>
      </c>
      <c r="I6" s="687">
        <f>'Feedstock Mix (Input)'!$B21</f>
        <v>6.2957402597402592E-4</v>
      </c>
      <c r="J6" s="687">
        <f>'Feedstock Mix (Input)'!$B22</f>
        <v>1.7639936549165122E-2</v>
      </c>
      <c r="K6" s="688">
        <f>'Feedstock Mix (Input)'!$B23</f>
        <v>0.15178560296846011</v>
      </c>
    </row>
    <row r="7" spans="1:11" x14ac:dyDescent="0.2">
      <c r="A7" s="686" t="s">
        <v>636</v>
      </c>
      <c r="B7" s="686">
        <f>B6*'Feedstock Mix (Input)'!$B$7</f>
        <v>1211.93</v>
      </c>
      <c r="C7" s="686">
        <f>C6*'Feedstock Mix (Input)'!$B$7</f>
        <v>429.86299999999994</v>
      </c>
      <c r="D7" s="689">
        <f>D6*'Feedstock Mix (Input)'!$B$7</f>
        <v>63.801199999999987</v>
      </c>
      <c r="E7" s="686">
        <f>E6*'Feedstock Mix (Input)'!$B$7</f>
        <v>140.85816</v>
      </c>
      <c r="F7" s="690">
        <f>F6*'Feedstock Mix (Input)'!$B$7</f>
        <v>124.30514900000001</v>
      </c>
      <c r="G7" s="690">
        <f>G6*'Feedstock Mix (Input)'!$B$7</f>
        <v>158.46543000000003</v>
      </c>
      <c r="H7" s="686">
        <f>H6*'Feedstock Mix (Input)'!$B$7</f>
        <v>63.430998000000002</v>
      </c>
      <c r="I7" s="691">
        <f>I6*'Feedstock Mix (Input)'!$B$7</f>
        <v>1.6967019999999999</v>
      </c>
      <c r="J7" s="692">
        <f>J6*'Feedstock Mix (Input)'!$B$7</f>
        <v>47.539629000000005</v>
      </c>
      <c r="K7" s="686">
        <f>K6*'Feedstock Mix (Input)'!$B$7</f>
        <v>409.06220000000002</v>
      </c>
    </row>
    <row r="8" spans="1:11" x14ac:dyDescent="0.2">
      <c r="B8" s="693">
        <v>1000</v>
      </c>
      <c r="C8" s="694">
        <f>C7*$B$8/$B$7</f>
        <v>354.69292780936183</v>
      </c>
      <c r="D8" s="694">
        <f t="shared" ref="D8:K8" si="2">D7*$B$8/$B$7</f>
        <v>52.644294637479049</v>
      </c>
      <c r="E8" s="694">
        <f t="shared" si="2"/>
        <v>116.22631670145965</v>
      </c>
      <c r="F8" s="694">
        <f t="shared" si="2"/>
        <v>102.56792801564448</v>
      </c>
      <c r="G8" s="694">
        <f t="shared" si="2"/>
        <v>130.75460628914212</v>
      </c>
      <c r="H8" s="694">
        <f t="shared" si="2"/>
        <v>52.338829800401008</v>
      </c>
      <c r="I8" s="694">
        <f t="shared" si="2"/>
        <v>1.4</v>
      </c>
      <c r="J8" s="694">
        <f t="shared" si="2"/>
        <v>39.226381886742637</v>
      </c>
      <c r="K8" s="694">
        <f t="shared" si="2"/>
        <v>337.52956028813543</v>
      </c>
    </row>
    <row r="9" spans="1:11" hidden="1" x14ac:dyDescent="0.2">
      <c r="A9" s="695" t="s">
        <v>385</v>
      </c>
      <c r="B9" s="696">
        <f>'Feedstock Mix (Input)'!$E$14</f>
        <v>0.51180814225549831</v>
      </c>
      <c r="C9" s="696">
        <f>'Feedstock Mix (Input)'!$E$15</f>
        <v>0.14861113710809545</v>
      </c>
      <c r="D9" s="697">
        <f>'Feedstock Mix (Input)'!$E$16</f>
        <v>1.9746467009826862E-2</v>
      </c>
      <c r="E9" s="696">
        <f>'Feedstock Mix (Input)'!$E$17</f>
        <v>4.3039466541881143E-2</v>
      </c>
      <c r="F9" s="696">
        <f>'Feedstock Mix (Input)'!$E$18</f>
        <v>4.4511839026672911E-2</v>
      </c>
      <c r="G9" s="696">
        <f>'Feedstock Mix (Input)'!$E$19</f>
        <v>5.1647359850257375E-2</v>
      </c>
      <c r="H9" s="696">
        <f>'Feedstock Mix (Input)'!$E$20</f>
        <v>3.1726987552643887E-2</v>
      </c>
      <c r="I9" s="698">
        <f>'Feedstock Mix (Input)'!$E$21</f>
        <v>7.1653139915769763E-4</v>
      </c>
      <c r="J9" s="696">
        <f>'Feedstock Mix (Input)'!$E$22</f>
        <v>9.2965247730463288E-3</v>
      </c>
      <c r="K9" s="697">
        <f>'Feedstock Mix (Input)'!$E$23</f>
        <v>0.14407814693495555</v>
      </c>
    </row>
    <row r="10" spans="1:11" hidden="1" x14ac:dyDescent="0.2">
      <c r="A10" s="695"/>
      <c r="B10" s="699">
        <f>B9*'Feedstock Mix (Input)'!$E$7</f>
        <v>1093.7339999999999</v>
      </c>
      <c r="C10" s="699">
        <f>C9*'Feedstock Mix (Input)'!$E$7</f>
        <v>317.58199999999999</v>
      </c>
      <c r="D10" s="700">
        <f>D9*'Feedstock Mix (Input)'!$E$7</f>
        <v>42.198200000000007</v>
      </c>
      <c r="E10" s="699">
        <f>E9*'Feedstock Mix (Input)'!$E$7</f>
        <v>91.975340000000003</v>
      </c>
      <c r="F10" s="699">
        <f>F9*'Feedstock Mix (Input)'!$E$7</f>
        <v>95.121800000000007</v>
      </c>
      <c r="G10" s="699">
        <f>G9*'Feedstock Mix (Input)'!$E$7</f>
        <v>110.37040800000001</v>
      </c>
      <c r="H10" s="699">
        <f>H9*'Feedstock Mix (Input)'!$E$7</f>
        <v>67.800572399999993</v>
      </c>
      <c r="I10" s="701">
        <f>I9*'Feedstock Mix (Input)'!$E$7</f>
        <v>1.5312275999999998</v>
      </c>
      <c r="J10" s="699">
        <f>J9*'Feedstock Mix (Input)'!$E$7</f>
        <v>19.866673440000003</v>
      </c>
      <c r="K10" s="700">
        <f>K9*'Feedstock Mix (Input)'!$E$7</f>
        <v>307.89499999999998</v>
      </c>
    </row>
    <row r="11" spans="1:11" hidden="1" x14ac:dyDescent="0.2">
      <c r="A11" s="695" t="s">
        <v>637</v>
      </c>
      <c r="B11" s="699">
        <f>B10-B7</f>
        <v>-118.19600000000014</v>
      </c>
      <c r="C11" s="699">
        <f t="shared" ref="C11:K11" si="3">C10-C7</f>
        <v>-112.28099999999995</v>
      </c>
      <c r="D11" s="700">
        <f t="shared" si="3"/>
        <v>-21.60299999999998</v>
      </c>
      <c r="E11" s="699">
        <f t="shared" si="3"/>
        <v>-48.882819999999995</v>
      </c>
      <c r="F11" s="699">
        <f t="shared" si="3"/>
        <v>-29.183349000000007</v>
      </c>
      <c r="G11" s="699">
        <f t="shared" si="3"/>
        <v>-48.095022000000014</v>
      </c>
      <c r="H11" s="699">
        <f t="shared" si="3"/>
        <v>4.3695743999999905</v>
      </c>
      <c r="I11" s="699">
        <f t="shared" si="3"/>
        <v>-0.16547440000000013</v>
      </c>
      <c r="J11" s="699">
        <f t="shared" si="3"/>
        <v>-27.672955560000002</v>
      </c>
      <c r="K11" s="700">
        <f t="shared" si="3"/>
        <v>-101.16720000000004</v>
      </c>
    </row>
    <row r="12" spans="1:11" ht="15" hidden="1" x14ac:dyDescent="0.25">
      <c r="A12" s="695" t="s">
        <v>638</v>
      </c>
      <c r="B12" s="702">
        <f>(B11/B7)</f>
        <v>-9.752708489764271E-2</v>
      </c>
      <c r="C12" s="703">
        <f t="shared" ref="C12:K12" si="4">(C11/C7)</f>
        <v>-0.26120182476742582</v>
      </c>
      <c r="D12" s="704">
        <f t="shared" si="4"/>
        <v>-0.33859864704739073</v>
      </c>
      <c r="E12" s="703">
        <f t="shared" si="4"/>
        <v>-0.34703576988369006</v>
      </c>
      <c r="F12" s="703">
        <f t="shared" si="4"/>
        <v>-0.23477184360239176</v>
      </c>
      <c r="G12" s="703">
        <f t="shared" si="4"/>
        <v>-0.30350482120926947</v>
      </c>
      <c r="H12" s="703">
        <f t="shared" si="4"/>
        <v>6.8887051091329046E-2</v>
      </c>
      <c r="I12" s="702">
        <f>I11/I7</f>
        <v>-9.7527084897642682E-2</v>
      </c>
      <c r="J12" s="703">
        <f t="shared" si="4"/>
        <v>-0.58210289272556159</v>
      </c>
      <c r="K12" s="704">
        <f t="shared" si="4"/>
        <v>-0.24731495601402434</v>
      </c>
    </row>
    <row r="13" spans="1:11" hidden="1" x14ac:dyDescent="0.2"/>
    <row r="14" spans="1:11" x14ac:dyDescent="0.2">
      <c r="A14" s="686" t="s">
        <v>684</v>
      </c>
      <c r="B14" s="696">
        <f>'Feedstock Mix (Input)'!$H$14</f>
        <v>0.54227804107424959</v>
      </c>
      <c r="C14" s="696">
        <f>'Feedstock Mix (Input)'!$H$15</f>
        <v>0.13512796208530806</v>
      </c>
      <c r="D14" s="696">
        <f>'Feedstock Mix (Input)'!$H$16</f>
        <v>1.792298578199052E-2</v>
      </c>
      <c r="E14" s="696">
        <f>'Feedstock Mix (Input)'!$H$17</f>
        <v>3.8885260663507115E-2</v>
      </c>
      <c r="F14" s="696">
        <f>'Feedstock Mix (Input)'!$H$18</f>
        <v>4.1307898894154829E-2</v>
      </c>
      <c r="G14" s="696">
        <f>'Feedstock Mix (Input)'!$H$19</f>
        <v>4.6662312796208534E-2</v>
      </c>
      <c r="H14" s="696">
        <f>'Feedstock Mix (Input)'!$H$20</f>
        <v>3.4588362085308057E-2</v>
      </c>
      <c r="I14" s="698">
        <f>'Feedstock Mix (Input)'!$H$21</f>
        <v>7.5918925750394944E-4</v>
      </c>
      <c r="J14" s="696">
        <f>'Feedstock Mix (Input)'!$H$22</f>
        <v>8.3992163033175353E-3</v>
      </c>
      <c r="K14" s="697">
        <f>'Feedstock Mix (Input)'!$H$23</f>
        <v>0.13600236966824641</v>
      </c>
    </row>
    <row r="15" spans="1:11" x14ac:dyDescent="0.2">
      <c r="A15" s="686" t="s">
        <v>636</v>
      </c>
      <c r="B15" s="680">
        <f>B14*'Feedstock Mix (Input)'!$H$7</f>
        <v>1373.048</v>
      </c>
      <c r="C15" s="680">
        <f>C14*'Feedstock Mix (Input)'!$H$7</f>
        <v>342.14400000000001</v>
      </c>
      <c r="D15" s="680">
        <f>D14*'Feedstock Mix (Input)'!$H$7</f>
        <v>45.380999999999993</v>
      </c>
      <c r="E15" s="680">
        <f>E14*'Feedstock Mix (Input)'!$H$7</f>
        <v>98.457480000000018</v>
      </c>
      <c r="F15" s="680">
        <f>F14*'Feedstock Mix (Input)'!$H$7</f>
        <v>104.59160000000003</v>
      </c>
      <c r="G15" s="680">
        <f>G14*'Feedstock Mix (Input)'!$H$7</f>
        <v>118.148976</v>
      </c>
      <c r="H15" s="680">
        <f>H14*'Feedstock Mix (Input)'!$H$7</f>
        <v>87.577732799999993</v>
      </c>
      <c r="I15" s="705">
        <f>I14*'Feedstock Mix (Input)'!$H$7</f>
        <v>1.9222672000000001</v>
      </c>
      <c r="J15" s="680">
        <f>J14*'Feedstock Mix (Input)'!$H$7</f>
        <v>21.266815680000001</v>
      </c>
      <c r="K15" s="680">
        <f>K14*'Feedstock Mix (Input)'!$H$7</f>
        <v>344.35799999999995</v>
      </c>
    </row>
    <row r="16" spans="1:11" x14ac:dyDescent="0.2">
      <c r="A16" s="706" t="s">
        <v>637</v>
      </c>
      <c r="B16" s="693">
        <f>B15-B7</f>
        <v>161.11799999999994</v>
      </c>
      <c r="C16" s="707">
        <f t="shared" ref="C16:K16" si="5">C15-C7</f>
        <v>-87.718999999999937</v>
      </c>
      <c r="D16" s="707">
        <f t="shared" si="5"/>
        <v>-18.420199999999994</v>
      </c>
      <c r="E16" s="707">
        <f t="shared" si="5"/>
        <v>-42.40067999999998</v>
      </c>
      <c r="F16" s="707">
        <f t="shared" si="5"/>
        <v>-19.713548999999986</v>
      </c>
      <c r="G16" s="707">
        <f t="shared" si="5"/>
        <v>-40.316454000000022</v>
      </c>
      <c r="H16" s="707">
        <f t="shared" si="5"/>
        <v>24.14673479999999</v>
      </c>
      <c r="I16" s="707">
        <f>I15-I7</f>
        <v>0.22556520000000013</v>
      </c>
      <c r="J16" s="707">
        <f t="shared" si="5"/>
        <v>-26.272813320000004</v>
      </c>
      <c r="K16" s="707">
        <f t="shared" si="5"/>
        <v>-64.704200000000071</v>
      </c>
    </row>
    <row r="17" spans="1:13" ht="15" x14ac:dyDescent="0.25">
      <c r="A17" s="706" t="s">
        <v>638</v>
      </c>
      <c r="B17" s="708">
        <f>(B16/B7)</f>
        <v>0.1329433218090153</v>
      </c>
      <c r="C17" s="708">
        <f t="shared" ref="C17:K17" si="6">(C16/C7)</f>
        <v>-0.2040626897406847</v>
      </c>
      <c r="D17" s="708">
        <f t="shared" si="6"/>
        <v>-0.28871243801057028</v>
      </c>
      <c r="E17" s="708">
        <f t="shared" si="6"/>
        <v>-0.30101685269777756</v>
      </c>
      <c r="F17" s="708">
        <f t="shared" si="6"/>
        <v>-0.15858996315591065</v>
      </c>
      <c r="G17" s="708">
        <f t="shared" si="6"/>
        <v>-0.25441797621096296</v>
      </c>
      <c r="H17" s="708">
        <f t="shared" si="6"/>
        <v>0.38067720138976829</v>
      </c>
      <c r="I17" s="709">
        <f>I16/I7</f>
        <v>0.13294332180901547</v>
      </c>
      <c r="J17" s="708">
        <f t="shared" si="6"/>
        <v>-0.55265078572657778</v>
      </c>
      <c r="K17" s="708">
        <f t="shared" si="6"/>
        <v>-0.15817692272715511</v>
      </c>
      <c r="M17" s="663"/>
    </row>
    <row r="18" spans="1:13" ht="12.75" thickBot="1" x14ac:dyDescent="0.25">
      <c r="A18" s="710" t="s">
        <v>639</v>
      </c>
      <c r="B18" s="868">
        <f>B15-B4</f>
        <v>4.2480000000000473</v>
      </c>
      <c r="C18" s="867">
        <f t="shared" ref="C18:K18" si="7">C15-C4</f>
        <v>-160.85599999999999</v>
      </c>
      <c r="D18" s="867">
        <f t="shared" si="7"/>
        <v>-18.420199999999994</v>
      </c>
      <c r="E18" s="711">
        <f t="shared" si="7"/>
        <v>-75.542519999999982</v>
      </c>
      <c r="F18" s="711">
        <f t="shared" si="7"/>
        <v>-19.713548999999986</v>
      </c>
      <c r="G18" s="711">
        <f t="shared" si="7"/>
        <v>-40.316454000000022</v>
      </c>
      <c r="H18" s="711">
        <f t="shared" si="7"/>
        <v>24.14673479999999</v>
      </c>
      <c r="I18" s="711">
        <f t="shared" si="7"/>
        <v>0.22556520000000013</v>
      </c>
      <c r="J18" s="867">
        <f t="shared" si="7"/>
        <v>-26.272813320000004</v>
      </c>
      <c r="K18" s="712">
        <f t="shared" si="7"/>
        <v>-64.704200000000071</v>
      </c>
    </row>
    <row r="19" spans="1:13" hidden="1" x14ac:dyDescent="0.2">
      <c r="A19" s="695" t="s">
        <v>387</v>
      </c>
      <c r="B19" s="696">
        <f>'Feedstock Mix (Input)'!$K$14</f>
        <v>0.56767025089605738</v>
      </c>
      <c r="C19" s="696">
        <f>'Feedstock Mix (Input)'!$K$15</f>
        <v>0.12368260504842524</v>
      </c>
      <c r="D19" s="696">
        <f>'Feedstock Mix (Input)'!$K$16</f>
        <v>1.6449767406390606E-2</v>
      </c>
      <c r="E19" s="696">
        <f>'Feedstock Mix (Input)'!$K$17</f>
        <v>3.5580103713871734E-2</v>
      </c>
      <c r="F19" s="696">
        <f>'Feedstock Mix (Input)'!$K$18</f>
        <v>3.8722260352322131E-2</v>
      </c>
      <c r="G19" s="696">
        <f>'Feedstock Mix (Input)'!$K$19</f>
        <v>4.2696124456646077E-2</v>
      </c>
      <c r="H19" s="696">
        <f>'Feedstock Mix (Input)'!$K$20</f>
        <v>3.7008830626096237E-2</v>
      </c>
      <c r="I19" s="698">
        <f>'Feedstock Mix (Input)'!$K$21</f>
        <v>7.9473835125448038E-4</v>
      </c>
      <c r="J19" s="696">
        <f>'Feedstock Mix (Input)'!$K$22</f>
        <v>7.6853024021962943E-3</v>
      </c>
      <c r="K19" s="697">
        <f>'Feedstock Mix (Input)'!$K$23</f>
        <v>0.12904903530847253</v>
      </c>
    </row>
    <row r="20" spans="1:13" hidden="1" x14ac:dyDescent="0.2">
      <c r="A20" s="695"/>
      <c r="B20" s="699">
        <f>B19*'Feedstock Mix (Input)'!$K$7</f>
        <v>1488.7719999999999</v>
      </c>
      <c r="C20" s="699">
        <f>C19*'Feedstock Mix (Input)'!$K$7</f>
        <v>324.37</v>
      </c>
      <c r="D20" s="699">
        <f>D19*'Feedstock Mix (Input)'!$K$7</f>
        <v>43.141159999999999</v>
      </c>
      <c r="E20" s="699">
        <f>E19*'Feedstock Mix (Input)'!$K$7</f>
        <v>93.312380000000005</v>
      </c>
      <c r="F20" s="699">
        <f>F19*'Feedstock Mix (Input)'!$K$7</f>
        <v>101.55300000000001</v>
      </c>
      <c r="G20" s="699">
        <f>G19*'Feedstock Mix (Input)'!$K$7</f>
        <v>111.974856</v>
      </c>
      <c r="H20" s="699">
        <f>H19*'Feedstock Mix (Input)'!$K$7</f>
        <v>97.059359199999989</v>
      </c>
      <c r="I20" s="701">
        <f>I19*'Feedstock Mix (Input)'!$K$7</f>
        <v>2.0842808000000002</v>
      </c>
      <c r="J20" s="699">
        <f>J19*'Feedstock Mix (Input)'!$K$7</f>
        <v>20.155474080000001</v>
      </c>
      <c r="K20" s="700">
        <f>K19*'Feedstock Mix (Input)'!$K$7</f>
        <v>338.44400000000007</v>
      </c>
    </row>
    <row r="21" spans="1:13" hidden="1" x14ac:dyDescent="0.2">
      <c r="A21" s="695" t="s">
        <v>637</v>
      </c>
      <c r="B21" s="699">
        <f t="shared" ref="B21:K21" si="8">B20-B7</f>
        <v>276.84199999999987</v>
      </c>
      <c r="C21" s="699">
        <f t="shared" si="8"/>
        <v>-105.49299999999994</v>
      </c>
      <c r="D21" s="699">
        <f t="shared" si="8"/>
        <v>-20.660039999999988</v>
      </c>
      <c r="E21" s="699">
        <f t="shared" si="8"/>
        <v>-47.545779999999993</v>
      </c>
      <c r="F21" s="699">
        <f t="shared" si="8"/>
        <v>-22.752149000000003</v>
      </c>
      <c r="G21" s="699">
        <f t="shared" si="8"/>
        <v>-46.490574000000024</v>
      </c>
      <c r="H21" s="699">
        <f t="shared" si="8"/>
        <v>33.628361199999986</v>
      </c>
      <c r="I21" s="699">
        <f t="shared" si="8"/>
        <v>0.38757880000000022</v>
      </c>
      <c r="J21" s="699">
        <f t="shared" si="8"/>
        <v>-27.384154920000004</v>
      </c>
      <c r="K21" s="700">
        <f t="shared" si="8"/>
        <v>-70.618199999999945</v>
      </c>
    </row>
    <row r="22" spans="1:13" ht="15" hidden="1" x14ac:dyDescent="0.25">
      <c r="A22" s="695" t="s">
        <v>638</v>
      </c>
      <c r="B22" s="703">
        <f t="shared" ref="B22:K22" si="9">(B21/B7)</f>
        <v>0.22843068494054924</v>
      </c>
      <c r="C22" s="703">
        <f t="shared" si="9"/>
        <v>-0.24541074714502051</v>
      </c>
      <c r="D22" s="703">
        <f t="shared" si="9"/>
        <v>-0.32381898773063816</v>
      </c>
      <c r="E22" s="703">
        <f t="shared" si="9"/>
        <v>-0.33754366804166686</v>
      </c>
      <c r="F22" s="703">
        <f t="shared" si="9"/>
        <v>-0.18303464645700235</v>
      </c>
      <c r="G22" s="703">
        <f t="shared" si="9"/>
        <v>-0.29337991257777812</v>
      </c>
      <c r="H22" s="703">
        <f t="shared" si="9"/>
        <v>0.53015658369430019</v>
      </c>
      <c r="I22" s="713">
        <f t="shared" si="9"/>
        <v>0.22843068494054952</v>
      </c>
      <c r="J22" s="703">
        <f t="shared" si="9"/>
        <v>-0.57602794754666686</v>
      </c>
      <c r="K22" s="704">
        <f t="shared" si="9"/>
        <v>-0.17263438176394677</v>
      </c>
    </row>
    <row r="23" spans="1:13" hidden="1" x14ac:dyDescent="0.2"/>
    <row r="24" spans="1:13" hidden="1" x14ac:dyDescent="0.2">
      <c r="A24" s="695" t="s">
        <v>401</v>
      </c>
      <c r="B24" s="696">
        <f>'Feedstock Mix (Input)'!$N$14</f>
        <v>0.4231891156462585</v>
      </c>
      <c r="C24" s="696">
        <f>'Feedstock Mix (Input)'!$N$15</f>
        <v>0.16567183673469385</v>
      </c>
      <c r="D24" s="696">
        <f>'Feedstock Mix (Input)'!$N$16</f>
        <v>2.6463183673469379E-2</v>
      </c>
      <c r="E24" s="696">
        <f>'Feedstock Mix (Input)'!$N$17</f>
        <v>5.9167444897959158E-2</v>
      </c>
      <c r="F24" s="696">
        <f>'Feedstock Mix (Input)'!$N$18</f>
        <v>4.7270097823129249E-2</v>
      </c>
      <c r="G24" s="696">
        <f>'Feedstock Mix (Input)'!$N$19</f>
        <v>6.6563375510204068E-2</v>
      </c>
      <c r="H24" s="696">
        <f>'Feedstock Mix (Input)'!$N$20</f>
        <v>2.1033113469387753E-2</v>
      </c>
      <c r="I24" s="698">
        <f>'Feedstock Mix (Input)'!$N$21</f>
        <v>5.9246476190476184E-4</v>
      </c>
      <c r="J24" s="696">
        <f>'Feedstock Mix (Input)'!$N$22</f>
        <v>1.9969012653061221E-2</v>
      </c>
      <c r="K24" s="697">
        <f>'Feedstock Mix (Input)'!$N$23</f>
        <v>0.15188832653061224</v>
      </c>
    </row>
    <row r="25" spans="1:13" hidden="1" x14ac:dyDescent="0.2">
      <c r="A25" s="695"/>
      <c r="B25" s="699">
        <f>B24*'Feedstock Mix (Input)'!$N$7</f>
        <v>1244.1760000000002</v>
      </c>
      <c r="C25" s="699">
        <f>C24*'Feedstock Mix (Input)'!$N$7</f>
        <v>487.0752</v>
      </c>
      <c r="D25" s="699">
        <f>D24*'Feedstock Mix (Input)'!$N$7</f>
        <v>77.801759999999987</v>
      </c>
      <c r="E25" s="699">
        <f>E24*'Feedstock Mix (Input)'!$N$7</f>
        <v>173.95228799999995</v>
      </c>
      <c r="F25" s="699">
        <f>F24*'Feedstock Mix (Input)'!$N$7</f>
        <v>138.97408760000002</v>
      </c>
      <c r="G25" s="699">
        <f>G24*'Feedstock Mix (Input)'!$N$7</f>
        <v>195.69632399999998</v>
      </c>
      <c r="H25" s="699">
        <f>H24*'Feedstock Mix (Input)'!$N$7</f>
        <v>61.837353600000007</v>
      </c>
      <c r="I25" s="701">
        <f>I24*'Feedstock Mix (Input)'!$N$7</f>
        <v>1.7418464</v>
      </c>
      <c r="J25" s="699">
        <f>J24*'Feedstock Mix (Input)'!$N$7</f>
        <v>58.708897199999996</v>
      </c>
      <c r="K25" s="700">
        <f>K24*'Feedstock Mix (Input)'!$N$7</f>
        <v>446.55168000000003</v>
      </c>
    </row>
    <row r="26" spans="1:13" hidden="1" x14ac:dyDescent="0.2">
      <c r="A26" s="695" t="s">
        <v>637</v>
      </c>
      <c r="B26" s="699">
        <f t="shared" ref="B26:K26" si="10">B25-B7</f>
        <v>32.246000000000095</v>
      </c>
      <c r="C26" s="699">
        <f t="shared" si="10"/>
        <v>57.212200000000053</v>
      </c>
      <c r="D26" s="699">
        <f t="shared" si="10"/>
        <v>14.00056</v>
      </c>
      <c r="E26" s="699">
        <f t="shared" si="10"/>
        <v>33.094127999999955</v>
      </c>
      <c r="F26" s="699">
        <f t="shared" si="10"/>
        <v>14.668938600000004</v>
      </c>
      <c r="G26" s="699">
        <f t="shared" si="10"/>
        <v>37.23089399999995</v>
      </c>
      <c r="H26" s="699">
        <f t="shared" si="10"/>
        <v>-1.5936443999999952</v>
      </c>
      <c r="I26" s="699">
        <f t="shared" si="10"/>
        <v>4.5144400000000084E-2</v>
      </c>
      <c r="J26" s="699">
        <f t="shared" si="10"/>
        <v>11.169268199999991</v>
      </c>
      <c r="K26" s="700">
        <f t="shared" si="10"/>
        <v>37.489480000000015</v>
      </c>
    </row>
    <row r="27" spans="1:13" ht="15" hidden="1" x14ac:dyDescent="0.25">
      <c r="A27" s="695" t="s">
        <v>638</v>
      </c>
      <c r="B27" s="703">
        <f t="shared" ref="B27:K27" si="11">(B26/B7)</f>
        <v>2.66071472774831E-2</v>
      </c>
      <c r="C27" s="703">
        <f t="shared" si="11"/>
        <v>0.13309403228470479</v>
      </c>
      <c r="D27" s="703">
        <f t="shared" si="11"/>
        <v>0.21944038670119062</v>
      </c>
      <c r="E27" s="703">
        <f t="shared" si="11"/>
        <v>0.23494647381450925</v>
      </c>
      <c r="F27" s="703">
        <f t="shared" si="11"/>
        <v>0.11800748977823922</v>
      </c>
      <c r="G27" s="703">
        <f t="shared" si="11"/>
        <v>0.23494647381450923</v>
      </c>
      <c r="H27" s="703">
        <f t="shared" si="11"/>
        <v>-2.5124063159151225E-2</v>
      </c>
      <c r="I27" s="713">
        <f t="shared" si="11"/>
        <v>2.6607147277483072E-2</v>
      </c>
      <c r="J27" s="703">
        <f t="shared" si="11"/>
        <v>0.23494647381450934</v>
      </c>
      <c r="K27" s="704">
        <f t="shared" si="11"/>
        <v>9.1647382720769638E-2</v>
      </c>
    </row>
    <row r="29" spans="1:13" x14ac:dyDescent="0.2">
      <c r="A29" s="686" t="s">
        <v>685</v>
      </c>
      <c r="B29" s="696">
        <f>'Feedstock Mix (Input)'!$Q$14</f>
        <v>0.44727242552485269</v>
      </c>
      <c r="C29" s="696">
        <f>'Feedstock Mix (Input)'!$Q$15</f>
        <v>0.17143299311260474</v>
      </c>
      <c r="D29" s="696">
        <f>'Feedstock Mix (Input)'!$Q$16</f>
        <v>2.2352070367604348E-2</v>
      </c>
      <c r="E29" s="696">
        <f>'Feedstock Mix (Input)'!$Q$17</f>
        <v>4.7020184217077404E-2</v>
      </c>
      <c r="F29" s="696">
        <f>'Feedstock Mix (Input)'!$Q$18</f>
        <v>4.1174129698780183E-2</v>
      </c>
      <c r="G29" s="696">
        <f>'Feedstock Mix (Input)'!$Q$19</f>
        <v>5.2897707244212104E-2</v>
      </c>
      <c r="H29" s="696">
        <f>'Feedstock Mix (Input)'!$Q$20</f>
        <v>2.1811367355406192E-2</v>
      </c>
      <c r="I29" s="698">
        <f>'Feedstock Mix (Input)'!$Q$21</f>
        <v>6.2618139573479374E-4</v>
      </c>
      <c r="J29" s="696">
        <f>'Feedstock Mix (Input)'!$Q$22</f>
        <v>1.5869312173263629E-2</v>
      </c>
      <c r="K29" s="697">
        <f>'Feedstock Mix (Input)'!$Q$23</f>
        <v>0.16039014189693798</v>
      </c>
    </row>
    <row r="30" spans="1:13" x14ac:dyDescent="0.2">
      <c r="A30" s="686" t="s">
        <v>636</v>
      </c>
      <c r="B30" s="680">
        <f>B29*'Feedstock Mix (Input)'!$Q$7</f>
        <v>1347.52</v>
      </c>
      <c r="C30" s="680">
        <f>C29*'Feedstock Mix (Input)'!$Q$7</f>
        <v>516.48474999999996</v>
      </c>
      <c r="D30" s="714">
        <f>D29*'Feedstock Mix (Input)'!$Q$7</f>
        <v>67.341200000000001</v>
      </c>
      <c r="E30" s="680">
        <f>E29*'Feedstock Mix (Input)'!$Q$7</f>
        <v>141.66005999999996</v>
      </c>
      <c r="F30" s="715">
        <f>F29*'Feedstock Mix (Input)'!$Q$7</f>
        <v>124.04735925</v>
      </c>
      <c r="G30" s="715">
        <f>G29*'Feedstock Mix (Input)'!$Q$7</f>
        <v>159.36756750000001</v>
      </c>
      <c r="H30" s="680">
        <f>H29*'Feedstock Mix (Input)'!$Q$7</f>
        <v>65.712197000000003</v>
      </c>
      <c r="I30" s="705">
        <f>I29*'Feedstock Mix (Input)'!$Q$7</f>
        <v>1.8865279999999998</v>
      </c>
      <c r="J30" s="715">
        <f>J29*'Feedstock Mix (Input)'!$Q$7</f>
        <v>47.810270250000002</v>
      </c>
      <c r="K30" s="680">
        <f>K29*'Feedstock Mix (Input)'!$Q$7</f>
        <v>483.21539999999993</v>
      </c>
    </row>
    <row r="31" spans="1:13" x14ac:dyDescent="0.2">
      <c r="A31" s="706" t="s">
        <v>637</v>
      </c>
      <c r="B31" s="693">
        <f>B30-B7</f>
        <v>135.58999999999992</v>
      </c>
      <c r="C31" s="693">
        <f t="shared" ref="C31:K31" si="12">C30-C7</f>
        <v>86.62175000000002</v>
      </c>
      <c r="D31" s="716">
        <f t="shared" si="12"/>
        <v>3.5400000000000134</v>
      </c>
      <c r="E31" s="693">
        <f t="shared" si="12"/>
        <v>0.80189999999996076</v>
      </c>
      <c r="F31" s="693">
        <f t="shared" si="12"/>
        <v>-0.25778975000001481</v>
      </c>
      <c r="G31" s="707">
        <f t="shared" si="12"/>
        <v>0.90213749999998072</v>
      </c>
      <c r="H31" s="693">
        <f t="shared" si="12"/>
        <v>2.2811990000000009</v>
      </c>
      <c r="I31" s="693">
        <f t="shared" si="12"/>
        <v>0.18982599999999983</v>
      </c>
      <c r="J31" s="693">
        <f t="shared" si="12"/>
        <v>0.27064124999999706</v>
      </c>
      <c r="K31" s="693">
        <f t="shared" si="12"/>
        <v>74.153199999999913</v>
      </c>
    </row>
    <row r="32" spans="1:13" ht="15" x14ac:dyDescent="0.25">
      <c r="A32" s="706" t="s">
        <v>638</v>
      </c>
      <c r="B32" s="708">
        <f t="shared" ref="B32:K32" si="13">(B31/B7)</f>
        <v>0.11187939897518827</v>
      </c>
      <c r="C32" s="708">
        <f t="shared" si="13"/>
        <v>0.20151013229796477</v>
      </c>
      <c r="D32" s="708">
        <f t="shared" si="13"/>
        <v>5.5484849814737246E-2</v>
      </c>
      <c r="E32" s="708">
        <f t="shared" si="13"/>
        <v>5.6929609189837549E-3</v>
      </c>
      <c r="F32" s="708">
        <f t="shared" si="13"/>
        <v>-2.0738461123602754E-3</v>
      </c>
      <c r="G32" s="708">
        <f t="shared" si="13"/>
        <v>5.6929609189839111E-3</v>
      </c>
      <c r="H32" s="708">
        <f t="shared" si="13"/>
        <v>3.5963473253250736E-2</v>
      </c>
      <c r="I32" s="717">
        <f t="shared" si="13"/>
        <v>0.11187939897518824</v>
      </c>
      <c r="J32" s="708">
        <f t="shared" si="13"/>
        <v>5.6929609189839709E-3</v>
      </c>
      <c r="K32" s="708">
        <f t="shared" si="13"/>
        <v>0.18127609933159286</v>
      </c>
    </row>
    <row r="33" spans="1:11" ht="12.75" thickBot="1" x14ac:dyDescent="0.25">
      <c r="A33" s="710" t="s">
        <v>651</v>
      </c>
      <c r="B33" s="711">
        <f>B30-B4</f>
        <v>-21.279999999999973</v>
      </c>
      <c r="C33" s="867">
        <f t="shared" ref="C33:K33" si="14">C30-C4</f>
        <v>13.484749999999963</v>
      </c>
      <c r="D33" s="711">
        <f t="shared" si="14"/>
        <v>3.5400000000000134</v>
      </c>
      <c r="E33" s="711">
        <f t="shared" si="14"/>
        <v>-32.339940000000041</v>
      </c>
      <c r="F33" s="711">
        <f t="shared" si="14"/>
        <v>-0.25778975000001481</v>
      </c>
      <c r="G33" s="711">
        <f t="shared" si="14"/>
        <v>0.90213749999998072</v>
      </c>
      <c r="H33" s="711">
        <f t="shared" si="14"/>
        <v>2.2811990000000009</v>
      </c>
      <c r="I33" s="711">
        <f t="shared" si="14"/>
        <v>0.18982599999999983</v>
      </c>
      <c r="J33" s="711">
        <f t="shared" si="14"/>
        <v>0.27064124999999706</v>
      </c>
      <c r="K33" s="711">
        <f t="shared" si="14"/>
        <v>74.153199999999913</v>
      </c>
    </row>
    <row r="34" spans="1:11" hidden="1" x14ac:dyDescent="0.2">
      <c r="A34" s="695" t="s">
        <v>403</v>
      </c>
      <c r="B34" s="696">
        <f>'Feedstock Mix (Input)'!$T$14</f>
        <v>0.47732976509069286</v>
      </c>
      <c r="C34" s="696">
        <f>'Feedstock Mix (Input)'!$T$15</f>
        <v>0.1458608385370205</v>
      </c>
      <c r="D34" s="696">
        <f>'Feedstock Mix (Input)'!$T$16</f>
        <v>2.2691168599464764E-2</v>
      </c>
      <c r="E34" s="696">
        <f>'Feedstock Mix (Input)'!$T$17</f>
        <v>5.0430187332738616E-2</v>
      </c>
      <c r="F34" s="696">
        <f>'Feedstock Mix (Input)'!$T$18</f>
        <v>4.3165845970859346E-2</v>
      </c>
      <c r="G34" s="696">
        <f>'Feedstock Mix (Input)'!$T$19</f>
        <v>5.6733960749330938E-2</v>
      </c>
      <c r="H34" s="696">
        <f>'Feedstock Mix (Input)'!$T$20</f>
        <v>2.6450858162355043E-2</v>
      </c>
      <c r="I34" s="698">
        <f>'Feedstock Mix (Input)'!$T$21</f>
        <v>6.6826167112696993E-4</v>
      </c>
      <c r="J34" s="696">
        <f>'Feedstock Mix (Input)'!$T$22</f>
        <v>1.7020188224799285E-2</v>
      </c>
      <c r="K34" s="697">
        <f>'Feedstock Mix (Input)'!$T$23</f>
        <v>0.14149866190900981</v>
      </c>
    </row>
    <row r="35" spans="1:11" hidden="1" x14ac:dyDescent="0.2">
      <c r="A35" s="695"/>
      <c r="B35" s="699">
        <f>B34*'Feedstock Mix (Input)'!$T$7</f>
        <v>1284.2080000000001</v>
      </c>
      <c r="C35" s="699">
        <f>C34*'Feedstock Mix (Input)'!$T$7</f>
        <v>392.42399999999998</v>
      </c>
      <c r="D35" s="699">
        <f>D34*'Feedstock Mix (Input)'!$T$7</f>
        <v>61.048320000000004</v>
      </c>
      <c r="E35" s="699">
        <f>E34*'Feedstock Mix (Input)'!$T$7</f>
        <v>135.67737599999998</v>
      </c>
      <c r="F35" s="699">
        <f>F34*'Feedstock Mix (Input)'!$T$7</f>
        <v>116.13339199999999</v>
      </c>
      <c r="G35" s="699">
        <f>G34*'Feedstock Mix (Input)'!$T$7</f>
        <v>152.63704799999996</v>
      </c>
      <c r="H35" s="699">
        <f>H34*'Feedstock Mix (Input)'!$T$7</f>
        <v>71.163388800000007</v>
      </c>
      <c r="I35" s="699">
        <f>I34*'Feedstock Mix (Input)'!$T$7</f>
        <v>1.7978912</v>
      </c>
      <c r="J35" s="699">
        <f>J34*'Feedstock Mix (Input)'!$T$7</f>
        <v>45.791114399999998</v>
      </c>
      <c r="K35" s="699">
        <f>K34*'Feedstock Mix (Input)'!$T$7</f>
        <v>380.68799999999999</v>
      </c>
    </row>
    <row r="36" spans="1:11" hidden="1" x14ac:dyDescent="0.2">
      <c r="A36" s="695" t="s">
        <v>637</v>
      </c>
      <c r="B36" s="699">
        <f t="shared" ref="B36:K36" si="15">B35-B7</f>
        <v>72.27800000000002</v>
      </c>
      <c r="C36" s="699">
        <f t="shared" si="15"/>
        <v>-37.438999999999965</v>
      </c>
      <c r="D36" s="699">
        <f t="shared" si="15"/>
        <v>-2.7528799999999833</v>
      </c>
      <c r="E36" s="699">
        <f t="shared" si="15"/>
        <v>-5.1807840000000169</v>
      </c>
      <c r="F36" s="699">
        <f t="shared" si="15"/>
        <v>-8.1717570000000279</v>
      </c>
      <c r="G36" s="699">
        <f t="shared" si="15"/>
        <v>-5.8283820000000617</v>
      </c>
      <c r="H36" s="699">
        <f t="shared" si="15"/>
        <v>7.7323908000000046</v>
      </c>
      <c r="I36" s="699">
        <f t="shared" si="15"/>
        <v>0.10118920000000009</v>
      </c>
      <c r="J36" s="699">
        <f t="shared" si="15"/>
        <v>-1.7485146000000071</v>
      </c>
      <c r="K36" s="699">
        <f t="shared" si="15"/>
        <v>-28.37420000000003</v>
      </c>
    </row>
    <row r="37" spans="1:11" ht="15" hidden="1" x14ac:dyDescent="0.25">
      <c r="A37" s="695" t="s">
        <v>638</v>
      </c>
      <c r="B37" s="703">
        <f t="shared" ref="B37:K37" si="16">(B36/B7)</f>
        <v>5.9638758014076733E-2</v>
      </c>
      <c r="C37" s="703">
        <f t="shared" si="16"/>
        <v>-8.7095190793345711E-2</v>
      </c>
      <c r="D37" s="703">
        <f t="shared" si="16"/>
        <v>-4.3147777784743609E-2</v>
      </c>
      <c r="E37" s="703">
        <f t="shared" si="16"/>
        <v>-3.6780148200146995E-2</v>
      </c>
      <c r="F37" s="703">
        <f t="shared" si="16"/>
        <v>-6.5739489198472598E-2</v>
      </c>
      <c r="G37" s="703">
        <f t="shared" si="16"/>
        <v>-3.6780148200147252E-2</v>
      </c>
      <c r="H37" s="703">
        <f t="shared" si="16"/>
        <v>0.121902398571752</v>
      </c>
      <c r="I37" s="703">
        <f t="shared" si="16"/>
        <v>5.9638758014076775E-2</v>
      </c>
      <c r="J37" s="703">
        <f t="shared" si="16"/>
        <v>-3.6780148200147016E-2</v>
      </c>
      <c r="K37" s="703">
        <f t="shared" si="16"/>
        <v>-6.9364023368573363E-2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36"/>
  <sheetViews>
    <sheetView topLeftCell="A10" zoomScale="80" zoomScaleNormal="80" workbookViewId="0">
      <selection activeCell="G20" sqref="G20"/>
    </sheetView>
  </sheetViews>
  <sheetFormatPr defaultColWidth="11.42578125" defaultRowHeight="12.75" x14ac:dyDescent="0.25"/>
  <cols>
    <col min="1" max="1" width="19" style="738" bestFit="1" customWidth="1"/>
    <col min="2" max="2" width="23.140625" style="738" customWidth="1"/>
    <col min="3" max="3" width="20.85546875" style="738" customWidth="1"/>
    <col min="4" max="4" width="13.42578125" style="738" customWidth="1"/>
    <col min="5" max="5" width="17.7109375" style="738" bestFit="1" customWidth="1"/>
    <col min="6" max="6" width="26.28515625" style="738" customWidth="1"/>
    <col min="7" max="16384" width="11.42578125" style="738"/>
  </cols>
  <sheetData>
    <row r="1" spans="1:6" x14ac:dyDescent="0.25">
      <c r="A1" s="932" t="s">
        <v>640</v>
      </c>
      <c r="B1" s="933"/>
    </row>
    <row r="2" spans="1:6" x14ac:dyDescent="0.25">
      <c r="A2" s="739" t="s">
        <v>225</v>
      </c>
      <c r="B2" s="740" t="s">
        <v>224</v>
      </c>
      <c r="C2" s="740" t="s">
        <v>223</v>
      </c>
      <c r="D2" s="740" t="s">
        <v>222</v>
      </c>
      <c r="E2" s="740" t="s">
        <v>221</v>
      </c>
    </row>
    <row r="3" spans="1:6" x14ac:dyDescent="0.25">
      <c r="A3" s="741" t="s">
        <v>219</v>
      </c>
      <c r="B3" s="742">
        <v>0.82</v>
      </c>
      <c r="C3" s="742">
        <v>0.46</v>
      </c>
      <c r="D3" s="742">
        <v>0.33</v>
      </c>
      <c r="E3" s="742">
        <v>0.32</v>
      </c>
    </row>
    <row r="4" spans="1:6" x14ac:dyDescent="0.25">
      <c r="A4" s="741" t="s">
        <v>218</v>
      </c>
      <c r="B4" s="742">
        <v>0.01</v>
      </c>
      <c r="C4" s="742">
        <v>0.24</v>
      </c>
      <c r="D4" s="742">
        <v>0.24</v>
      </c>
      <c r="E4" s="742">
        <v>0.193</v>
      </c>
    </row>
    <row r="5" spans="1:6" x14ac:dyDescent="0.25">
      <c r="A5" s="743" t="s">
        <v>217</v>
      </c>
      <c r="B5" s="742">
        <v>1.35E-2</v>
      </c>
      <c r="C5" s="742">
        <v>0.02</v>
      </c>
      <c r="D5" s="742">
        <v>9.5000000000000001E-2</v>
      </c>
      <c r="E5" s="742">
        <v>0.34499999999999997</v>
      </c>
    </row>
    <row r="6" spans="1:6" x14ac:dyDescent="0.25">
      <c r="A6" s="743" t="s">
        <v>216</v>
      </c>
      <c r="B6" s="742">
        <v>3.2500000000000001E-2</v>
      </c>
      <c r="C6" s="742">
        <v>3.5000000000000003E-2</v>
      </c>
      <c r="D6" s="742">
        <v>0.31</v>
      </c>
      <c r="E6" s="742">
        <v>0.13100000000000001</v>
      </c>
    </row>
    <row r="7" spans="1:6" ht="12" customHeight="1" x14ac:dyDescent="0.25">
      <c r="A7" s="743" t="s">
        <v>119</v>
      </c>
      <c r="B7" s="742">
        <v>1.8E-3</v>
      </c>
      <c r="C7" s="742">
        <v>0.01</v>
      </c>
      <c r="D7" s="742">
        <v>0.01</v>
      </c>
      <c r="E7" s="742">
        <v>3.5999999999999997E-2</v>
      </c>
    </row>
    <row r="8" spans="1:6" ht="12" customHeight="1" x14ac:dyDescent="0.25">
      <c r="A8" s="743" t="s">
        <v>397</v>
      </c>
      <c r="B8" s="742">
        <v>0.06</v>
      </c>
      <c r="C8" s="742">
        <v>0.22</v>
      </c>
      <c r="D8" s="742">
        <v>0.28899999999999998</v>
      </c>
      <c r="E8" s="742">
        <v>0.15920000000000001</v>
      </c>
    </row>
    <row r="9" spans="1:6" ht="12" customHeight="1" x14ac:dyDescent="0.25">
      <c r="A9" s="743" t="s">
        <v>395</v>
      </c>
      <c r="B9" s="742">
        <v>6.2199999999999998E-2</v>
      </c>
      <c r="C9" s="742">
        <v>1.4999999999999999E-2</v>
      </c>
      <c r="D9" s="742">
        <v>1.9E-2</v>
      </c>
      <c r="E9" s="742">
        <v>1.1900000000000001E-2</v>
      </c>
    </row>
    <row r="10" spans="1:6" x14ac:dyDescent="0.25">
      <c r="A10" s="934" t="s">
        <v>641</v>
      </c>
      <c r="B10" s="934"/>
      <c r="C10" s="744"/>
      <c r="D10" s="744"/>
      <c r="E10" s="744"/>
      <c r="F10" s="744"/>
    </row>
    <row r="11" spans="1:6" s="747" customFormat="1" ht="38.25" x14ac:dyDescent="0.25">
      <c r="A11" s="745" t="s">
        <v>642</v>
      </c>
      <c r="B11" s="746" t="s">
        <v>643</v>
      </c>
      <c r="C11" s="745" t="s">
        <v>193</v>
      </c>
      <c r="D11" s="746" t="s">
        <v>644</v>
      </c>
    </row>
    <row r="12" spans="1:6" x14ac:dyDescent="0.25">
      <c r="A12" s="748">
        <v>1</v>
      </c>
      <c r="B12" s="749" t="s">
        <v>179</v>
      </c>
      <c r="C12" s="206" t="s">
        <v>645</v>
      </c>
      <c r="D12" s="750">
        <v>0.24</v>
      </c>
      <c r="E12" s="747"/>
    </row>
    <row r="13" spans="1:6" x14ac:dyDescent="0.25">
      <c r="A13" s="748">
        <v>2</v>
      </c>
      <c r="B13" s="749" t="s">
        <v>117</v>
      </c>
      <c r="C13" s="206" t="s">
        <v>646</v>
      </c>
      <c r="D13" s="750">
        <v>0.41899999999999998</v>
      </c>
      <c r="E13" s="747"/>
    </row>
    <row r="14" spans="1:6" x14ac:dyDescent="0.25">
      <c r="A14" s="748">
        <v>3</v>
      </c>
      <c r="B14" s="749" t="s">
        <v>118</v>
      </c>
      <c r="C14" s="206" t="s">
        <v>645</v>
      </c>
      <c r="D14" s="750">
        <v>0.27</v>
      </c>
      <c r="E14" s="747"/>
    </row>
    <row r="15" spans="1:6" x14ac:dyDescent="0.25">
      <c r="A15" s="748">
        <v>4</v>
      </c>
      <c r="B15" s="749" t="s">
        <v>178</v>
      </c>
      <c r="C15" s="206" t="s">
        <v>647</v>
      </c>
      <c r="D15" s="750">
        <v>1.4</v>
      </c>
      <c r="E15" s="747"/>
    </row>
    <row r="16" spans="1:6" x14ac:dyDescent="0.25">
      <c r="A16" s="748">
        <v>5</v>
      </c>
      <c r="B16" s="749" t="s">
        <v>177</v>
      </c>
      <c r="C16" s="206" t="s">
        <v>648</v>
      </c>
      <c r="D16" s="750">
        <v>0</v>
      </c>
      <c r="E16" s="747"/>
    </row>
    <row r="17" spans="1:5" x14ac:dyDescent="0.25">
      <c r="A17" s="748">
        <v>6</v>
      </c>
      <c r="B17" s="749" t="s">
        <v>120</v>
      </c>
      <c r="C17" s="206" t="s">
        <v>649</v>
      </c>
      <c r="D17" s="750">
        <v>0.3</v>
      </c>
      <c r="E17" s="747"/>
    </row>
    <row r="20" spans="1:5" x14ac:dyDescent="0.25">
      <c r="A20" s="751" t="s">
        <v>650</v>
      </c>
    </row>
    <row r="21" spans="1:5" x14ac:dyDescent="0.25">
      <c r="A21" s="739" t="s">
        <v>225</v>
      </c>
      <c r="B21" s="740" t="s">
        <v>224</v>
      </c>
      <c r="C21" s="740" t="s">
        <v>223</v>
      </c>
      <c r="D21" s="740" t="s">
        <v>222</v>
      </c>
      <c r="E21" s="740" t="s">
        <v>221</v>
      </c>
    </row>
    <row r="22" spans="1:5" x14ac:dyDescent="0.25">
      <c r="A22" s="741" t="s">
        <v>219</v>
      </c>
      <c r="B22" s="742">
        <v>0.82</v>
      </c>
      <c r="C22" s="742">
        <v>0.46</v>
      </c>
      <c r="D22" s="742">
        <v>0.33</v>
      </c>
      <c r="E22" s="742">
        <v>0.308</v>
      </c>
    </row>
    <row r="23" spans="1:5" x14ac:dyDescent="0.25">
      <c r="A23" s="741" t="s">
        <v>218</v>
      </c>
      <c r="B23" s="742">
        <v>0.01</v>
      </c>
      <c r="C23" s="742">
        <v>0.24</v>
      </c>
      <c r="D23" s="742">
        <v>0.24</v>
      </c>
      <c r="E23" s="742">
        <v>0.224</v>
      </c>
    </row>
    <row r="24" spans="1:5" x14ac:dyDescent="0.25">
      <c r="A24" s="743" t="s">
        <v>217</v>
      </c>
      <c r="B24" s="742">
        <v>1.35E-2</v>
      </c>
      <c r="C24" s="742">
        <v>0.02</v>
      </c>
      <c r="D24" s="742">
        <v>9.5000000000000001E-2</v>
      </c>
      <c r="E24" s="742">
        <v>0.4294</v>
      </c>
    </row>
    <row r="25" spans="1:5" x14ac:dyDescent="0.25">
      <c r="A25" s="743" t="s">
        <v>216</v>
      </c>
      <c r="B25" s="742">
        <v>3.2500000000000001E-2</v>
      </c>
      <c r="C25" s="742">
        <v>3.5000000000000003E-2</v>
      </c>
      <c r="D25" s="742">
        <v>0.31</v>
      </c>
      <c r="E25" s="742">
        <v>0.16400000000000001</v>
      </c>
    </row>
    <row r="26" spans="1:5" x14ac:dyDescent="0.25">
      <c r="A26" s="743" t="s">
        <v>119</v>
      </c>
      <c r="B26" s="742">
        <v>1.8E-3</v>
      </c>
      <c r="C26" s="742">
        <v>0.01</v>
      </c>
      <c r="D26" s="742">
        <v>0.01</v>
      </c>
      <c r="E26" s="742">
        <v>3.6999999999999998E-2</v>
      </c>
    </row>
    <row r="27" spans="1:5" x14ac:dyDescent="0.25">
      <c r="A27" s="743" t="s">
        <v>397</v>
      </c>
      <c r="B27" s="742">
        <v>0.06</v>
      </c>
      <c r="C27" s="742">
        <v>0.22</v>
      </c>
      <c r="D27" s="742">
        <v>0.28899999999999998</v>
      </c>
      <c r="E27" s="742">
        <v>0.17399999999999999</v>
      </c>
    </row>
    <row r="28" spans="1:5" x14ac:dyDescent="0.25">
      <c r="A28" s="743" t="s">
        <v>395</v>
      </c>
      <c r="B28" s="742">
        <v>6.2199999999999998E-2</v>
      </c>
      <c r="C28" s="742">
        <v>1.4999999999999999E-2</v>
      </c>
      <c r="D28" s="742">
        <v>1.9E-2</v>
      </c>
      <c r="E28" s="742">
        <v>1.4999999999999999E-2</v>
      </c>
    </row>
    <row r="30" spans="1:5" ht="38.25" x14ac:dyDescent="0.25">
      <c r="A30" s="745" t="s">
        <v>642</v>
      </c>
      <c r="B30" s="746" t="s">
        <v>643</v>
      </c>
      <c r="C30" s="745" t="s">
        <v>193</v>
      </c>
      <c r="D30" s="746" t="s">
        <v>644</v>
      </c>
    </row>
    <row r="31" spans="1:5" x14ac:dyDescent="0.25">
      <c r="A31" s="748">
        <v>1</v>
      </c>
      <c r="B31" s="749" t="s">
        <v>179</v>
      </c>
      <c r="C31" s="206" t="s">
        <v>645</v>
      </c>
      <c r="D31" s="750">
        <v>0.2</v>
      </c>
    </row>
    <row r="32" spans="1:5" x14ac:dyDescent="0.25">
      <c r="A32" s="748">
        <v>2</v>
      </c>
      <c r="B32" s="749" t="s">
        <v>117</v>
      </c>
      <c r="C32" s="206" t="s">
        <v>646</v>
      </c>
      <c r="D32" s="750">
        <v>0.4</v>
      </c>
    </row>
    <row r="33" spans="1:4" x14ac:dyDescent="0.25">
      <c r="A33" s="748">
        <v>3</v>
      </c>
      <c r="B33" s="749" t="s">
        <v>118</v>
      </c>
      <c r="C33" s="206" t="s">
        <v>645</v>
      </c>
      <c r="D33" s="750">
        <v>0.24</v>
      </c>
    </row>
    <row r="34" spans="1:4" x14ac:dyDescent="0.25">
      <c r="A34" s="748">
        <v>4</v>
      </c>
      <c r="B34" s="749" t="s">
        <v>178</v>
      </c>
      <c r="C34" s="206" t="s">
        <v>647</v>
      </c>
      <c r="D34" s="750">
        <v>1.4</v>
      </c>
    </row>
    <row r="35" spans="1:4" x14ac:dyDescent="0.25">
      <c r="A35" s="748">
        <v>5</v>
      </c>
      <c r="B35" s="749" t="s">
        <v>177</v>
      </c>
      <c r="C35" s="206" t="s">
        <v>648</v>
      </c>
      <c r="D35" s="750">
        <v>0</v>
      </c>
    </row>
    <row r="36" spans="1:4" x14ac:dyDescent="0.25">
      <c r="A36" s="748">
        <v>6</v>
      </c>
      <c r="B36" s="749" t="s">
        <v>120</v>
      </c>
      <c r="C36" s="206" t="s">
        <v>649</v>
      </c>
      <c r="D36" s="750">
        <v>0.18</v>
      </c>
    </row>
  </sheetData>
  <mergeCells count="2">
    <mergeCell ref="A1:B1"/>
    <mergeCell ref="A10:B10"/>
  </mergeCells>
  <pageMargins left="0.74803149606299213" right="0.15748031496062992" top="0.98425196850393704" bottom="0.98425196850393704" header="0.35433070866141736" footer="0.31496062992125984"/>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N47"/>
  <sheetViews>
    <sheetView showGridLines="0" topLeftCell="A13" zoomScaleNormal="100" workbookViewId="0">
      <selection activeCell="B20" sqref="B20"/>
    </sheetView>
  </sheetViews>
  <sheetFormatPr defaultRowHeight="12" x14ac:dyDescent="0.2"/>
  <cols>
    <col min="1" max="1" width="28.85546875" style="657" bestFit="1" customWidth="1"/>
    <col min="2" max="3" width="19" style="657" bestFit="1" customWidth="1"/>
    <col min="4" max="4" width="11" style="657" bestFit="1" customWidth="1"/>
    <col min="5" max="5" width="9.140625" style="657" customWidth="1"/>
    <col min="6" max="6" width="11.5703125" style="657" customWidth="1"/>
    <col min="7" max="7" width="16.28515625" style="657" customWidth="1"/>
    <col min="8" max="8" width="11" style="657" bestFit="1" customWidth="1"/>
    <col min="9" max="9" width="12.140625" style="657" bestFit="1" customWidth="1"/>
    <col min="10" max="10" width="10.7109375" style="657" customWidth="1"/>
    <col min="11" max="11" width="10.5703125" style="657" customWidth="1"/>
    <col min="12" max="13" width="9.140625" style="657"/>
    <col min="14" max="14" width="12.5703125" style="657" bestFit="1" customWidth="1"/>
    <col min="15" max="19" width="12.5703125" style="657" customWidth="1"/>
    <col min="20" max="20" width="9.140625" style="657"/>
    <col min="21" max="21" width="0" style="657" hidden="1" customWidth="1"/>
    <col min="22" max="22" width="12.5703125" style="725" hidden="1" customWidth="1"/>
    <col min="23" max="24" width="9.140625" style="725" hidden="1" customWidth="1"/>
    <col min="25" max="25" width="11.7109375" style="725" hidden="1" customWidth="1"/>
    <col min="26" max="40" width="9.140625" style="725" hidden="1" customWidth="1"/>
    <col min="41" max="41" width="0" style="657" hidden="1" customWidth="1"/>
    <col min="42" max="16384" width="9.140625" style="657"/>
  </cols>
  <sheetData>
    <row r="1" spans="1:40" ht="23.25" customHeight="1" x14ac:dyDescent="0.2">
      <c r="A1" s="718" t="s">
        <v>376</v>
      </c>
      <c r="B1" s="719" t="s">
        <v>377</v>
      </c>
      <c r="C1" s="719" t="s">
        <v>378</v>
      </c>
      <c r="E1" s="720" t="s">
        <v>379</v>
      </c>
      <c r="F1" s="720" t="s">
        <v>380</v>
      </c>
      <c r="G1" s="720" t="s">
        <v>381</v>
      </c>
      <c r="H1" s="721" t="s">
        <v>382</v>
      </c>
      <c r="I1" s="722">
        <v>75</v>
      </c>
      <c r="K1" s="723"/>
      <c r="L1" s="724"/>
      <c r="V1" s="725" t="s">
        <v>383</v>
      </c>
    </row>
    <row r="2" spans="1:40" x14ac:dyDescent="0.2">
      <c r="A2" s="662" t="s">
        <v>384</v>
      </c>
      <c r="B2" s="701">
        <f>C2*$I$1</f>
        <v>28800</v>
      </c>
      <c r="C2" s="657">
        <f>((E2*535)+(F2*G3))/(535+G3)</f>
        <v>384</v>
      </c>
      <c r="E2" s="726">
        <v>384</v>
      </c>
      <c r="F2" s="726">
        <f>$G$2*49.2</f>
        <v>402.45600000000002</v>
      </c>
      <c r="G2" s="727">
        <v>8.18</v>
      </c>
      <c r="V2" s="725" t="s">
        <v>385</v>
      </c>
      <c r="Y2" s="725" t="s">
        <v>386</v>
      </c>
      <c r="AB2" s="725" t="s">
        <v>387</v>
      </c>
      <c r="AG2" s="725" t="s">
        <v>387</v>
      </c>
      <c r="AJ2" s="725" t="s">
        <v>386</v>
      </c>
      <c r="AM2" s="725" t="s">
        <v>385</v>
      </c>
    </row>
    <row r="3" spans="1:40" x14ac:dyDescent="0.2">
      <c r="A3" s="662" t="s">
        <v>221</v>
      </c>
      <c r="B3" s="701">
        <f t="shared" ref="B3:B16" si="0">C3*$I$1</f>
        <v>37275</v>
      </c>
      <c r="C3" s="657">
        <v>497</v>
      </c>
      <c r="D3" s="701"/>
      <c r="E3" s="935"/>
      <c r="F3" s="935"/>
      <c r="G3" s="728">
        <f>IF(Dashboard!$A$5="Scenario 1",244,IF(Dashboard!$A$5="Scenario 2",480,IF(Dashboard!$A$5="Scenario 3",721,0)))</f>
        <v>0</v>
      </c>
      <c r="H3" s="701" t="s">
        <v>388</v>
      </c>
      <c r="V3" s="725" t="s">
        <v>389</v>
      </c>
      <c r="W3" s="725" t="s">
        <v>390</v>
      </c>
      <c r="Y3" s="725" t="s">
        <v>389</v>
      </c>
      <c r="Z3" s="725" t="s">
        <v>390</v>
      </c>
      <c r="AB3" s="725" t="s">
        <v>389</v>
      </c>
      <c r="AC3" s="725" t="s">
        <v>390</v>
      </c>
      <c r="AG3" s="725" t="s">
        <v>389</v>
      </c>
      <c r="AH3" s="725" t="s">
        <v>391</v>
      </c>
      <c r="AJ3" s="725" t="s">
        <v>389</v>
      </c>
      <c r="AK3" s="725" t="s">
        <v>391</v>
      </c>
      <c r="AM3" s="725" t="s">
        <v>389</v>
      </c>
      <c r="AN3" s="725" t="s">
        <v>391</v>
      </c>
    </row>
    <row r="4" spans="1:40" x14ac:dyDescent="0.2">
      <c r="A4" s="662" t="s">
        <v>392</v>
      </c>
      <c r="B4" s="701">
        <f t="shared" si="0"/>
        <v>34425</v>
      </c>
      <c r="C4" s="657">
        <v>459</v>
      </c>
      <c r="W4" s="725">
        <f>[4]FM_Snr1!O11</f>
        <v>-40.999781953978527</v>
      </c>
      <c r="Z4" s="725">
        <f>[4]FM_Snr2!O11</f>
        <v>691.55872615659382</v>
      </c>
      <c r="AC4" s="725">
        <f>[4]FM_Snr3!O11</f>
        <v>850.23047895642367</v>
      </c>
      <c r="AH4" s="725">
        <f>[4]FM_Snr3!K11</f>
        <v>4334.5329293303594</v>
      </c>
      <c r="AK4" s="725">
        <f>[4]FM_Snr2!K11</f>
        <v>4175.8611765305295</v>
      </c>
      <c r="AN4" s="725">
        <f>[4]FM_Snr1!K11</f>
        <v>3443.3026684199572</v>
      </c>
    </row>
    <row r="5" spans="1:40" x14ac:dyDescent="0.2">
      <c r="A5" s="662" t="s">
        <v>393</v>
      </c>
      <c r="B5" s="701">
        <f t="shared" si="0"/>
        <v>35625</v>
      </c>
      <c r="C5" s="657">
        <v>475</v>
      </c>
      <c r="V5" s="729">
        <v>6</v>
      </c>
      <c r="W5" s="725">
        <f t="dataTable" ref="W5:W24" dt2D="0" dtr="0" r1="G2"/>
        <v>-40.999781953978527</v>
      </c>
      <c r="Y5" s="729">
        <v>6</v>
      </c>
      <c r="Z5" s="725">
        <f t="dataTable" ref="Z5:Z24" dt2D="0" dtr="0" r1="G2"/>
        <v>691.55872615659382</v>
      </c>
      <c r="AB5" s="729">
        <v>6</v>
      </c>
      <c r="AC5" s="725">
        <f t="dataTable" ref="AC5:AC24" dt2D="0" dtr="0" r1="G2"/>
        <v>850.23047895642367</v>
      </c>
      <c r="AG5" s="729">
        <v>6</v>
      </c>
      <c r="AH5" s="725">
        <f t="dataTable" ref="AH5:AH24" dt2D="0" dtr="0" r1="G2"/>
        <v>4334.5329293303594</v>
      </c>
      <c r="AJ5" s="729">
        <v>6</v>
      </c>
      <c r="AK5" s="725">
        <f t="dataTable" ref="AK5:AK24" dt2D="0" dtr="0" r1="G2"/>
        <v>4175.8611765305295</v>
      </c>
      <c r="AM5" s="729">
        <v>6</v>
      </c>
      <c r="AN5" s="725">
        <f t="dataTable" ref="AN5:AN24" dt2D="0" dtr="0" r1="G2"/>
        <v>3443.3026684199572</v>
      </c>
    </row>
    <row r="6" spans="1:40" x14ac:dyDescent="0.2">
      <c r="A6" s="730" t="s">
        <v>11</v>
      </c>
      <c r="B6" s="701">
        <f t="shared" si="0"/>
        <v>79050</v>
      </c>
      <c r="C6" s="657">
        <v>1054</v>
      </c>
      <c r="V6" s="729">
        <v>6.5</v>
      </c>
      <c r="W6" s="725">
        <v>-40.999781953978527</v>
      </c>
      <c r="Y6" s="729">
        <v>6.5</v>
      </c>
      <c r="Z6" s="725">
        <v>691.55872615659382</v>
      </c>
      <c r="AB6" s="729">
        <v>6.5</v>
      </c>
      <c r="AC6" s="725">
        <v>850.23047895642367</v>
      </c>
      <c r="AG6" s="729">
        <v>6.5</v>
      </c>
      <c r="AH6" s="725">
        <v>4334.5329293303594</v>
      </c>
      <c r="AJ6" s="729">
        <v>6.5</v>
      </c>
      <c r="AK6" s="725">
        <v>4175.8611765305295</v>
      </c>
      <c r="AM6" s="729">
        <v>6.5</v>
      </c>
      <c r="AN6" s="725">
        <v>3443.3026684199572</v>
      </c>
    </row>
    <row r="7" spans="1:40" x14ac:dyDescent="0.2">
      <c r="A7" s="662" t="s">
        <v>126</v>
      </c>
      <c r="B7" s="701">
        <f t="shared" si="0"/>
        <v>62250</v>
      </c>
      <c r="C7" s="657">
        <v>830</v>
      </c>
      <c r="V7" s="729">
        <v>7</v>
      </c>
      <c r="W7" s="725">
        <v>-40.999781953978527</v>
      </c>
      <c r="Y7" s="729">
        <v>7</v>
      </c>
      <c r="Z7" s="725">
        <v>691.55872615659382</v>
      </c>
      <c r="AB7" s="729">
        <v>7</v>
      </c>
      <c r="AC7" s="725">
        <v>850.23047895642367</v>
      </c>
      <c r="AG7" s="729">
        <v>7</v>
      </c>
      <c r="AH7" s="725">
        <v>4334.5329293303594</v>
      </c>
      <c r="AJ7" s="729">
        <v>7</v>
      </c>
      <c r="AK7" s="725">
        <v>4175.8611765305295</v>
      </c>
      <c r="AM7" s="729">
        <v>7</v>
      </c>
      <c r="AN7" s="725">
        <v>3443.3026684199572</v>
      </c>
    </row>
    <row r="8" spans="1:40" x14ac:dyDescent="0.2">
      <c r="A8" s="662" t="s">
        <v>394</v>
      </c>
      <c r="B8" s="701">
        <f t="shared" si="0"/>
        <v>24600</v>
      </c>
      <c r="C8" s="657">
        <v>328</v>
      </c>
      <c r="V8" s="729">
        <v>7.5</v>
      </c>
      <c r="W8" s="725">
        <v>-40.999781953978527</v>
      </c>
      <c r="Y8" s="729">
        <v>7.5</v>
      </c>
      <c r="Z8" s="725">
        <v>691.55872615659382</v>
      </c>
      <c r="AB8" s="729">
        <v>7.5</v>
      </c>
      <c r="AC8" s="725">
        <v>850.23047895642367</v>
      </c>
      <c r="AG8" s="729">
        <v>7.5</v>
      </c>
      <c r="AH8" s="725">
        <v>4334.5329293303594</v>
      </c>
      <c r="AJ8" s="729">
        <v>7.5</v>
      </c>
      <c r="AK8" s="725">
        <v>4175.8611765305295</v>
      </c>
      <c r="AM8" s="729">
        <v>7.5</v>
      </c>
      <c r="AN8" s="725">
        <v>3443.3026684199572</v>
      </c>
    </row>
    <row r="9" spans="1:40" x14ac:dyDescent="0.2">
      <c r="A9" s="662" t="s">
        <v>179</v>
      </c>
      <c r="B9" s="701">
        <f t="shared" si="0"/>
        <v>56250</v>
      </c>
      <c r="C9" s="657">
        <v>750</v>
      </c>
      <c r="V9" s="729">
        <v>8</v>
      </c>
      <c r="W9" s="725">
        <v>-40.999781953978527</v>
      </c>
      <c r="Y9" s="729">
        <v>8</v>
      </c>
      <c r="Z9" s="725">
        <v>691.55872615659382</v>
      </c>
      <c r="AB9" s="729">
        <v>8</v>
      </c>
      <c r="AC9" s="725">
        <v>850.23047895642367</v>
      </c>
      <c r="AG9" s="729">
        <v>8</v>
      </c>
      <c r="AH9" s="725">
        <v>4334.5329293303594</v>
      </c>
      <c r="AJ9" s="729">
        <v>8</v>
      </c>
      <c r="AK9" s="725">
        <v>4175.8611765305295</v>
      </c>
      <c r="AM9" s="729">
        <v>8</v>
      </c>
      <c r="AN9" s="725">
        <v>3443.3026684199572</v>
      </c>
    </row>
    <row r="10" spans="1:40" x14ac:dyDescent="0.2">
      <c r="A10" s="662" t="s">
        <v>117</v>
      </c>
      <c r="B10" s="701">
        <f t="shared" si="0"/>
        <v>89175</v>
      </c>
      <c r="C10" s="657">
        <v>1189</v>
      </c>
      <c r="V10" s="729">
        <v>8.18</v>
      </c>
      <c r="W10" s="725">
        <v>-40.999781953978527</v>
      </c>
      <c r="Y10" s="729">
        <v>8.18</v>
      </c>
      <c r="Z10" s="725">
        <v>691.55872615659382</v>
      </c>
      <c r="AB10" s="729">
        <v>8.18</v>
      </c>
      <c r="AC10" s="725">
        <v>850.23047895642367</v>
      </c>
      <c r="AG10" s="729">
        <v>8.18</v>
      </c>
      <c r="AH10" s="725">
        <v>4334.5329293303594</v>
      </c>
      <c r="AJ10" s="729">
        <v>8.18</v>
      </c>
      <c r="AK10" s="725">
        <v>4175.8611765305295</v>
      </c>
      <c r="AM10" s="729">
        <v>8.18</v>
      </c>
      <c r="AN10" s="725">
        <v>3443.3026684199572</v>
      </c>
    </row>
    <row r="11" spans="1:40" x14ac:dyDescent="0.2">
      <c r="A11" s="662" t="s">
        <v>118</v>
      </c>
      <c r="B11" s="701">
        <f t="shared" si="0"/>
        <v>40425</v>
      </c>
      <c r="C11" s="657">
        <v>539</v>
      </c>
      <c r="V11" s="729">
        <v>8.5</v>
      </c>
      <c r="W11" s="725">
        <v>-40.999781953978527</v>
      </c>
      <c r="Y11" s="729">
        <v>8.5</v>
      </c>
      <c r="Z11" s="725">
        <v>691.55872615659382</v>
      </c>
      <c r="AB11" s="729">
        <v>8.5</v>
      </c>
      <c r="AC11" s="725">
        <v>850.23047895642367</v>
      </c>
      <c r="AG11" s="729">
        <v>8.5</v>
      </c>
      <c r="AH11" s="725">
        <v>4334.5329293303594</v>
      </c>
      <c r="AJ11" s="729">
        <v>8.5</v>
      </c>
      <c r="AK11" s="725">
        <v>4175.8611765305295</v>
      </c>
      <c r="AM11" s="729">
        <v>8.5</v>
      </c>
      <c r="AN11" s="725">
        <v>3443.3026684199572</v>
      </c>
    </row>
    <row r="12" spans="1:40" x14ac:dyDescent="0.2">
      <c r="A12" s="662" t="s">
        <v>395</v>
      </c>
      <c r="B12" s="701">
        <f t="shared" si="0"/>
        <v>11475</v>
      </c>
      <c r="C12" s="657">
        <v>153</v>
      </c>
      <c r="V12" s="729">
        <v>9</v>
      </c>
      <c r="W12" s="725">
        <v>-40.999781953978527</v>
      </c>
      <c r="Y12" s="729">
        <v>9</v>
      </c>
      <c r="Z12" s="725">
        <v>691.55872615659382</v>
      </c>
      <c r="AB12" s="729">
        <v>9</v>
      </c>
      <c r="AC12" s="725">
        <v>850.23047895642367</v>
      </c>
      <c r="AG12" s="729">
        <v>9</v>
      </c>
      <c r="AH12" s="725">
        <v>4334.5329293303594</v>
      </c>
      <c r="AJ12" s="729">
        <v>9</v>
      </c>
      <c r="AK12" s="725">
        <v>4175.8611765305295</v>
      </c>
      <c r="AM12" s="729">
        <v>9</v>
      </c>
      <c r="AN12" s="725">
        <v>3443.3026684199572</v>
      </c>
    </row>
    <row r="13" spans="1:40" x14ac:dyDescent="0.2">
      <c r="A13" s="662" t="s">
        <v>396</v>
      </c>
      <c r="B13" s="701">
        <f t="shared" si="0"/>
        <v>97500</v>
      </c>
      <c r="C13" s="657">
        <v>1300</v>
      </c>
      <c r="V13" s="729">
        <v>9.5</v>
      </c>
      <c r="W13" s="725">
        <v>-40.999781953978527</v>
      </c>
      <c r="Y13" s="729">
        <v>9.5</v>
      </c>
      <c r="Z13" s="725">
        <v>691.55872615659382</v>
      </c>
      <c r="AB13" s="729">
        <v>9.5</v>
      </c>
      <c r="AC13" s="725">
        <v>850.23047895642367</v>
      </c>
      <c r="AG13" s="729">
        <v>9.5</v>
      </c>
      <c r="AH13" s="725">
        <v>4334.5329293303594</v>
      </c>
      <c r="AJ13" s="729">
        <v>9.5</v>
      </c>
      <c r="AK13" s="725">
        <v>4175.8611765305295</v>
      </c>
      <c r="AM13" s="729">
        <v>9.5</v>
      </c>
      <c r="AN13" s="725">
        <v>3443.3026684199572</v>
      </c>
    </row>
    <row r="14" spans="1:40" x14ac:dyDescent="0.2">
      <c r="A14" s="662" t="s">
        <v>120</v>
      </c>
      <c r="B14" s="701">
        <f t="shared" si="0"/>
        <v>46725</v>
      </c>
      <c r="C14" s="657">
        <v>623</v>
      </c>
      <c r="V14" s="729">
        <v>10</v>
      </c>
      <c r="W14" s="725">
        <v>-40.999781953978527</v>
      </c>
      <c r="Y14" s="729">
        <v>10</v>
      </c>
      <c r="Z14" s="725">
        <v>691.55872615659382</v>
      </c>
      <c r="AB14" s="729">
        <v>10</v>
      </c>
      <c r="AC14" s="725">
        <v>850.23047895642367</v>
      </c>
      <c r="AG14" s="729">
        <v>10</v>
      </c>
      <c r="AH14" s="725">
        <v>4334.5329293303594</v>
      </c>
      <c r="AJ14" s="729">
        <v>10</v>
      </c>
      <c r="AK14" s="725">
        <v>4175.8611765305295</v>
      </c>
      <c r="AM14" s="729">
        <v>10</v>
      </c>
      <c r="AN14" s="725">
        <v>3443.3026684199572</v>
      </c>
    </row>
    <row r="15" spans="1:40" x14ac:dyDescent="0.2">
      <c r="A15" s="662" t="s">
        <v>397</v>
      </c>
      <c r="B15" s="701">
        <f t="shared" si="0"/>
        <v>11475</v>
      </c>
      <c r="C15" s="657">
        <v>153</v>
      </c>
      <c r="V15" s="729">
        <v>10.5</v>
      </c>
      <c r="W15" s="725">
        <v>-40.999781953978527</v>
      </c>
      <c r="Y15" s="729">
        <v>10.5</v>
      </c>
      <c r="Z15" s="725">
        <v>691.55872615659382</v>
      </c>
      <c r="AB15" s="729">
        <v>10.5</v>
      </c>
      <c r="AC15" s="725">
        <v>850.23047895642367</v>
      </c>
      <c r="AG15" s="729">
        <v>10.5</v>
      </c>
      <c r="AH15" s="725">
        <v>4334.5329293303594</v>
      </c>
      <c r="AJ15" s="729">
        <v>10.5</v>
      </c>
      <c r="AK15" s="725">
        <v>4175.8611765305295</v>
      </c>
      <c r="AM15" s="729">
        <v>10.5</v>
      </c>
      <c r="AN15" s="725">
        <v>3443.3026684199572</v>
      </c>
    </row>
    <row r="16" spans="1:40" x14ac:dyDescent="0.2">
      <c r="A16" s="662" t="s">
        <v>398</v>
      </c>
      <c r="B16" s="701">
        <f t="shared" si="0"/>
        <v>11475</v>
      </c>
      <c r="C16" s="657">
        <v>153</v>
      </c>
      <c r="V16" s="729">
        <v>11</v>
      </c>
      <c r="W16" s="725">
        <v>-40.999781953978527</v>
      </c>
      <c r="Y16" s="729">
        <v>11</v>
      </c>
      <c r="Z16" s="725">
        <v>691.55872615659382</v>
      </c>
      <c r="AB16" s="729">
        <v>11</v>
      </c>
      <c r="AC16" s="725">
        <v>850.23047895642367</v>
      </c>
      <c r="AG16" s="729">
        <v>11</v>
      </c>
      <c r="AH16" s="725">
        <v>4334.5329293303594</v>
      </c>
      <c r="AJ16" s="729">
        <v>11</v>
      </c>
      <c r="AK16" s="725">
        <v>4175.8611765305295</v>
      </c>
      <c r="AM16" s="729">
        <v>11</v>
      </c>
      <c r="AN16" s="725">
        <v>3443.3026684199572</v>
      </c>
    </row>
    <row r="17" spans="1:40" x14ac:dyDescent="0.2">
      <c r="V17" s="729">
        <v>11.5</v>
      </c>
      <c r="W17" s="725">
        <v>-40.999781953978527</v>
      </c>
      <c r="Y17" s="729">
        <v>11.5</v>
      </c>
      <c r="Z17" s="725">
        <v>691.55872615659382</v>
      </c>
      <c r="AB17" s="729">
        <v>11.5</v>
      </c>
      <c r="AC17" s="725">
        <v>850.23047895642367</v>
      </c>
      <c r="AG17" s="729">
        <v>11.5</v>
      </c>
      <c r="AH17" s="725">
        <v>4334.5329293303594</v>
      </c>
      <c r="AJ17" s="729">
        <v>11.5</v>
      </c>
      <c r="AK17" s="725">
        <v>4175.8611765305295</v>
      </c>
      <c r="AM17" s="729">
        <v>11.5</v>
      </c>
      <c r="AN17" s="725">
        <v>3443.3026684199572</v>
      </c>
    </row>
    <row r="18" spans="1:40" x14ac:dyDescent="0.2">
      <c r="A18" s="665" t="s">
        <v>399</v>
      </c>
      <c r="G18" s="665" t="s">
        <v>400</v>
      </c>
      <c r="V18" s="729">
        <v>12</v>
      </c>
      <c r="W18" s="725">
        <v>-40.999781953978527</v>
      </c>
      <c r="Y18" s="729">
        <v>12</v>
      </c>
      <c r="Z18" s="725">
        <v>691.55872615659382</v>
      </c>
      <c r="AB18" s="729">
        <v>12</v>
      </c>
      <c r="AC18" s="725">
        <v>850.23047895642367</v>
      </c>
      <c r="AG18" s="729">
        <v>12</v>
      </c>
      <c r="AH18" s="725">
        <v>4334.5329293303594</v>
      </c>
      <c r="AJ18" s="729">
        <v>12</v>
      </c>
      <c r="AK18" s="725">
        <v>4175.8611765305295</v>
      </c>
      <c r="AM18" s="729">
        <v>12</v>
      </c>
      <c r="AN18" s="725">
        <v>3443.3026684199572</v>
      </c>
    </row>
    <row r="19" spans="1:40" x14ac:dyDescent="0.2">
      <c r="A19" s="718" t="s">
        <v>225</v>
      </c>
      <c r="B19" s="719" t="s">
        <v>356</v>
      </c>
      <c r="C19" s="719" t="s">
        <v>357</v>
      </c>
      <c r="D19" s="719" t="s">
        <v>358</v>
      </c>
      <c r="E19" s="719" t="s">
        <v>221</v>
      </c>
      <c r="F19" s="731"/>
      <c r="G19" s="718" t="s">
        <v>225</v>
      </c>
      <c r="H19" s="719" t="s">
        <v>356</v>
      </c>
      <c r="I19" s="719" t="s">
        <v>357</v>
      </c>
      <c r="J19" s="719" t="s">
        <v>358</v>
      </c>
      <c r="K19" s="719" t="s">
        <v>221</v>
      </c>
      <c r="V19" s="729">
        <v>12.5</v>
      </c>
      <c r="W19" s="725">
        <v>-40.999781953978527</v>
      </c>
      <c r="Y19" s="729">
        <v>12.5</v>
      </c>
      <c r="Z19" s="725">
        <v>691.55872615659382</v>
      </c>
      <c r="AB19" s="729">
        <v>12.5</v>
      </c>
      <c r="AC19" s="725">
        <v>850.23047895642367</v>
      </c>
      <c r="AG19" s="729">
        <v>12.5</v>
      </c>
      <c r="AH19" s="725">
        <v>4334.5329293303594</v>
      </c>
      <c r="AJ19" s="729">
        <v>12.5</v>
      </c>
      <c r="AK19" s="725">
        <v>4175.8611765305295</v>
      </c>
      <c r="AM19" s="729">
        <v>12.5</v>
      </c>
      <c r="AN19" s="725">
        <v>3443.3026684199572</v>
      </c>
    </row>
    <row r="20" spans="1:40" x14ac:dyDescent="0.2">
      <c r="A20" s="662" t="s">
        <v>219</v>
      </c>
      <c r="B20" s="732">
        <f>Yield_OPaL!B3</f>
        <v>0.82</v>
      </c>
      <c r="C20" s="733">
        <f>Yield_OPaL!C3</f>
        <v>0.46</v>
      </c>
      <c r="D20" s="732">
        <f>Yield_OPaL!D3</f>
        <v>0.33</v>
      </c>
      <c r="E20" s="732">
        <f>Yield_OPaL!E3</f>
        <v>0.32</v>
      </c>
      <c r="G20" s="662" t="s">
        <v>219</v>
      </c>
      <c r="H20" s="732">
        <f>Yield_OPaL!B22</f>
        <v>0.82</v>
      </c>
      <c r="I20" s="732">
        <f>Yield_OPaL!C22</f>
        <v>0.46</v>
      </c>
      <c r="J20" s="732">
        <f>Yield_OPaL!D22</f>
        <v>0.33</v>
      </c>
      <c r="K20" s="732">
        <f>Yield_OPaL!E22</f>
        <v>0.308</v>
      </c>
      <c r="L20" s="701"/>
      <c r="M20" s="701"/>
      <c r="N20" s="701"/>
      <c r="O20" s="701"/>
      <c r="P20" s="701"/>
      <c r="Q20" s="701"/>
      <c r="R20" s="701"/>
      <c r="S20" s="701"/>
      <c r="V20" s="729">
        <v>13</v>
      </c>
      <c r="W20" s="725">
        <v>-40.999781953978527</v>
      </c>
      <c r="Y20" s="729">
        <v>13</v>
      </c>
      <c r="Z20" s="725">
        <v>691.55872615659382</v>
      </c>
      <c r="AB20" s="729">
        <v>13</v>
      </c>
      <c r="AC20" s="725">
        <v>850.23047895642367</v>
      </c>
      <c r="AG20" s="729">
        <v>13</v>
      </c>
      <c r="AH20" s="725">
        <v>4334.5329293303594</v>
      </c>
      <c r="AJ20" s="729">
        <v>13</v>
      </c>
      <c r="AK20" s="725">
        <v>4175.8611765305295</v>
      </c>
      <c r="AM20" s="729">
        <v>13</v>
      </c>
      <c r="AN20" s="725">
        <v>3443.3026684199572</v>
      </c>
    </row>
    <row r="21" spans="1:40" x14ac:dyDescent="0.2">
      <c r="A21" s="662" t="s">
        <v>218</v>
      </c>
      <c r="B21" s="732">
        <f>Yield_OPaL!B4</f>
        <v>0.01</v>
      </c>
      <c r="C21" s="733">
        <f>Yield_OPaL!C4</f>
        <v>0.24</v>
      </c>
      <c r="D21" s="732">
        <f>Yield_OPaL!D4</f>
        <v>0.24</v>
      </c>
      <c r="E21" s="732">
        <f>Yield_OPaL!E4</f>
        <v>0.193</v>
      </c>
      <c r="G21" s="662" t="s">
        <v>218</v>
      </c>
      <c r="H21" s="732">
        <f>Yield_OPaL!B23</f>
        <v>0.01</v>
      </c>
      <c r="I21" s="732">
        <f>Yield_OPaL!C23</f>
        <v>0.24</v>
      </c>
      <c r="J21" s="732">
        <f>Yield_OPaL!D23</f>
        <v>0.24</v>
      </c>
      <c r="K21" s="732">
        <f>Yield_OPaL!E23</f>
        <v>0.224</v>
      </c>
      <c r="L21" s="701"/>
      <c r="M21" s="701"/>
      <c r="N21" s="701"/>
      <c r="O21" s="701"/>
      <c r="P21" s="701"/>
      <c r="Q21" s="701"/>
      <c r="R21" s="701"/>
      <c r="S21" s="701"/>
      <c r="V21" s="729">
        <v>13.5</v>
      </c>
      <c r="W21" s="725">
        <v>-40.999781953978527</v>
      </c>
      <c r="Y21" s="729">
        <v>13.5</v>
      </c>
      <c r="Z21" s="725">
        <v>691.55872615659382</v>
      </c>
      <c r="AB21" s="729">
        <v>13.5</v>
      </c>
      <c r="AC21" s="725">
        <v>850.23047895642367</v>
      </c>
      <c r="AG21" s="729">
        <v>13.5</v>
      </c>
      <c r="AH21" s="725">
        <v>4334.5329293303594</v>
      </c>
      <c r="AJ21" s="729">
        <v>13.5</v>
      </c>
      <c r="AK21" s="725">
        <v>4175.8611765305295</v>
      </c>
      <c r="AM21" s="729">
        <v>13.5</v>
      </c>
      <c r="AN21" s="725">
        <v>3443.3026684199572</v>
      </c>
    </row>
    <row r="22" spans="1:40" x14ac:dyDescent="0.2">
      <c r="A22" s="662" t="s">
        <v>119</v>
      </c>
      <c r="B22" s="732">
        <f>Yield_OPaL!B7</f>
        <v>1.8E-3</v>
      </c>
      <c r="C22" s="733">
        <f>Yield_OPaL!C7</f>
        <v>0.01</v>
      </c>
      <c r="D22" s="732">
        <f>Yield_OPaL!D7</f>
        <v>0.01</v>
      </c>
      <c r="E22" s="732">
        <f>Yield_OPaL!E7</f>
        <v>3.5999999999999997E-2</v>
      </c>
      <c r="G22" s="662" t="s">
        <v>119</v>
      </c>
      <c r="H22" s="732">
        <f>Yield_OPaL!B26</f>
        <v>1.8E-3</v>
      </c>
      <c r="I22" s="732">
        <f>Yield_OPaL!C26</f>
        <v>0.01</v>
      </c>
      <c r="J22" s="732">
        <f>Yield_OPaL!D26</f>
        <v>0.01</v>
      </c>
      <c r="K22" s="732">
        <f>Yield_OPaL!E26</f>
        <v>3.6999999999999998E-2</v>
      </c>
      <c r="L22" s="701"/>
      <c r="M22" s="701"/>
      <c r="N22" s="701"/>
      <c r="O22" s="701"/>
      <c r="P22" s="701"/>
      <c r="Q22" s="701"/>
      <c r="R22" s="701"/>
      <c r="S22" s="701"/>
      <c r="V22" s="729">
        <v>14</v>
      </c>
      <c r="W22" s="725">
        <v>-40.999781953978527</v>
      </c>
      <c r="Y22" s="729">
        <v>14</v>
      </c>
      <c r="Z22" s="725">
        <v>691.55872615659382</v>
      </c>
      <c r="AB22" s="729">
        <v>14</v>
      </c>
      <c r="AC22" s="725">
        <v>850.23047895642367</v>
      </c>
      <c r="AG22" s="729">
        <v>14</v>
      </c>
      <c r="AH22" s="725">
        <v>4334.5329293303594</v>
      </c>
      <c r="AJ22" s="729">
        <v>14</v>
      </c>
      <c r="AK22" s="725">
        <v>4175.8611765305295</v>
      </c>
      <c r="AM22" s="729">
        <v>14</v>
      </c>
      <c r="AN22" s="725">
        <v>3443.3026684199572</v>
      </c>
    </row>
    <row r="23" spans="1:40" x14ac:dyDescent="0.2">
      <c r="A23" s="662" t="s">
        <v>179</v>
      </c>
      <c r="B23" s="732">
        <f>Yield_OPaL!$D$12*Yield_OPaL!B5</f>
        <v>3.2399999999999998E-3</v>
      </c>
      <c r="C23" s="733">
        <f>Yield_OPaL!$D$12*Yield_OPaL!C5</f>
        <v>4.7999999999999996E-3</v>
      </c>
      <c r="D23" s="732">
        <f>Yield_OPaL!$D$12*Yield_OPaL!D5</f>
        <v>2.2800000000000001E-2</v>
      </c>
      <c r="E23" s="732">
        <f>Yield_OPaL!$D$12*Yield_OPaL!E5</f>
        <v>8.2799999999999985E-2</v>
      </c>
      <c r="G23" s="662" t="s">
        <v>179</v>
      </c>
      <c r="H23" s="732">
        <f>Yield_OPaL!B24*Yield_OPaL!$D$31</f>
        <v>2.7000000000000001E-3</v>
      </c>
      <c r="I23" s="732">
        <f>Yield_OPaL!C24*Yield_OPaL!$D$31</f>
        <v>4.0000000000000001E-3</v>
      </c>
      <c r="J23" s="732">
        <f>Yield_OPaL!D24*Yield_OPaL!$D$31</f>
        <v>1.9000000000000003E-2</v>
      </c>
      <c r="K23" s="732">
        <f>Yield_OPaL!E24*Yield_OPaL!$D$31</f>
        <v>8.5880000000000012E-2</v>
      </c>
      <c r="L23" s="701"/>
      <c r="M23" s="701"/>
      <c r="N23" s="701"/>
      <c r="O23" s="701"/>
      <c r="P23" s="701"/>
      <c r="Q23" s="701"/>
      <c r="R23" s="701"/>
      <c r="S23" s="701"/>
      <c r="V23" s="729">
        <v>14.5</v>
      </c>
      <c r="W23" s="725">
        <v>-40.999781953978527</v>
      </c>
      <c r="Y23" s="729">
        <v>14.5</v>
      </c>
      <c r="Z23" s="725">
        <v>691.55872615659382</v>
      </c>
      <c r="AB23" s="729">
        <v>14.5</v>
      </c>
      <c r="AC23" s="725">
        <v>850.23047895642367</v>
      </c>
      <c r="AG23" s="729">
        <v>14.5</v>
      </c>
      <c r="AH23" s="725">
        <v>4334.5329293303594</v>
      </c>
      <c r="AJ23" s="729">
        <v>14.5</v>
      </c>
      <c r="AK23" s="725">
        <v>4175.8611765305295</v>
      </c>
      <c r="AM23" s="729">
        <v>14.5</v>
      </c>
      <c r="AN23" s="725">
        <v>3443.3026684199572</v>
      </c>
    </row>
    <row r="24" spans="1:40" x14ac:dyDescent="0.2">
      <c r="A24" s="662" t="s">
        <v>117</v>
      </c>
      <c r="B24" s="732">
        <f>Yield_OPaL!$D$13*Yield_OPaL!B6</f>
        <v>1.3617499999999999E-2</v>
      </c>
      <c r="C24" s="733">
        <f>Yield_OPaL!$D$13*Yield_OPaL!C6</f>
        <v>1.4665000000000001E-2</v>
      </c>
      <c r="D24" s="732">
        <f>Yield_OPaL!$D$13*Yield_OPaL!D6</f>
        <v>0.12989000000000001</v>
      </c>
      <c r="E24" s="732">
        <f>Yield_OPaL!$D$13*Yield_OPaL!E6</f>
        <v>5.4889E-2</v>
      </c>
      <c r="G24" s="662" t="s">
        <v>117</v>
      </c>
      <c r="H24" s="732">
        <f>Yield_OPaL!B25*Yield_OPaL!$D$32</f>
        <v>1.3000000000000001E-2</v>
      </c>
      <c r="I24" s="732">
        <f>Yield_OPaL!C25*Yield_OPaL!$D$32</f>
        <v>1.4000000000000002E-2</v>
      </c>
      <c r="J24" s="732">
        <f>Yield_OPaL!D25*Yield_OPaL!$D$32</f>
        <v>0.124</v>
      </c>
      <c r="K24" s="732">
        <f>Yield_OPaL!E25*Yield_OPaL!$D$32</f>
        <v>6.5600000000000006E-2</v>
      </c>
      <c r="L24" s="701"/>
      <c r="M24" s="701"/>
      <c r="N24" s="701"/>
      <c r="O24" s="701"/>
      <c r="P24" s="701"/>
      <c r="Q24" s="701"/>
      <c r="R24" s="701"/>
      <c r="S24" s="701"/>
      <c r="V24" s="729">
        <v>15</v>
      </c>
      <c r="W24" s="725">
        <v>-40.999781953978527</v>
      </c>
      <c r="Y24" s="729">
        <v>15</v>
      </c>
      <c r="Z24" s="725">
        <v>691.55872615659382</v>
      </c>
      <c r="AB24" s="729">
        <v>15</v>
      </c>
      <c r="AC24" s="725">
        <v>850.23047895642367</v>
      </c>
      <c r="AG24" s="729">
        <v>15</v>
      </c>
      <c r="AH24" s="725">
        <v>4334.5329293303594</v>
      </c>
      <c r="AJ24" s="729">
        <v>15</v>
      </c>
      <c r="AK24" s="725">
        <v>4175.8611765305295</v>
      </c>
      <c r="AM24" s="729">
        <v>15</v>
      </c>
      <c r="AN24" s="725">
        <v>3443.3026684199572</v>
      </c>
    </row>
    <row r="25" spans="1:40" x14ac:dyDescent="0.2">
      <c r="A25" s="662" t="s">
        <v>118</v>
      </c>
      <c r="B25" s="732">
        <f>Yield_OPaL!$D$14*Yield_OPaL!B5</f>
        <v>3.6450000000000002E-3</v>
      </c>
      <c r="C25" s="733">
        <f>Yield_OPaL!$D$14*Yield_OPaL!C5</f>
        <v>5.4000000000000003E-3</v>
      </c>
      <c r="D25" s="732">
        <f>Yield_OPaL!$D$14*Yield_OPaL!D5</f>
        <v>2.5650000000000003E-2</v>
      </c>
      <c r="E25" s="732">
        <f>Yield_OPaL!$D$14*Yield_OPaL!E5</f>
        <v>9.3149999999999997E-2</v>
      </c>
      <c r="G25" s="662" t="s">
        <v>118</v>
      </c>
      <c r="H25" s="732">
        <f>Yield_OPaL!B24*Yield_OPaL!$D$33</f>
        <v>3.2399999999999998E-3</v>
      </c>
      <c r="I25" s="732">
        <f>Yield_OPaL!C24*Yield_OPaL!$D$33</f>
        <v>4.7999999999999996E-3</v>
      </c>
      <c r="J25" s="732">
        <f>Yield_OPaL!D24*Yield_OPaL!$D$33</f>
        <v>2.2800000000000001E-2</v>
      </c>
      <c r="K25" s="732">
        <f>Yield_OPaL!E24*Yield_OPaL!$D$33</f>
        <v>0.10305599999999999</v>
      </c>
      <c r="L25" s="701"/>
      <c r="M25" s="701"/>
      <c r="N25" s="701"/>
      <c r="O25" s="701"/>
      <c r="P25" s="701"/>
      <c r="Q25" s="701"/>
      <c r="R25" s="701"/>
      <c r="S25" s="701"/>
    </row>
    <row r="26" spans="1:40" x14ac:dyDescent="0.2">
      <c r="A26" s="662" t="s">
        <v>395</v>
      </c>
      <c r="B26" s="732">
        <f>Yield_OPaL!B9-B27</f>
        <v>6.1051999999999995E-2</v>
      </c>
      <c r="C26" s="732">
        <f>Yield_OPaL!C9-C27</f>
        <v>1.4355999999999999E-2</v>
      </c>
      <c r="D26" s="732">
        <f>Yield_OPaL!D9-D27</f>
        <v>1.8537999999999999E-2</v>
      </c>
      <c r="E26" s="732">
        <f>Yield_OPaL!E9-E27</f>
        <v>1.1452E-2</v>
      </c>
      <c r="G26" s="662" t="s">
        <v>395</v>
      </c>
      <c r="H26" s="732">
        <f>Yield_OPaL!B28-H27</f>
        <v>6.1051999999999995E-2</v>
      </c>
      <c r="I26" s="732">
        <f>Yield_OPaL!C28-I27</f>
        <v>1.4355999999999999E-2</v>
      </c>
      <c r="J26" s="732">
        <f>Yield_OPaL!D28-J27</f>
        <v>1.8537999999999999E-2</v>
      </c>
      <c r="K26" s="732">
        <f>Yield_OPaL!E28-K27</f>
        <v>1.45688E-2</v>
      </c>
      <c r="L26" s="701"/>
      <c r="M26" s="701"/>
      <c r="N26" s="701"/>
      <c r="O26" s="701"/>
      <c r="P26" s="701"/>
      <c r="Q26" s="701"/>
      <c r="R26" s="701"/>
      <c r="S26" s="701"/>
    </row>
    <row r="27" spans="1:40" x14ac:dyDescent="0.2">
      <c r="A27" s="662" t="s">
        <v>396</v>
      </c>
      <c r="B27" s="732">
        <f>(Yield_OPaL!$D$15/1000)*Datasheet!B20</f>
        <v>1.1479999999999999E-3</v>
      </c>
      <c r="C27" s="732">
        <f>(Yield_OPaL!$D$15/1000)*Datasheet!C20</f>
        <v>6.4400000000000004E-4</v>
      </c>
      <c r="D27" s="732">
        <f>(Yield_OPaL!$D$15/1000)*Datasheet!D20</f>
        <v>4.6200000000000001E-4</v>
      </c>
      <c r="E27" s="732">
        <f>(Yield_OPaL!$D$15/1000)*Datasheet!E20</f>
        <v>4.4799999999999999E-4</v>
      </c>
      <c r="G27" s="662" t="s">
        <v>396</v>
      </c>
      <c r="H27" s="732">
        <f>(Yield_OPaL!$D$34/1000)*Datasheet!H20</f>
        <v>1.1479999999999999E-3</v>
      </c>
      <c r="I27" s="732">
        <f>(Yield_OPaL!$D$34/1000)*Datasheet!I20</f>
        <v>6.4400000000000004E-4</v>
      </c>
      <c r="J27" s="732">
        <f>(Yield_OPaL!$D$34/1000)*Datasheet!J20</f>
        <v>4.6200000000000001E-4</v>
      </c>
      <c r="K27" s="732">
        <f>(Yield_OPaL!$D$34/1000)*Datasheet!K20</f>
        <v>4.3119999999999996E-4</v>
      </c>
      <c r="L27" s="701"/>
      <c r="M27" s="701"/>
      <c r="N27" s="701"/>
      <c r="O27" s="701"/>
      <c r="P27" s="701"/>
      <c r="Q27" s="701"/>
      <c r="R27" s="701"/>
      <c r="S27" s="701"/>
    </row>
    <row r="28" spans="1:40" x14ac:dyDescent="0.2">
      <c r="A28" s="662" t="s">
        <v>120</v>
      </c>
      <c r="B28" s="732">
        <f>Yield_OPaL!$D$17*Datasheet!B25</f>
        <v>1.0935000000000001E-3</v>
      </c>
      <c r="C28" s="733">
        <f>Yield_OPaL!$D$17*Datasheet!C25</f>
        <v>1.6200000000000001E-3</v>
      </c>
      <c r="D28" s="732">
        <f>Yield_OPaL!$D$17*Datasheet!D25</f>
        <v>7.6950000000000005E-3</v>
      </c>
      <c r="E28" s="732">
        <f>Yield_OPaL!$D$17*Datasheet!E25</f>
        <v>2.7944999999999998E-2</v>
      </c>
      <c r="G28" s="662" t="s">
        <v>120</v>
      </c>
      <c r="H28" s="732">
        <f>Yield_OPaL!$D$36*Datasheet!H25</f>
        <v>5.8319999999999997E-4</v>
      </c>
      <c r="I28" s="732">
        <f>Yield_OPaL!$D$36*Datasheet!I25</f>
        <v>8.6399999999999986E-4</v>
      </c>
      <c r="J28" s="732">
        <f>Yield_OPaL!$D$36*Datasheet!J25</f>
        <v>4.104E-3</v>
      </c>
      <c r="K28" s="732">
        <f>Yield_OPaL!$D$36*Datasheet!K25</f>
        <v>1.855008E-2</v>
      </c>
      <c r="L28" s="701"/>
      <c r="M28" s="701"/>
      <c r="N28" s="701"/>
      <c r="O28" s="701"/>
      <c r="P28" s="701"/>
      <c r="Q28" s="701"/>
      <c r="R28" s="701"/>
      <c r="S28" s="701"/>
      <c r="V28" s="725" t="s">
        <v>401</v>
      </c>
      <c r="Y28" s="725" t="s">
        <v>402</v>
      </c>
      <c r="AB28" s="725" t="s">
        <v>403</v>
      </c>
      <c r="AG28" s="725" t="s">
        <v>401</v>
      </c>
      <c r="AJ28" s="725" t="s">
        <v>402</v>
      </c>
      <c r="AM28" s="725" t="s">
        <v>403</v>
      </c>
    </row>
    <row r="29" spans="1:40" x14ac:dyDescent="0.2">
      <c r="A29" s="662" t="s">
        <v>397</v>
      </c>
      <c r="B29" s="732">
        <f>Yield_OPaL!B8</f>
        <v>0.06</v>
      </c>
      <c r="C29" s="732">
        <f>Yield_OPaL!C8</f>
        <v>0.22</v>
      </c>
      <c r="D29" s="732">
        <f>Yield_OPaL!D8</f>
        <v>0.28899999999999998</v>
      </c>
      <c r="E29" s="732">
        <f>Yield_OPaL!E8</f>
        <v>0.15920000000000001</v>
      </c>
      <c r="G29" s="662" t="s">
        <v>397</v>
      </c>
      <c r="H29" s="732">
        <f>Yield_OPaL!B27</f>
        <v>0.06</v>
      </c>
      <c r="I29" s="732">
        <f>Yield_OPaL!C27</f>
        <v>0.22</v>
      </c>
      <c r="J29" s="732">
        <f>Yield_OPaL!D27</f>
        <v>0.28899999999999998</v>
      </c>
      <c r="K29" s="732">
        <f>Yield_OPaL!E27</f>
        <v>0.17399999999999999</v>
      </c>
      <c r="L29" s="701"/>
      <c r="M29" s="701"/>
      <c r="N29" s="701"/>
      <c r="O29" s="701"/>
      <c r="P29" s="701"/>
      <c r="Q29" s="701"/>
      <c r="R29" s="701"/>
      <c r="S29" s="701"/>
      <c r="V29" s="725" t="s">
        <v>404</v>
      </c>
      <c r="W29" s="725" t="s">
        <v>390</v>
      </c>
      <c r="Y29" s="725" t="s">
        <v>405</v>
      </c>
      <c r="Z29" s="725" t="s">
        <v>390</v>
      </c>
      <c r="AB29" s="725" t="s">
        <v>389</v>
      </c>
      <c r="AC29" s="725" t="s">
        <v>390</v>
      </c>
      <c r="AG29" s="725" t="s">
        <v>404</v>
      </c>
      <c r="AH29" s="725" t="s">
        <v>391</v>
      </c>
      <c r="AJ29" s="725" t="s">
        <v>405</v>
      </c>
      <c r="AK29" s="725" t="s">
        <v>391</v>
      </c>
      <c r="AM29" s="725" t="s">
        <v>389</v>
      </c>
      <c r="AN29" s="725" t="s">
        <v>391</v>
      </c>
    </row>
    <row r="30" spans="1:40" x14ac:dyDescent="0.2">
      <c r="A30" s="662" t="s">
        <v>406</v>
      </c>
      <c r="B30" s="732">
        <f>1-SUM(B20:B29)</f>
        <v>2.4404000000000092E-2</v>
      </c>
      <c r="C30" s="732">
        <f>1-SUM(C20:C29)</f>
        <v>2.8515000000000068E-2</v>
      </c>
      <c r="D30" s="732">
        <f>1-SUM(D20:D29)</f>
        <v>-7.4034999999999851E-2</v>
      </c>
      <c r="E30" s="732">
        <f>1-SUM(E20:E29)</f>
        <v>2.1116000000000024E-2</v>
      </c>
      <c r="G30" s="662" t="s">
        <v>406</v>
      </c>
      <c r="H30" s="732">
        <f>1-SUM(H20:H29)</f>
        <v>2.6476799999999967E-2</v>
      </c>
      <c r="I30" s="732">
        <f>1-SUM(I20:I29)</f>
        <v>3.133600000000003E-2</v>
      </c>
      <c r="J30" s="732">
        <f>1-SUM(J20:J29)</f>
        <v>-5.7904000000000178E-2</v>
      </c>
      <c r="K30" s="732">
        <f>1-SUM(K20:K29)</f>
        <v>-3.1086080000000127E-2</v>
      </c>
      <c r="L30" s="701"/>
      <c r="M30" s="701"/>
      <c r="N30" s="701"/>
      <c r="O30" s="701"/>
      <c r="P30" s="701"/>
      <c r="Q30" s="701"/>
      <c r="R30" s="701"/>
      <c r="S30" s="701"/>
      <c r="W30" s="725">
        <f>[4]FM_Snr4!O11</f>
        <v>-72.202190246121518</v>
      </c>
      <c r="Z30" s="725">
        <f>[4]FM_Snr5!O11</f>
        <v>169.31194846986364</v>
      </c>
      <c r="AC30" s="725">
        <f>[4]FM_Snr6!O11</f>
        <v>126.17656833986257</v>
      </c>
      <c r="AH30" s="725">
        <f>[4]FM_Snr4!K11</f>
        <v>3412.1002601278142</v>
      </c>
      <c r="AK30" s="725">
        <f>[4]FM_Snr5!K11</f>
        <v>3653.6143988437993</v>
      </c>
      <c r="AN30" s="725">
        <f>[4]FM_Snr6!K11</f>
        <v>3610.4790187137983</v>
      </c>
    </row>
    <row r="31" spans="1:40" x14ac:dyDescent="0.2">
      <c r="C31" s="734"/>
      <c r="V31" s="725">
        <v>375</v>
      </c>
      <c r="W31" s="725">
        <f t="dataTable" ref="W31:W47" dt2D="0" dtr="0" r1="C3"/>
        <v>-72.202190246121518</v>
      </c>
      <c r="Y31" s="725">
        <v>375</v>
      </c>
      <c r="Z31" s="725">
        <f t="dataTable" ref="Z31:Z47" dt2D="0" dtr="0" r1="C4"/>
        <v>169.31194846986364</v>
      </c>
      <c r="AB31" s="725">
        <v>250</v>
      </c>
      <c r="AC31" s="725">
        <f t="dataTable" ref="AC31:AC47" dt2D="0" dtr="0" r1="C2"/>
        <v>126.17656833986257</v>
      </c>
      <c r="AG31" s="725">
        <v>375</v>
      </c>
      <c r="AH31" s="725">
        <f t="dataTable" ref="AH31:AH47" dt2D="0" dtr="0" r1="C3"/>
        <v>3412.1002601278142</v>
      </c>
      <c r="AJ31" s="725">
        <v>375</v>
      </c>
      <c r="AK31" s="725">
        <f t="dataTable" ref="AK31:AK47" dt2D="0" dtr="0" r1="C4"/>
        <v>3653.6143988437993</v>
      </c>
      <c r="AM31" s="725">
        <v>250</v>
      </c>
      <c r="AN31" s="725">
        <f t="dataTable" ref="AN31:AN47" dt2D="0" dtr="0" r1="E2"/>
        <v>3610.4790187137983</v>
      </c>
    </row>
    <row r="32" spans="1:40" x14ac:dyDescent="0.2">
      <c r="A32" s="662" t="s">
        <v>11</v>
      </c>
      <c r="B32" s="735">
        <f>(B20/(B$20+B$21))</f>
        <v>0.98795180722891562</v>
      </c>
      <c r="C32" s="735">
        <f>(C20/(C$20+C$21))</f>
        <v>0.65714285714285725</v>
      </c>
      <c r="D32" s="735">
        <f>(D20/(D$20+D$21))</f>
        <v>0.57894736842105254</v>
      </c>
      <c r="E32" s="735">
        <f>(E20/(E$20+E$21))</f>
        <v>0.62378167641325533</v>
      </c>
      <c r="V32" s="725">
        <v>400</v>
      </c>
      <c r="W32" s="725">
        <v>-72.202190246121518</v>
      </c>
      <c r="Y32" s="725">
        <v>400</v>
      </c>
      <c r="Z32" s="725">
        <v>169.31194846986364</v>
      </c>
      <c r="AB32" s="725">
        <v>275</v>
      </c>
      <c r="AC32" s="725">
        <v>126.17656833986257</v>
      </c>
      <c r="AG32" s="725">
        <v>400</v>
      </c>
      <c r="AH32" s="725">
        <v>3412.1002601278142</v>
      </c>
      <c r="AJ32" s="725">
        <v>400</v>
      </c>
      <c r="AK32" s="725">
        <v>3653.6143988437993</v>
      </c>
      <c r="AM32" s="725">
        <v>275</v>
      </c>
      <c r="AN32" s="725">
        <v>3610.4790187137983</v>
      </c>
    </row>
    <row r="33" spans="1:40" x14ac:dyDescent="0.2">
      <c r="A33" s="662" t="s">
        <v>126</v>
      </c>
      <c r="B33" s="707">
        <f>1-B32</f>
        <v>1.2048192771084376E-2</v>
      </c>
      <c r="C33" s="707">
        <f>1-C32</f>
        <v>0.34285714285714275</v>
      </c>
      <c r="D33" s="707">
        <f>1-D32</f>
        <v>0.42105263157894746</v>
      </c>
      <c r="E33" s="707">
        <f>1-E32</f>
        <v>0.37621832358674467</v>
      </c>
      <c r="V33" s="725">
        <v>425</v>
      </c>
      <c r="W33" s="725">
        <v>-72.202190246121518</v>
      </c>
      <c r="Y33" s="725">
        <v>425</v>
      </c>
      <c r="Z33" s="725">
        <v>169.31194846986364</v>
      </c>
      <c r="AB33" s="725">
        <v>300</v>
      </c>
      <c r="AC33" s="725">
        <v>126.17656833986257</v>
      </c>
      <c r="AG33" s="725">
        <v>425</v>
      </c>
      <c r="AH33" s="725">
        <v>3412.1002601278142</v>
      </c>
      <c r="AJ33" s="725">
        <v>425</v>
      </c>
      <c r="AK33" s="725">
        <v>3653.6143988437993</v>
      </c>
      <c r="AM33" s="725">
        <v>300</v>
      </c>
      <c r="AN33" s="725">
        <v>3610.4790187137983</v>
      </c>
    </row>
    <row r="34" spans="1:40" x14ac:dyDescent="0.2">
      <c r="V34" s="725">
        <v>450</v>
      </c>
      <c r="W34" s="725">
        <v>-72.202190246121518</v>
      </c>
      <c r="Y34" s="725">
        <v>450</v>
      </c>
      <c r="Z34" s="725">
        <v>169.31194846986364</v>
      </c>
      <c r="AB34" s="725">
        <v>325</v>
      </c>
      <c r="AC34" s="725">
        <v>126.17656833986257</v>
      </c>
      <c r="AG34" s="725">
        <v>450</v>
      </c>
      <c r="AH34" s="725">
        <v>3412.1002601278142</v>
      </c>
      <c r="AJ34" s="725">
        <v>450</v>
      </c>
      <c r="AK34" s="725">
        <v>3653.6143988437993</v>
      </c>
      <c r="AM34" s="725">
        <v>325</v>
      </c>
      <c r="AN34" s="725">
        <v>3610.4790187137983</v>
      </c>
    </row>
    <row r="35" spans="1:40" x14ac:dyDescent="0.2">
      <c r="A35" s="665" t="s">
        <v>407</v>
      </c>
      <c r="V35" s="725">
        <v>475</v>
      </c>
      <c r="W35" s="725">
        <v>-72.202190246121518</v>
      </c>
      <c r="Y35" s="725">
        <v>459</v>
      </c>
      <c r="Z35" s="725">
        <v>169.31194846986364</v>
      </c>
      <c r="AB35" s="725">
        <v>350</v>
      </c>
      <c r="AC35" s="725">
        <v>126.17656833986257</v>
      </c>
      <c r="AG35" s="725">
        <v>475</v>
      </c>
      <c r="AH35" s="725">
        <v>3412.1002601278142</v>
      </c>
      <c r="AJ35" s="725">
        <v>459</v>
      </c>
      <c r="AK35" s="725">
        <v>3653.6143988437993</v>
      </c>
      <c r="AM35" s="725">
        <v>350</v>
      </c>
      <c r="AN35" s="725">
        <v>3610.4790187137983</v>
      </c>
    </row>
    <row r="36" spans="1:40" x14ac:dyDescent="0.2">
      <c r="A36" s="736" t="s">
        <v>408</v>
      </c>
      <c r="B36" s="736" t="s">
        <v>409</v>
      </c>
      <c r="V36" s="725">
        <v>497</v>
      </c>
      <c r="W36" s="725">
        <v>-72.202190246121518</v>
      </c>
      <c r="Y36" s="725">
        <v>475</v>
      </c>
      <c r="Z36" s="725">
        <v>169.31194846986364</v>
      </c>
      <c r="AB36" s="725">
        <v>375</v>
      </c>
      <c r="AC36" s="725">
        <v>126.17656833986257</v>
      </c>
      <c r="AG36" s="725">
        <v>497</v>
      </c>
      <c r="AH36" s="725">
        <v>3412.1002601278142</v>
      </c>
      <c r="AJ36" s="725">
        <v>475</v>
      </c>
      <c r="AK36" s="725">
        <v>3653.6143988437993</v>
      </c>
      <c r="AM36" s="725">
        <v>375</v>
      </c>
      <c r="AN36" s="725">
        <v>3610.4790187137983</v>
      </c>
    </row>
    <row r="37" spans="1:40" x14ac:dyDescent="0.2">
      <c r="A37" s="662" t="s">
        <v>11</v>
      </c>
      <c r="B37" s="657">
        <v>636</v>
      </c>
      <c r="C37" s="737"/>
      <c r="V37" s="725">
        <v>500</v>
      </c>
      <c r="W37" s="725">
        <v>-72.202190246121518</v>
      </c>
      <c r="Y37" s="725">
        <v>500</v>
      </c>
      <c r="Z37" s="725">
        <v>169.31194846986364</v>
      </c>
      <c r="AB37" s="725">
        <v>384</v>
      </c>
      <c r="AC37" s="725">
        <v>126.17656833986257</v>
      </c>
      <c r="AG37" s="725">
        <v>500</v>
      </c>
      <c r="AH37" s="725">
        <v>3412.1002601278142</v>
      </c>
      <c r="AJ37" s="725">
        <v>500</v>
      </c>
      <c r="AK37" s="725">
        <v>3653.6143988437993</v>
      </c>
      <c r="AM37" s="725">
        <v>384</v>
      </c>
      <c r="AN37" s="725">
        <v>3610.4790187137983</v>
      </c>
    </row>
    <row r="38" spans="1:40" x14ac:dyDescent="0.2">
      <c r="A38" s="662" t="s">
        <v>126</v>
      </c>
      <c r="B38" s="657">
        <v>695</v>
      </c>
      <c r="C38" s="737"/>
      <c r="V38" s="725">
        <v>525</v>
      </c>
      <c r="W38" s="725">
        <v>-72.202190246121518</v>
      </c>
      <c r="Y38" s="725">
        <v>525</v>
      </c>
      <c r="Z38" s="725">
        <v>169.31194846986364</v>
      </c>
      <c r="AB38" s="725">
        <v>400</v>
      </c>
      <c r="AC38" s="725">
        <v>126.17656833986257</v>
      </c>
      <c r="AG38" s="725">
        <v>525</v>
      </c>
      <c r="AH38" s="725">
        <v>3412.1002601278142</v>
      </c>
      <c r="AJ38" s="725">
        <v>525</v>
      </c>
      <c r="AK38" s="725">
        <v>3653.6143988437993</v>
      </c>
      <c r="AM38" s="725">
        <v>400</v>
      </c>
      <c r="AN38" s="725">
        <v>3610.4790187137983</v>
      </c>
    </row>
    <row r="39" spans="1:40" x14ac:dyDescent="0.2">
      <c r="A39" s="662" t="s">
        <v>410</v>
      </c>
      <c r="B39" s="657">
        <v>328</v>
      </c>
      <c r="C39" s="737"/>
      <c r="V39" s="725">
        <v>550</v>
      </c>
      <c r="W39" s="725">
        <v>-72.202190246121518</v>
      </c>
      <c r="Y39" s="725">
        <v>550</v>
      </c>
      <c r="Z39" s="725">
        <v>169.31194846986364</v>
      </c>
      <c r="AB39" s="725">
        <v>425</v>
      </c>
      <c r="AC39" s="725">
        <v>126.17656833986257</v>
      </c>
      <c r="AG39" s="725">
        <v>550</v>
      </c>
      <c r="AH39" s="725">
        <v>3412.1002601278142</v>
      </c>
      <c r="AJ39" s="725">
        <v>550</v>
      </c>
      <c r="AK39" s="725">
        <v>3653.6143988437993</v>
      </c>
      <c r="AM39" s="725">
        <v>425</v>
      </c>
      <c r="AN39" s="725">
        <v>3610.4790187137983</v>
      </c>
    </row>
    <row r="40" spans="1:40" x14ac:dyDescent="0.2">
      <c r="A40" s="662" t="s">
        <v>411</v>
      </c>
      <c r="B40" s="657">
        <v>270</v>
      </c>
      <c r="C40" s="737"/>
      <c r="V40" s="725">
        <v>575</v>
      </c>
      <c r="W40" s="725">
        <v>-72.202190246121518</v>
      </c>
      <c r="Y40" s="725">
        <v>575</v>
      </c>
      <c r="Z40" s="725">
        <v>169.31194846986364</v>
      </c>
      <c r="AB40" s="725">
        <v>450</v>
      </c>
      <c r="AC40" s="725">
        <v>126.17656833986257</v>
      </c>
      <c r="AG40" s="725">
        <v>575</v>
      </c>
      <c r="AH40" s="725">
        <v>3412.1002601278142</v>
      </c>
      <c r="AJ40" s="725">
        <v>575</v>
      </c>
      <c r="AK40" s="725">
        <v>3653.6143988437993</v>
      </c>
      <c r="AM40" s="725">
        <v>450</v>
      </c>
      <c r="AN40" s="725">
        <v>3610.4790187137983</v>
      </c>
    </row>
    <row r="41" spans="1:40" x14ac:dyDescent="0.2">
      <c r="A41" s="662" t="s">
        <v>412</v>
      </c>
      <c r="B41" s="657">
        <v>377</v>
      </c>
      <c r="C41" s="737"/>
      <c r="V41" s="725">
        <v>600</v>
      </c>
      <c r="W41" s="725">
        <v>-72.202190246121518</v>
      </c>
      <c r="Y41" s="725">
        <v>600</v>
      </c>
      <c r="Z41" s="725">
        <v>169.31194846986364</v>
      </c>
      <c r="AB41" s="725">
        <v>475</v>
      </c>
      <c r="AC41" s="725">
        <v>126.17656833986257</v>
      </c>
      <c r="AG41" s="725">
        <v>600</v>
      </c>
      <c r="AH41" s="725">
        <v>3412.1002601278142</v>
      </c>
      <c r="AJ41" s="725">
        <v>600</v>
      </c>
      <c r="AK41" s="725">
        <v>3653.6143988437993</v>
      </c>
      <c r="AM41" s="725">
        <v>475</v>
      </c>
      <c r="AN41" s="725">
        <v>3610.4790187137983</v>
      </c>
    </row>
    <row r="42" spans="1:40" x14ac:dyDescent="0.2">
      <c r="A42" s="662" t="s">
        <v>179</v>
      </c>
      <c r="B42" s="657">
        <v>735</v>
      </c>
      <c r="C42" s="737"/>
      <c r="V42" s="725">
        <v>625</v>
      </c>
      <c r="W42" s="725">
        <v>-72.202190246121518</v>
      </c>
      <c r="Y42" s="725">
        <v>625</v>
      </c>
      <c r="Z42" s="725">
        <v>169.31194846986364</v>
      </c>
      <c r="AB42" s="725">
        <v>500</v>
      </c>
      <c r="AC42" s="725">
        <v>126.17656833986257</v>
      </c>
      <c r="AG42" s="725">
        <v>625</v>
      </c>
      <c r="AH42" s="725">
        <v>3412.1002601278142</v>
      </c>
      <c r="AJ42" s="725">
        <v>625</v>
      </c>
      <c r="AK42" s="725">
        <v>3653.6143988437993</v>
      </c>
      <c r="AM42" s="725">
        <v>500</v>
      </c>
      <c r="AN42" s="725">
        <v>3610.4790187137983</v>
      </c>
    </row>
    <row r="43" spans="1:40" x14ac:dyDescent="0.2">
      <c r="A43" s="662" t="s">
        <v>117</v>
      </c>
      <c r="B43" s="657">
        <v>805</v>
      </c>
      <c r="C43" s="737"/>
      <c r="V43" s="725">
        <v>650</v>
      </c>
      <c r="W43" s="725">
        <v>-72.202190246121518</v>
      </c>
      <c r="Y43" s="725">
        <v>650</v>
      </c>
      <c r="Z43" s="725">
        <v>169.31194846986364</v>
      </c>
      <c r="AB43" s="725">
        <v>525</v>
      </c>
      <c r="AC43" s="725">
        <v>126.17656833986257</v>
      </c>
      <c r="AG43" s="725">
        <v>650</v>
      </c>
      <c r="AH43" s="725">
        <v>3412.1002601278142</v>
      </c>
      <c r="AJ43" s="725">
        <v>650</v>
      </c>
      <c r="AK43" s="725">
        <v>3653.6143988437993</v>
      </c>
      <c r="AM43" s="725">
        <v>525</v>
      </c>
      <c r="AN43" s="725">
        <v>3610.4790187137983</v>
      </c>
    </row>
    <row r="44" spans="1:40" x14ac:dyDescent="0.2">
      <c r="A44" s="662" t="s">
        <v>413</v>
      </c>
      <c r="B44" s="657">
        <v>260</v>
      </c>
      <c r="C44" s="737"/>
      <c r="V44" s="725">
        <v>675</v>
      </c>
      <c r="W44" s="725">
        <v>-72.202190246121518</v>
      </c>
      <c r="Y44" s="725">
        <v>675</v>
      </c>
      <c r="Z44" s="725">
        <v>169.31194846986364</v>
      </c>
      <c r="AB44" s="725">
        <v>550</v>
      </c>
      <c r="AC44" s="725">
        <v>126.17656833986257</v>
      </c>
      <c r="AG44" s="725">
        <v>675</v>
      </c>
      <c r="AH44" s="725">
        <v>3412.1002601278142</v>
      </c>
      <c r="AJ44" s="725">
        <v>675</v>
      </c>
      <c r="AK44" s="725">
        <v>3653.6143988437993</v>
      </c>
      <c r="AM44" s="725">
        <v>550</v>
      </c>
      <c r="AN44" s="725">
        <v>3610.4790187137983</v>
      </c>
    </row>
    <row r="45" spans="1:40" x14ac:dyDescent="0.2">
      <c r="A45" s="662" t="s">
        <v>414</v>
      </c>
      <c r="B45" s="657">
        <v>300</v>
      </c>
      <c r="V45" s="725">
        <v>700</v>
      </c>
      <c r="W45" s="725">
        <v>-72.202190246121518</v>
      </c>
      <c r="Y45" s="725">
        <v>700</v>
      </c>
      <c r="Z45" s="725">
        <v>169.31194846986364</v>
      </c>
      <c r="AB45" s="725">
        <v>575</v>
      </c>
      <c r="AC45" s="725">
        <v>126.17656833986257</v>
      </c>
      <c r="AG45" s="725">
        <v>700</v>
      </c>
      <c r="AH45" s="725">
        <v>3412.1002601278142</v>
      </c>
      <c r="AJ45" s="725">
        <v>700</v>
      </c>
      <c r="AK45" s="725">
        <v>3653.6143988437993</v>
      </c>
      <c r="AM45" s="725">
        <v>575</v>
      </c>
      <c r="AN45" s="725">
        <v>3610.4790187137983</v>
      </c>
    </row>
    <row r="46" spans="1:40" x14ac:dyDescent="0.2">
      <c r="V46" s="725">
        <v>725</v>
      </c>
      <c r="W46" s="725">
        <v>-72.202190246121518</v>
      </c>
      <c r="Y46" s="725">
        <v>725</v>
      </c>
      <c r="Z46" s="725">
        <v>169.31194846986364</v>
      </c>
      <c r="AB46" s="725">
        <v>600</v>
      </c>
      <c r="AC46" s="725">
        <v>126.17656833986257</v>
      </c>
      <c r="AG46" s="725">
        <v>725</v>
      </c>
      <c r="AH46" s="725">
        <v>3412.1002601278142</v>
      </c>
      <c r="AJ46" s="725">
        <v>725</v>
      </c>
      <c r="AK46" s="725">
        <v>3653.6143988437993</v>
      </c>
      <c r="AM46" s="725">
        <v>600</v>
      </c>
      <c r="AN46" s="725">
        <v>3610.4790187137983</v>
      </c>
    </row>
    <row r="47" spans="1:40" x14ac:dyDescent="0.2">
      <c r="V47" s="725">
        <v>750</v>
      </c>
      <c r="W47" s="725">
        <v>-72.202190246121518</v>
      </c>
      <c r="Y47" s="725">
        <v>750</v>
      </c>
      <c r="Z47" s="725">
        <v>169.31194846986364</v>
      </c>
      <c r="AB47" s="725">
        <v>625</v>
      </c>
      <c r="AC47" s="725">
        <v>126.17656833986257</v>
      </c>
      <c r="AG47" s="725">
        <v>750</v>
      </c>
      <c r="AH47" s="725">
        <v>3412.1002601278142</v>
      </c>
      <c r="AJ47" s="725">
        <v>750</v>
      </c>
      <c r="AK47" s="725">
        <v>3653.6143988437993</v>
      </c>
      <c r="AM47" s="725">
        <v>625</v>
      </c>
      <c r="AN47" s="725">
        <v>3610.4790187137983</v>
      </c>
    </row>
  </sheetData>
  <mergeCells count="1">
    <mergeCell ref="E3:F3"/>
  </mergeCells>
  <pageMargins left="0.6" right="0.6" top="1" bottom="1" header="0.5" footer="0.5"/>
  <pageSetup paperSize="9" scale="87" orientation="landscape" r:id="rId1"/>
  <headerFooter>
    <oddHeader>&amp;R&amp;7Draft - Work in Progress</oddHeader>
    <oddFooter>&amp;L&amp;7&amp;F
PwC&amp;C&amp;7
&amp;A&amp;R&amp;7&amp;D
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AD75"/>
  <sheetViews>
    <sheetView showGridLines="0" topLeftCell="A4" zoomScale="95" zoomScaleNormal="95" workbookViewId="0">
      <selection activeCell="H20" sqref="H20"/>
    </sheetView>
  </sheetViews>
  <sheetFormatPr defaultRowHeight="15" x14ac:dyDescent="0.25"/>
  <cols>
    <col min="1" max="1" width="9.140625" style="123"/>
    <col min="2" max="2" width="5.7109375" style="348" customWidth="1"/>
    <col min="3" max="3" width="57.28515625" style="123" bestFit="1" customWidth="1"/>
    <col min="4" max="4" width="13.5703125" style="123" bestFit="1" customWidth="1"/>
    <col min="5" max="5" width="14" style="123" bestFit="1" customWidth="1"/>
    <col min="6" max="6" width="13.5703125" style="123" bestFit="1" customWidth="1"/>
    <col min="7" max="7" width="14" style="123" bestFit="1" customWidth="1"/>
    <col min="8" max="8" width="14.42578125" style="123" customWidth="1"/>
    <col min="9" max="9" width="14" style="123" customWidth="1"/>
    <col min="10" max="11" width="14.85546875" style="123" customWidth="1"/>
    <col min="12" max="12" width="12.7109375" style="123" customWidth="1"/>
    <col min="13" max="13" width="14.140625" style="123" customWidth="1"/>
    <col min="14" max="24" width="12.7109375" style="123" customWidth="1"/>
    <col min="25" max="26" width="13.28515625" style="123" bestFit="1" customWidth="1"/>
    <col min="27" max="27" width="12.7109375" style="123" customWidth="1"/>
    <col min="28" max="29" width="9.7109375" style="123" bestFit="1" customWidth="1"/>
    <col min="30" max="16384" width="9.140625" style="123"/>
  </cols>
  <sheetData>
    <row r="2" spans="2:30" x14ac:dyDescent="0.25">
      <c r="B2" s="944" t="s">
        <v>134</v>
      </c>
      <c r="C2" s="944"/>
      <c r="D2" s="332">
        <v>8.5000000000000006E-2</v>
      </c>
      <c r="E2" s="944" t="s">
        <v>135</v>
      </c>
      <c r="F2" s="944"/>
      <c r="G2" s="328">
        <v>4</v>
      </c>
      <c r="H2" s="159"/>
      <c r="I2" s="953" t="s">
        <v>297</v>
      </c>
      <c r="J2" s="954"/>
      <c r="K2" s="333">
        <f>D2</f>
        <v>8.5000000000000006E-2</v>
      </c>
      <c r="L2" s="159"/>
      <c r="M2" s="159"/>
      <c r="N2" s="159"/>
      <c r="O2" s="159"/>
      <c r="P2" s="159"/>
      <c r="Q2" s="159"/>
      <c r="R2" s="159"/>
      <c r="S2" s="159"/>
      <c r="T2" s="159"/>
      <c r="U2" s="159"/>
      <c r="V2" s="159"/>
      <c r="W2" s="159"/>
      <c r="X2" s="159"/>
      <c r="Y2" s="159"/>
      <c r="Z2" s="159"/>
      <c r="AA2" s="335" t="s">
        <v>55</v>
      </c>
    </row>
    <row r="3" spans="2:30" x14ac:dyDescent="0.25">
      <c r="B3" s="336"/>
      <c r="C3" s="337" t="s">
        <v>322</v>
      </c>
      <c r="D3" s="332">
        <v>0.03</v>
      </c>
      <c r="E3" s="955" t="s">
        <v>323</v>
      </c>
      <c r="F3" s="956"/>
      <c r="G3" s="332">
        <f>D3</f>
        <v>0.03</v>
      </c>
      <c r="H3" s="338"/>
      <c r="I3" s="338"/>
      <c r="J3" s="338"/>
      <c r="K3" s="338"/>
      <c r="L3" s="338"/>
      <c r="M3" s="338"/>
      <c r="N3" s="338"/>
      <c r="O3" s="338"/>
      <c r="P3" s="338"/>
      <c r="Q3" s="338"/>
      <c r="R3" s="338"/>
      <c r="S3" s="338"/>
      <c r="T3" s="338"/>
      <c r="U3" s="338"/>
      <c r="V3" s="338"/>
      <c r="W3" s="338"/>
      <c r="X3" s="338"/>
      <c r="Y3" s="338"/>
      <c r="Z3" s="338"/>
      <c r="AA3" s="339"/>
    </row>
    <row r="4" spans="2:30" ht="20.25" customHeight="1" x14ac:dyDescent="0.25">
      <c r="B4" s="340"/>
      <c r="C4" s="945" t="s">
        <v>56</v>
      </c>
      <c r="D4" s="946"/>
      <c r="E4" s="946"/>
      <c r="F4" s="946"/>
      <c r="G4" s="946"/>
      <c r="H4" s="946"/>
      <c r="I4" s="946"/>
      <c r="J4" s="946"/>
      <c r="K4" s="946"/>
      <c r="L4" s="946"/>
      <c r="M4" s="946"/>
      <c r="N4" s="946"/>
      <c r="O4" s="946"/>
      <c r="P4" s="946"/>
      <c r="Q4" s="946"/>
      <c r="R4" s="946"/>
      <c r="S4" s="946"/>
      <c r="T4" s="946"/>
      <c r="U4" s="946"/>
      <c r="V4" s="946"/>
      <c r="W4" s="946"/>
      <c r="X4" s="946"/>
      <c r="Y4" s="946"/>
      <c r="Z4" s="946"/>
      <c r="AA4" s="947"/>
    </row>
    <row r="5" spans="2:30" ht="15" customHeight="1" x14ac:dyDescent="0.25">
      <c r="B5" s="340"/>
      <c r="C5" s="948"/>
      <c r="D5" s="949"/>
      <c r="E5" s="949"/>
      <c r="F5" s="949"/>
      <c r="G5" s="949"/>
      <c r="H5" s="949"/>
      <c r="I5" s="949"/>
      <c r="J5" s="949"/>
      <c r="K5" s="949"/>
      <c r="L5" s="949"/>
      <c r="M5" s="949"/>
      <c r="N5" s="949"/>
      <c r="O5" s="949"/>
      <c r="P5" s="949"/>
      <c r="Q5" s="949"/>
      <c r="R5" s="949"/>
      <c r="S5" s="949"/>
      <c r="T5" s="949"/>
      <c r="U5" s="949"/>
      <c r="V5" s="949"/>
      <c r="W5" s="949"/>
      <c r="X5" s="949"/>
      <c r="Y5" s="949"/>
      <c r="Z5" s="949"/>
      <c r="AA5" s="950"/>
      <c r="AC5" s="341"/>
      <c r="AD5" s="341"/>
    </row>
    <row r="6" spans="2:30" ht="15" customHeight="1" x14ac:dyDescent="0.25">
      <c r="B6" s="340"/>
      <c r="C6" s="393" t="s">
        <v>344</v>
      </c>
      <c r="D6" s="374"/>
      <c r="E6" s="374"/>
      <c r="F6" s="374"/>
      <c r="G6" s="374"/>
      <c r="H6" s="374"/>
      <c r="I6" s="374"/>
      <c r="J6" s="374"/>
      <c r="K6" s="374"/>
      <c r="L6" s="374"/>
      <c r="M6" s="374"/>
      <c r="N6" s="374"/>
      <c r="O6" s="374"/>
      <c r="P6" s="374"/>
      <c r="Q6" s="374"/>
      <c r="R6" s="374"/>
      <c r="S6" s="374"/>
      <c r="T6" s="374"/>
      <c r="U6" s="374"/>
      <c r="V6" s="374"/>
      <c r="W6" s="374"/>
      <c r="X6" s="374"/>
      <c r="Y6" s="374"/>
      <c r="Z6" s="374"/>
      <c r="AA6" s="375"/>
      <c r="AC6" s="341"/>
      <c r="AD6" s="341"/>
    </row>
    <row r="7" spans="2:30" ht="15" customHeight="1" x14ac:dyDescent="0.25">
      <c r="B7" s="340"/>
      <c r="C7" s="376" t="s">
        <v>345</v>
      </c>
      <c r="D7" s="374"/>
      <c r="E7" s="374"/>
      <c r="F7" s="374"/>
      <c r="G7" s="374"/>
      <c r="H7" s="374"/>
      <c r="I7" s="374"/>
      <c r="J7" s="374"/>
      <c r="K7" s="374"/>
      <c r="L7" s="374"/>
      <c r="M7" s="374"/>
      <c r="N7" s="374"/>
      <c r="O7" s="374"/>
      <c r="P7" s="374"/>
      <c r="Q7" s="374"/>
      <c r="R7" s="374"/>
      <c r="S7" s="374"/>
      <c r="T7" s="374"/>
      <c r="U7" s="374"/>
      <c r="V7" s="374"/>
      <c r="W7" s="374"/>
      <c r="X7" s="374"/>
      <c r="Y7" s="374"/>
      <c r="Z7" s="374"/>
      <c r="AA7" s="375"/>
      <c r="AC7" s="341"/>
      <c r="AD7" s="341"/>
    </row>
    <row r="8" spans="2:30" x14ac:dyDescent="0.25">
      <c r="B8" s="951" t="s">
        <v>57</v>
      </c>
      <c r="C8" s="952" t="s">
        <v>58</v>
      </c>
      <c r="D8" s="360">
        <f>D9</f>
        <v>1</v>
      </c>
      <c r="E8" s="360">
        <f t="shared" ref="E8:AA8" si="0">E9</f>
        <v>2</v>
      </c>
      <c r="F8" s="360">
        <f t="shared" si="0"/>
        <v>3</v>
      </c>
      <c r="G8" s="360">
        <f t="shared" si="0"/>
        <v>4</v>
      </c>
      <c r="H8" s="360">
        <f t="shared" si="0"/>
        <v>5</v>
      </c>
      <c r="I8" s="360">
        <f t="shared" si="0"/>
        <v>6</v>
      </c>
      <c r="J8" s="360">
        <f t="shared" si="0"/>
        <v>7</v>
      </c>
      <c r="K8" s="360">
        <f t="shared" si="0"/>
        <v>8</v>
      </c>
      <c r="L8" s="360">
        <f t="shared" si="0"/>
        <v>9</v>
      </c>
      <c r="M8" s="360">
        <f t="shared" si="0"/>
        <v>10</v>
      </c>
      <c r="N8" s="360">
        <f t="shared" si="0"/>
        <v>11</v>
      </c>
      <c r="O8" s="360">
        <f t="shared" si="0"/>
        <v>12</v>
      </c>
      <c r="P8" s="360">
        <f t="shared" si="0"/>
        <v>13</v>
      </c>
      <c r="Q8" s="360">
        <f t="shared" si="0"/>
        <v>14</v>
      </c>
      <c r="R8" s="360">
        <f t="shared" si="0"/>
        <v>15</v>
      </c>
      <c r="S8" s="360">
        <f t="shared" si="0"/>
        <v>16</v>
      </c>
      <c r="T8" s="360">
        <f t="shared" si="0"/>
        <v>17</v>
      </c>
      <c r="U8" s="360">
        <f t="shared" si="0"/>
        <v>18</v>
      </c>
      <c r="V8" s="360">
        <f t="shared" si="0"/>
        <v>19</v>
      </c>
      <c r="W8" s="360">
        <f t="shared" si="0"/>
        <v>20</v>
      </c>
      <c r="X8" s="360">
        <f t="shared" si="0"/>
        <v>21</v>
      </c>
      <c r="Y8" s="360">
        <f t="shared" si="0"/>
        <v>22</v>
      </c>
      <c r="Z8" s="360">
        <f t="shared" si="0"/>
        <v>23</v>
      </c>
      <c r="AA8" s="360">
        <f t="shared" si="0"/>
        <v>24</v>
      </c>
      <c r="AB8" s="342"/>
      <c r="AC8" s="343"/>
      <c r="AD8" s="343"/>
    </row>
    <row r="9" spans="2:30" x14ac:dyDescent="0.25">
      <c r="B9" s="951"/>
      <c r="C9" s="951"/>
      <c r="D9" s="359">
        <v>1</v>
      </c>
      <c r="E9" s="359">
        <f>D9+1</f>
        <v>2</v>
      </c>
      <c r="F9" s="359">
        <f t="shared" ref="F9:AA9" si="1">E9+1</f>
        <v>3</v>
      </c>
      <c r="G9" s="359">
        <f t="shared" si="1"/>
        <v>4</v>
      </c>
      <c r="H9" s="359">
        <f t="shared" si="1"/>
        <v>5</v>
      </c>
      <c r="I9" s="359">
        <f t="shared" si="1"/>
        <v>6</v>
      </c>
      <c r="J9" s="359">
        <f t="shared" si="1"/>
        <v>7</v>
      </c>
      <c r="K9" s="359">
        <f t="shared" si="1"/>
        <v>8</v>
      </c>
      <c r="L9" s="359">
        <f t="shared" si="1"/>
        <v>9</v>
      </c>
      <c r="M9" s="359">
        <f t="shared" si="1"/>
        <v>10</v>
      </c>
      <c r="N9" s="359">
        <f t="shared" si="1"/>
        <v>11</v>
      </c>
      <c r="O9" s="359">
        <f t="shared" si="1"/>
        <v>12</v>
      </c>
      <c r="P9" s="359">
        <f t="shared" si="1"/>
        <v>13</v>
      </c>
      <c r="Q9" s="359">
        <f t="shared" si="1"/>
        <v>14</v>
      </c>
      <c r="R9" s="359">
        <f t="shared" si="1"/>
        <v>15</v>
      </c>
      <c r="S9" s="359">
        <f t="shared" si="1"/>
        <v>16</v>
      </c>
      <c r="T9" s="359">
        <f t="shared" si="1"/>
        <v>17</v>
      </c>
      <c r="U9" s="359">
        <f t="shared" si="1"/>
        <v>18</v>
      </c>
      <c r="V9" s="359">
        <f t="shared" si="1"/>
        <v>19</v>
      </c>
      <c r="W9" s="359">
        <f t="shared" si="1"/>
        <v>20</v>
      </c>
      <c r="X9" s="359">
        <f t="shared" si="1"/>
        <v>21</v>
      </c>
      <c r="Y9" s="359">
        <f t="shared" si="1"/>
        <v>22</v>
      </c>
      <c r="Z9" s="359">
        <f t="shared" si="1"/>
        <v>23</v>
      </c>
      <c r="AA9" s="359">
        <f t="shared" si="1"/>
        <v>24</v>
      </c>
      <c r="AB9" s="342"/>
      <c r="AC9" s="344"/>
      <c r="AD9" s="345"/>
    </row>
    <row r="10" spans="2:30" x14ac:dyDescent="0.25">
      <c r="B10" s="346"/>
      <c r="C10" s="346" t="s">
        <v>59</v>
      </c>
      <c r="D10" s="347">
        <v>0.05</v>
      </c>
      <c r="E10" s="347">
        <v>0.25</v>
      </c>
      <c r="F10" s="347">
        <v>0.35</v>
      </c>
      <c r="G10" s="358">
        <v>0.35</v>
      </c>
      <c r="H10" s="347">
        <v>0.8</v>
      </c>
      <c r="I10" s="347">
        <v>1</v>
      </c>
      <c r="J10" s="347">
        <v>1</v>
      </c>
      <c r="K10" s="347">
        <v>1</v>
      </c>
      <c r="L10" s="347">
        <v>1</v>
      </c>
      <c r="M10" s="347">
        <v>1</v>
      </c>
      <c r="N10" s="347">
        <v>1</v>
      </c>
      <c r="O10" s="347">
        <v>1</v>
      </c>
      <c r="P10" s="347">
        <v>1</v>
      </c>
      <c r="Q10" s="347">
        <v>1</v>
      </c>
      <c r="R10" s="347">
        <v>1</v>
      </c>
      <c r="S10" s="347">
        <v>1</v>
      </c>
      <c r="T10" s="347">
        <v>1</v>
      </c>
      <c r="U10" s="347">
        <v>1</v>
      </c>
      <c r="V10" s="347">
        <v>1</v>
      </c>
      <c r="W10" s="347">
        <v>1</v>
      </c>
      <c r="X10" s="347">
        <v>1</v>
      </c>
      <c r="Y10" s="347">
        <v>1</v>
      </c>
      <c r="Z10" s="347">
        <v>1</v>
      </c>
      <c r="AA10" s="347">
        <v>1</v>
      </c>
      <c r="AB10" s="342"/>
      <c r="AC10" s="344"/>
      <c r="AD10" s="345"/>
    </row>
    <row r="11" spans="2:30" x14ac:dyDescent="0.25">
      <c r="B11" s="138" t="s">
        <v>60</v>
      </c>
      <c r="C11" s="133" t="s">
        <v>61</v>
      </c>
      <c r="D11" s="371"/>
      <c r="E11" s="371"/>
      <c r="F11" s="371"/>
      <c r="G11" s="371"/>
      <c r="H11" s="371"/>
      <c r="I11" s="371"/>
      <c r="J11" s="371"/>
      <c r="K11" s="371"/>
      <c r="L11" s="371"/>
      <c r="M11" s="371"/>
      <c r="N11" s="371"/>
      <c r="O11" s="371"/>
      <c r="P11" s="371"/>
      <c r="Q11" s="371"/>
      <c r="R11" s="371"/>
      <c r="S11" s="371"/>
      <c r="T11" s="371"/>
      <c r="U11" s="371"/>
      <c r="V11" s="371"/>
      <c r="W11" s="371"/>
      <c r="X11" s="371"/>
      <c r="Y11" s="371"/>
      <c r="Z11" s="371"/>
      <c r="AA11" s="371"/>
      <c r="AC11" s="130"/>
      <c r="AD11" s="131"/>
    </row>
    <row r="12" spans="2:30" x14ac:dyDescent="0.25">
      <c r="B12" s="139">
        <v>1</v>
      </c>
      <c r="C12" s="140" t="s">
        <v>121</v>
      </c>
      <c r="D12" s="372">
        <f>'Capex estimates'!$J$23*'CASHFLOW-IRR-PAYBACK'!D10</f>
        <v>195</v>
      </c>
      <c r="E12" s="372">
        <f>'Capex estimates'!$J$23*'CASHFLOW-IRR-PAYBACK'!E10</f>
        <v>975</v>
      </c>
      <c r="F12" s="372">
        <f>'Capex estimates'!$J$23*'CASHFLOW-IRR-PAYBACK'!F10</f>
        <v>1365</v>
      </c>
      <c r="G12" s="387">
        <f>'Capex estimates'!$J$23*'CASHFLOW-IRR-PAYBACK'!G10</f>
        <v>1365</v>
      </c>
      <c r="H12" s="373"/>
      <c r="I12" s="373"/>
      <c r="J12" s="373"/>
      <c r="K12" s="373"/>
      <c r="L12" s="373"/>
      <c r="M12" s="373"/>
      <c r="N12" s="373"/>
      <c r="O12" s="373"/>
      <c r="P12" s="373"/>
      <c r="Q12" s="373"/>
      <c r="R12" s="373"/>
      <c r="S12" s="373"/>
      <c r="T12" s="373"/>
      <c r="U12" s="373"/>
      <c r="V12" s="373"/>
      <c r="W12" s="373"/>
      <c r="X12" s="373"/>
      <c r="Y12" s="373"/>
      <c r="Z12" s="373"/>
      <c r="AA12" s="373"/>
      <c r="AB12" s="124"/>
      <c r="AC12" s="125"/>
      <c r="AD12" s="126"/>
    </row>
    <row r="13" spans="2:30" x14ac:dyDescent="0.25">
      <c r="B13" s="139">
        <v>2</v>
      </c>
      <c r="C13" s="140" t="s">
        <v>122</v>
      </c>
      <c r="D13" s="372">
        <f>1650*D10</f>
        <v>82.5</v>
      </c>
      <c r="E13" s="372">
        <f>1650*E10</f>
        <v>412.5</v>
      </c>
      <c r="F13" s="372">
        <f>1650*F10</f>
        <v>577.5</v>
      </c>
      <c r="G13" s="372">
        <f>1650*G10</f>
        <v>577.5</v>
      </c>
      <c r="H13" s="373"/>
      <c r="I13" s="373"/>
      <c r="J13" s="373"/>
      <c r="K13" s="373"/>
      <c r="L13" s="373"/>
      <c r="M13" s="373"/>
      <c r="N13" s="373"/>
      <c r="O13" s="373"/>
      <c r="P13" s="373"/>
      <c r="Q13" s="373"/>
      <c r="R13" s="373"/>
      <c r="S13" s="373"/>
      <c r="T13" s="373"/>
      <c r="U13" s="373"/>
      <c r="V13" s="373"/>
      <c r="W13" s="373"/>
      <c r="X13" s="373"/>
      <c r="Y13" s="373"/>
      <c r="Z13" s="373"/>
      <c r="AA13" s="373"/>
      <c r="AB13" s="124"/>
      <c r="AC13" s="125"/>
      <c r="AD13" s="126"/>
    </row>
    <row r="14" spans="2:30" x14ac:dyDescent="0.25">
      <c r="B14" s="139">
        <v>3</v>
      </c>
      <c r="C14" s="140" t="s">
        <v>137</v>
      </c>
      <c r="D14" s="372">
        <f>2366*D10</f>
        <v>118.30000000000001</v>
      </c>
      <c r="E14" s="372">
        <f>2366*E10</f>
        <v>591.5</v>
      </c>
      <c r="F14" s="372">
        <f>2366*F10</f>
        <v>828.09999999999991</v>
      </c>
      <c r="G14" s="372">
        <f>2366*G10</f>
        <v>828.09999999999991</v>
      </c>
      <c r="H14" s="373"/>
      <c r="I14" s="373"/>
      <c r="J14" s="373"/>
      <c r="K14" s="373"/>
      <c r="L14" s="373"/>
      <c r="M14" s="373"/>
      <c r="N14" s="373"/>
      <c r="O14" s="373"/>
      <c r="P14" s="373"/>
      <c r="Q14" s="373"/>
      <c r="R14" s="373"/>
      <c r="S14" s="373"/>
      <c r="T14" s="373"/>
      <c r="U14" s="373"/>
      <c r="V14" s="373"/>
      <c r="W14" s="373"/>
      <c r="X14" s="373"/>
      <c r="Y14" s="373"/>
      <c r="Z14" s="373"/>
      <c r="AA14" s="373"/>
      <c r="AB14" s="124"/>
      <c r="AC14" s="125"/>
      <c r="AD14" s="126"/>
    </row>
    <row r="15" spans="2:30" x14ac:dyDescent="0.25">
      <c r="B15" s="139">
        <v>4</v>
      </c>
      <c r="C15" s="329" t="s">
        <v>305</v>
      </c>
      <c r="D15" s="936">
        <v>0</v>
      </c>
      <c r="E15" s="937"/>
      <c r="F15" s="938"/>
      <c r="G15" s="394">
        <v>400</v>
      </c>
      <c r="H15" s="363"/>
      <c r="I15" s="363"/>
      <c r="J15" s="363"/>
      <c r="K15" s="363"/>
      <c r="L15" s="363"/>
      <c r="M15" s="363"/>
      <c r="N15" s="363"/>
      <c r="O15" s="363"/>
      <c r="P15" s="363"/>
      <c r="Q15" s="363"/>
      <c r="R15" s="363"/>
      <c r="S15" s="363"/>
      <c r="T15" s="363"/>
      <c r="U15" s="363"/>
      <c r="V15" s="363"/>
      <c r="W15" s="363"/>
      <c r="X15" s="363"/>
      <c r="Y15" s="363"/>
      <c r="Z15" s="363"/>
      <c r="AA15" s="363"/>
      <c r="AB15" s="124"/>
      <c r="AC15" s="125"/>
      <c r="AD15" s="126"/>
    </row>
    <row r="16" spans="2:30" x14ac:dyDescent="0.25">
      <c r="B16" s="139">
        <v>5</v>
      </c>
      <c r="C16" s="329" t="s">
        <v>613</v>
      </c>
      <c r="D16" s="576"/>
      <c r="E16" s="577"/>
      <c r="F16" s="578"/>
      <c r="G16" s="394">
        <v>250</v>
      </c>
      <c r="H16" s="363"/>
      <c r="I16" s="363"/>
      <c r="J16" s="363"/>
      <c r="K16" s="363"/>
      <c r="L16" s="363"/>
      <c r="M16" s="363"/>
      <c r="N16" s="363"/>
      <c r="O16" s="363"/>
      <c r="P16" s="363"/>
      <c r="Q16" s="363"/>
      <c r="R16" s="363"/>
      <c r="S16" s="363"/>
      <c r="T16" s="363"/>
      <c r="U16" s="363"/>
      <c r="V16" s="363"/>
      <c r="W16" s="363"/>
      <c r="X16" s="363"/>
      <c r="Y16" s="363"/>
      <c r="Z16" s="363"/>
      <c r="AA16" s="363"/>
      <c r="AB16" s="124"/>
      <c r="AC16" s="125"/>
      <c r="AD16" s="126"/>
    </row>
    <row r="17" spans="2:30" x14ac:dyDescent="0.25">
      <c r="B17" s="941"/>
      <c r="C17" s="941"/>
      <c r="D17" s="941"/>
      <c r="E17" s="941"/>
      <c r="F17" s="941"/>
      <c r="G17" s="941"/>
      <c r="H17" s="941"/>
      <c r="I17" s="941"/>
      <c r="J17" s="941"/>
      <c r="K17" s="941"/>
      <c r="L17" s="941"/>
      <c r="M17" s="941"/>
      <c r="N17" s="941"/>
      <c r="O17" s="941"/>
      <c r="P17" s="941"/>
      <c r="Q17" s="941"/>
      <c r="R17" s="941"/>
      <c r="S17" s="941"/>
      <c r="T17" s="941"/>
      <c r="U17" s="941"/>
      <c r="V17" s="941"/>
      <c r="W17" s="941"/>
      <c r="X17" s="941"/>
      <c r="Y17" s="941"/>
      <c r="Z17" s="941"/>
      <c r="AA17" s="941"/>
      <c r="AB17" s="124"/>
      <c r="AC17" s="125"/>
      <c r="AD17" s="126"/>
    </row>
    <row r="18" spans="2:30" x14ac:dyDescent="0.25">
      <c r="B18" s="139">
        <v>2</v>
      </c>
      <c r="C18" s="943" t="s">
        <v>62</v>
      </c>
      <c r="D18" s="943"/>
      <c r="E18" s="943"/>
      <c r="F18" s="943"/>
      <c r="G18" s="943"/>
      <c r="H18" s="943"/>
      <c r="I18" s="943"/>
      <c r="J18" s="943"/>
      <c r="K18" s="943"/>
      <c r="L18" s="943"/>
      <c r="M18" s="943"/>
      <c r="N18" s="943"/>
      <c r="O18" s="943"/>
      <c r="P18" s="943"/>
      <c r="Q18" s="943"/>
      <c r="R18" s="943"/>
      <c r="S18" s="943"/>
      <c r="T18" s="943"/>
      <c r="U18" s="943"/>
      <c r="V18" s="943"/>
      <c r="W18" s="943"/>
      <c r="X18" s="943"/>
      <c r="Y18" s="943"/>
      <c r="Z18" s="943"/>
      <c r="AA18" s="943"/>
      <c r="AB18" s="124"/>
      <c r="AC18" s="130"/>
      <c r="AD18" s="127"/>
    </row>
    <row r="19" spans="2:30" x14ac:dyDescent="0.25">
      <c r="B19" s="139">
        <v>2.1</v>
      </c>
      <c r="C19" s="943" t="s">
        <v>63</v>
      </c>
      <c r="D19" s="943"/>
      <c r="E19" s="943"/>
      <c r="F19" s="943"/>
      <c r="G19" s="943"/>
      <c r="H19" s="943"/>
      <c r="I19" s="943"/>
      <c r="J19" s="943"/>
      <c r="K19" s="943"/>
      <c r="L19" s="943"/>
      <c r="M19" s="943"/>
      <c r="N19" s="943"/>
      <c r="O19" s="943"/>
      <c r="P19" s="943"/>
      <c r="Q19" s="943"/>
      <c r="R19" s="943"/>
      <c r="S19" s="943"/>
      <c r="T19" s="943"/>
      <c r="U19" s="943"/>
      <c r="V19" s="943"/>
      <c r="W19" s="943"/>
      <c r="X19" s="943"/>
      <c r="Y19" s="943"/>
      <c r="Z19" s="943"/>
      <c r="AA19" s="943"/>
      <c r="AB19" s="124"/>
      <c r="AC19" s="130"/>
      <c r="AD19" s="127"/>
    </row>
    <row r="20" spans="2:30" x14ac:dyDescent="0.25">
      <c r="B20" s="139" t="s">
        <v>64</v>
      </c>
      <c r="C20" s="142" t="str">
        <f>'OPERATING COSTS'!C8</f>
        <v>Ethylene (Cost of Production considered)</v>
      </c>
      <c r="D20" s="357">
        <f>IF(D$9&lt;=$G$2,0,'OPERATING COSTS'!$H$8*D$10*(1+$D$3)^(D$9-$G$2-1))</f>
        <v>0</v>
      </c>
      <c r="E20" s="357">
        <f>IF(E$9&lt;=$G$2,0,'OPERATING COSTS'!$H$8*E$10*(1+$D$3)^(E$9-$G$2-1))</f>
        <v>0</v>
      </c>
      <c r="F20" s="357">
        <f>IF(F$9&lt;=$G$2,0,'OPERATING COSTS'!$H$8*F$10*(1+$D$3)^(F$9-$G$2-1))</f>
        <v>0</v>
      </c>
      <c r="G20" s="357">
        <f>IF(G$9&lt;=$G$2,0,'OPERATING COSTS'!$H$8*G$10*(1+$D$3)^(G$9-$G$2-1))</f>
        <v>0</v>
      </c>
      <c r="H20" s="388">
        <f>IF(H$9&lt;=$G$2,0,'OPERATING COSTS'!$H$8*H$10*(1+$D$3)^(H$9-$G$2-1))</f>
        <v>538.55001824152998</v>
      </c>
      <c r="I20" s="357">
        <f>IF(I$9&lt;=$G$2,0,'OPERATING COSTS'!$H$8*I$10*(1+$D$3)^(I$9-$G$2-1))</f>
        <v>693.38314848596985</v>
      </c>
      <c r="J20" s="357">
        <f>IF(J$9&lt;=$G$2,0,'OPERATING COSTS'!$H$8*J$10*(1+$D$3)^(J$9-$G$2-1))</f>
        <v>714.18464294054888</v>
      </c>
      <c r="K20" s="357">
        <f>IF(K$9&lt;=$G$2,0,'OPERATING COSTS'!$H$8*K$10*(1+$D$3)^(K$9-$G$2-1))</f>
        <v>735.61018222876544</v>
      </c>
      <c r="L20" s="357">
        <f>IF(L$9&lt;=$G$2,0,'OPERATING COSTS'!$H$8*L$10*(1+$D$3)^(L$9-$G$2-1))</f>
        <v>757.67848769562829</v>
      </c>
      <c r="M20" s="357">
        <f>IF(M$9&lt;=$G$2,0,'OPERATING COSTS'!$H$8*M$10*(1+$D$3)^(M$9-$G$2-1))</f>
        <v>780.40884232649705</v>
      </c>
      <c r="N20" s="357">
        <f>IF(N$9&lt;=$G$2,0,'OPERATING COSTS'!$H$8*N$10*(1+$D$3)^(N$9-$G$2-1))</f>
        <v>803.82110759629211</v>
      </c>
      <c r="O20" s="357">
        <f>IF(O$9&lt;=$G$2,0,'OPERATING COSTS'!$H$8*O$10*(1+$D$3)^(O$9-$G$2-1))</f>
        <v>827.93574082418081</v>
      </c>
      <c r="P20" s="357">
        <f>IF(P$9&lt;=$G$2,0,'OPERATING COSTS'!$H$8*P$10*(1+$D$3)^(P$9-$G$2-1))</f>
        <v>852.77381304890616</v>
      </c>
      <c r="Q20" s="357">
        <f>IF(Q$9&lt;=$G$2,0,'OPERATING COSTS'!$H$8*Q$10*(1+$D$3)^(Q$9-$G$2-1))</f>
        <v>878.35702744037337</v>
      </c>
      <c r="R20" s="357">
        <f>IF(R$9&lt;=$G$2,0,'OPERATING COSTS'!$H$8*R$10*(1+$D$3)^(R$9-$G$2-1))</f>
        <v>904.70773826358459</v>
      </c>
      <c r="S20" s="357">
        <f>IF(S$9&lt;=$G$2,0,'OPERATING COSTS'!$H$8*S$10*(1+$D$3)^(S$9-$G$2-1))</f>
        <v>931.84897041149213</v>
      </c>
      <c r="T20" s="357">
        <f>IF(T$9&lt;=$G$2,0,'OPERATING COSTS'!$H$8*T$10*(1+$D$3)^(T$9-$G$2-1))</f>
        <v>959.80443952383678</v>
      </c>
      <c r="U20" s="357">
        <f>IF(U$9&lt;=$G$2,0,'OPERATING COSTS'!$H$8*U$10*(1+$D$3)^(U$9-$G$2-1))</f>
        <v>988.59857270955183</v>
      </c>
      <c r="V20" s="357">
        <f>IF(V$9&lt;=$G$2,0,'OPERATING COSTS'!$H$8*V$10*(1+$D$3)^(V$9-$G$2-1))</f>
        <v>1018.2565298908385</v>
      </c>
      <c r="W20" s="357">
        <f>IF(W$9&lt;=$G$2,0,'OPERATING COSTS'!$H$8*W$10*(1+$D$3)^(W$9-$G$2-1))</f>
        <v>1048.8042257875638</v>
      </c>
      <c r="X20" s="357">
        <f>IF(X$9&lt;=$G$2,0,'OPERATING COSTS'!$H$8*X$10*(1+$D$3)^(X$9-$G$2-1))</f>
        <v>1080.2683525611906</v>
      </c>
      <c r="Y20" s="357">
        <f>IF(Y$9&lt;=$G$2,0,'OPERATING COSTS'!$H$8*Y$10*(1+$D$3)^(Y$9-$G$2-1))</f>
        <v>1112.6764031380262</v>
      </c>
      <c r="Z20" s="357">
        <f>IF(Z$9&lt;=$G$2,0,'OPERATING COSTS'!$H$8*Z$10*(1+$D$3)^(Z$9-$G$2-1))</f>
        <v>1146.0566952321669</v>
      </c>
      <c r="AA20" s="357">
        <f>IF(AA$9&lt;=$G$2,0,'OPERATING COSTS'!$H$8*AA$10*(1+$D$3)^(AA$9-$G$2-1))</f>
        <v>1180.4383960891319</v>
      </c>
      <c r="AB20" s="124"/>
      <c r="AC20" s="130"/>
      <c r="AD20" s="127"/>
    </row>
    <row r="21" spans="2:30" x14ac:dyDescent="0.25">
      <c r="B21" s="139" t="s">
        <v>65</v>
      </c>
      <c r="C21" s="142" t="str">
        <f>'OPERATING COSTS'!C9</f>
        <v>Chlorine</v>
      </c>
      <c r="D21" s="357">
        <f>IF(D$9&lt;=$G$2,0,'OPERATING COSTS'!$H$9*D$10*(1+$D$3)^(D$9-$G$2-1))</f>
        <v>0</v>
      </c>
      <c r="E21" s="357">
        <f>IF(E$9&lt;=$G$2,0,'OPERATING COSTS'!$H$9*E$10*(1+$D$3)^(E$9-$G$2-1))</f>
        <v>0</v>
      </c>
      <c r="F21" s="357">
        <f>IF(F$9&lt;=$G$2,0,'OPERATING COSTS'!$H$9*F$10*(1+$D$3)^(F$9-$G$2-1))</f>
        <v>0</v>
      </c>
      <c r="G21" s="357">
        <f>IF(G$9&lt;=$G$2,0,'OPERATING COSTS'!$H$9*G$10*(1+$D$3)^(G$9-$G$2-1))</f>
        <v>0</v>
      </c>
      <c r="H21" s="357">
        <f>IF(H$9&lt;=$G$2,0,'OPERATING COSTS'!$H$9*H$10*(1+$D$3)^(H$9-$G$2-1))</f>
        <v>82.600000000000009</v>
      </c>
      <c r="I21" s="357">
        <f>IF(I$9&lt;=$G$2,0,'OPERATING COSTS'!$H$9*I$10*(1+$D$3)^(I$9-$G$2-1))</f>
        <v>106.3475</v>
      </c>
      <c r="J21" s="357">
        <f>IF(J$9&lt;=$G$2,0,'OPERATING COSTS'!$H$9*J$10*(1+$D$3)^(J$9-$G$2-1))</f>
        <v>109.537925</v>
      </c>
      <c r="K21" s="357">
        <f>IF(K$9&lt;=$G$2,0,'OPERATING COSTS'!$H$9*K$10*(1+$D$3)^(K$9-$G$2-1))</f>
        <v>112.82406275</v>
      </c>
      <c r="L21" s="357">
        <f>IF(L$9&lt;=$G$2,0,'OPERATING COSTS'!$H$9*L$10*(1+$D$3)^(L$9-$G$2-1))</f>
        <v>116.20878463249998</v>
      </c>
      <c r="M21" s="357">
        <f>IF(M$9&lt;=$G$2,0,'OPERATING COSTS'!$H$9*M$10*(1+$D$3)^(M$9-$G$2-1))</f>
        <v>119.69504817147498</v>
      </c>
      <c r="N21" s="357">
        <f>IF(N$9&lt;=$G$2,0,'OPERATING COSTS'!$H$9*N$10*(1+$D$3)^(N$9-$G$2-1))</f>
        <v>123.28589961661925</v>
      </c>
      <c r="O21" s="357">
        <f>IF(O$9&lt;=$G$2,0,'OPERATING COSTS'!$H$9*O$10*(1+$D$3)^(O$9-$G$2-1))</f>
        <v>126.98447660511782</v>
      </c>
      <c r="P21" s="357">
        <f>IF(P$9&lt;=$G$2,0,'OPERATING COSTS'!$H$9*P$10*(1+$D$3)^(P$9-$G$2-1))</f>
        <v>130.79401090327136</v>
      </c>
      <c r="Q21" s="357">
        <f>IF(Q$9&lt;=$G$2,0,'OPERATING COSTS'!$H$9*Q$10*(1+$D$3)^(Q$9-$G$2-1))</f>
        <v>134.71783123036948</v>
      </c>
      <c r="R21" s="357">
        <f>IF(R$9&lt;=$G$2,0,'OPERATING COSTS'!$H$9*R$10*(1+$D$3)^(R$9-$G$2-1))</f>
        <v>138.75936616728058</v>
      </c>
      <c r="S21" s="357">
        <f>IF(S$9&lt;=$G$2,0,'OPERATING COSTS'!$H$9*S$10*(1+$D$3)^(S$9-$G$2-1))</f>
        <v>142.922147152299</v>
      </c>
      <c r="T21" s="357">
        <f>IF(T$9&lt;=$G$2,0,'OPERATING COSTS'!$H$9*T$10*(1+$D$3)^(T$9-$G$2-1))</f>
        <v>147.20981156686796</v>
      </c>
      <c r="U21" s="357">
        <f>IF(U$9&lt;=$G$2,0,'OPERATING COSTS'!$H$9*U$10*(1+$D$3)^(U$9-$G$2-1))</f>
        <v>151.62610591387397</v>
      </c>
      <c r="V21" s="357">
        <f>IF(V$9&lt;=$G$2,0,'OPERATING COSTS'!$H$9*V$10*(1+$D$3)^(V$9-$G$2-1))</f>
        <v>156.17488909129023</v>
      </c>
      <c r="W21" s="357">
        <f>IF(W$9&lt;=$G$2,0,'OPERATING COSTS'!$H$9*W$10*(1+$D$3)^(W$9-$G$2-1))</f>
        <v>160.86013576402894</v>
      </c>
      <c r="X21" s="357">
        <f>IF(X$9&lt;=$G$2,0,'OPERATING COSTS'!$H$9*X$10*(1+$D$3)^(X$9-$G$2-1))</f>
        <v>165.68593983694976</v>
      </c>
      <c r="Y21" s="357">
        <f>IF(Y$9&lt;=$G$2,0,'OPERATING COSTS'!$H$9*Y$10*(1+$D$3)^(Y$9-$G$2-1))</f>
        <v>170.65651803205827</v>
      </c>
      <c r="Z21" s="357">
        <f>IF(Z$9&lt;=$G$2,0,'OPERATING COSTS'!$H$9*Z$10*(1+$D$3)^(Z$9-$G$2-1))</f>
        <v>175.77621357302002</v>
      </c>
      <c r="AA21" s="357">
        <f>IF(AA$9&lt;=$G$2,0,'OPERATING COSTS'!$H$9*AA$10*(1+$D$3)^(AA$9-$G$2-1))</f>
        <v>181.04949998021061</v>
      </c>
      <c r="AB21" s="124"/>
      <c r="AC21" s="130"/>
      <c r="AD21" s="127"/>
    </row>
    <row r="22" spans="2:30" x14ac:dyDescent="0.25">
      <c r="B22" s="139" t="s">
        <v>66</v>
      </c>
      <c r="C22" s="192" t="str">
        <f>'OPERATING COSTS'!C10</f>
        <v>Benzene (OPaL Market Price Considered)</v>
      </c>
      <c r="D22" s="357">
        <f>IF(D$9&lt;=$G$2,0,'OPERATING COSTS'!$H$10*D$10*(1+$D$3)^(D$9-$G$2-1))</f>
        <v>0</v>
      </c>
      <c r="E22" s="357">
        <f>IF(E$9&lt;=$G$2,0,'OPERATING COSTS'!$H$10*E$10*(1+$D$3)^(E$9-$G$2-1))</f>
        <v>0</v>
      </c>
      <c r="F22" s="357">
        <f>IF(F$9&lt;=$G$2,0,'OPERATING COSTS'!$H$10*F$10*(1+$D$3)^(F$9-$G$2-1))</f>
        <v>0</v>
      </c>
      <c r="G22" s="357">
        <f>IF(G$9&lt;=$G$2,0,'OPERATING COSTS'!$H$10*G$10*(1+$D$3)^(G$9-$G$2-1))</f>
        <v>0</v>
      </c>
      <c r="H22" s="357">
        <f>IF(H$9&lt;=$G$2,0,'OPERATING COSTS'!$H$10*H$10*(1+$D$3)^(H$9-$G$2-1))</f>
        <v>702.66118400000005</v>
      </c>
      <c r="I22" s="357">
        <f>IF(I$9&lt;=$G$2,0,'OPERATING COSTS'!$H$10*I$10*(1+$D$3)^(I$9-$G$2-1))</f>
        <v>904.67627440000001</v>
      </c>
      <c r="J22" s="357">
        <f>IF(J$9&lt;=$G$2,0,'OPERATING COSTS'!$H$10*J$10*(1+$D$3)^(J$9-$G$2-1))</f>
        <v>931.81656263199989</v>
      </c>
      <c r="K22" s="357">
        <f>IF(K$9&lt;=$G$2,0,'OPERATING COSTS'!$H$10*K$10*(1+$D$3)^(K$9-$G$2-1))</f>
        <v>959.77105951095996</v>
      </c>
      <c r="L22" s="357">
        <f>IF(L$9&lt;=$G$2,0,'OPERATING COSTS'!$H$10*L$10*(1+$D$3)^(L$9-$G$2-1))</f>
        <v>988.56419129628864</v>
      </c>
      <c r="M22" s="357">
        <f>IF(M$9&lt;=$G$2,0,'OPERATING COSTS'!$H$10*M$10*(1+$D$3)^(M$9-$G$2-1))</f>
        <v>1018.2211170351773</v>
      </c>
      <c r="N22" s="357">
        <f>IF(N$9&lt;=$G$2,0,'OPERATING COSTS'!$H$10*N$10*(1+$D$3)^(N$9-$G$2-1))</f>
        <v>1048.7677505462327</v>
      </c>
      <c r="O22" s="357">
        <f>IF(O$9&lt;=$G$2,0,'OPERATING COSTS'!$H$10*O$10*(1+$D$3)^(O$9-$G$2-1))</f>
        <v>1080.2307830626196</v>
      </c>
      <c r="P22" s="357">
        <f>IF(P$9&lt;=$G$2,0,'OPERATING COSTS'!$H$10*P$10*(1+$D$3)^(P$9-$G$2-1))</f>
        <v>1112.6377065544982</v>
      </c>
      <c r="Q22" s="357">
        <f>IF(Q$9&lt;=$G$2,0,'OPERATING COSTS'!$H$10*Q$10*(1+$D$3)^(Q$9-$G$2-1))</f>
        <v>1146.0168377511332</v>
      </c>
      <c r="R22" s="357">
        <f>IF(R$9&lt;=$G$2,0,'OPERATING COSTS'!$H$10*R$10*(1+$D$3)^(R$9-$G$2-1))</f>
        <v>1180.3973428836671</v>
      </c>
      <c r="S22" s="357">
        <f>IF(S$9&lt;=$G$2,0,'OPERATING COSTS'!$H$10*S$10*(1+$D$3)^(S$9-$G$2-1))</f>
        <v>1215.8092631701772</v>
      </c>
      <c r="T22" s="357">
        <f>IF(T$9&lt;=$G$2,0,'OPERATING COSTS'!$H$10*T$10*(1+$D$3)^(T$9-$G$2-1))</f>
        <v>1252.2835410652824</v>
      </c>
      <c r="U22" s="357">
        <f>IF(U$9&lt;=$G$2,0,'OPERATING COSTS'!$H$10*U$10*(1+$D$3)^(U$9-$G$2-1))</f>
        <v>1289.8520472972407</v>
      </c>
      <c r="V22" s="357">
        <f>IF(V$9&lt;=$G$2,0,'OPERATING COSTS'!$H$10*V$10*(1+$D$3)^(V$9-$G$2-1))</f>
        <v>1328.547608716158</v>
      </c>
      <c r="W22" s="357">
        <f>IF(W$9&lt;=$G$2,0,'OPERATING COSTS'!$H$10*W$10*(1+$D$3)^(W$9-$G$2-1))</f>
        <v>1368.4040369776428</v>
      </c>
      <c r="X22" s="357">
        <f>IF(X$9&lt;=$G$2,0,'OPERATING COSTS'!$H$10*X$10*(1+$D$3)^(X$9-$G$2-1))</f>
        <v>1409.456158086972</v>
      </c>
      <c r="Y22" s="357">
        <f>IF(Y$9&lt;=$G$2,0,'OPERATING COSTS'!$H$10*Y$10*(1+$D$3)^(Y$9-$G$2-1))</f>
        <v>1451.739842829581</v>
      </c>
      <c r="Z22" s="357">
        <f>IF(Z$9&lt;=$G$2,0,'OPERATING COSTS'!$H$10*Z$10*(1+$D$3)^(Z$9-$G$2-1))</f>
        <v>1495.2920381144686</v>
      </c>
      <c r="AA22" s="357">
        <f>IF(AA$9&lt;=$G$2,0,'OPERATING COSTS'!$H$10*AA$10*(1+$D$3)^(AA$9-$G$2-1))</f>
        <v>1540.1507992579025</v>
      </c>
      <c r="AB22" s="124"/>
      <c r="AC22" s="130"/>
      <c r="AD22" s="127"/>
    </row>
    <row r="23" spans="2:30" x14ac:dyDescent="0.25">
      <c r="B23" s="139" t="s">
        <v>67</v>
      </c>
      <c r="C23" s="142" t="str">
        <f>'OPERATING COSTS'!C11</f>
        <v>Propylene (Cost of Production Considered)</v>
      </c>
      <c r="D23" s="357">
        <f>IF(D$9&lt;=$G$2,0,'OPERATING COSTS'!$H$11*D$10*(1+$D$3)^(D$9-$G$2-1))</f>
        <v>0</v>
      </c>
      <c r="E23" s="357">
        <f>IF(E$9&lt;=$G$2,0,'OPERATING COSTS'!$H$11*E$10*(1+$D$3)^(E$9-$G$2-1))</f>
        <v>0</v>
      </c>
      <c r="F23" s="357">
        <f>IF(F$9&lt;=$G$2,0,'OPERATING COSTS'!$H$11*F$10*(1+$D$3)^(F$9-$G$2-1))</f>
        <v>0</v>
      </c>
      <c r="G23" s="357">
        <f>IF(G$9&lt;=$G$2,0,'OPERATING COSTS'!$H$11*G$10*(1+$D$3)^(G$9-$G$2-1))</f>
        <v>0</v>
      </c>
      <c r="H23" s="357">
        <f>IF(H$9&lt;=$G$2,0,'OPERATING COSTS'!$H$11*H$10*(1+$D$3)^(H$9-$G$2-1))</f>
        <v>385.54475507031731</v>
      </c>
      <c r="I23" s="357">
        <f>IF(I$9&lt;=$G$2,0,'OPERATING COSTS'!$H$11*I$10*(1+$D$3)^(I$9-$G$2-1))</f>
        <v>496.38887215303356</v>
      </c>
      <c r="J23" s="357">
        <f>IF(J$9&lt;=$G$2,0,'OPERATING COSTS'!$H$11*J$10*(1+$D$3)^(J$9-$G$2-1))</f>
        <v>511.28053831762452</v>
      </c>
      <c r="K23" s="357">
        <f>IF(K$9&lt;=$G$2,0,'OPERATING COSTS'!$H$11*K$10*(1+$D$3)^(K$9-$G$2-1))</f>
        <v>526.61895446715323</v>
      </c>
      <c r="L23" s="357">
        <f>IF(L$9&lt;=$G$2,0,'OPERATING COSTS'!$H$11*L$10*(1+$D$3)^(L$9-$G$2-1))</f>
        <v>542.41752310116783</v>
      </c>
      <c r="M23" s="357">
        <f>IF(M$9&lt;=$G$2,0,'OPERATING COSTS'!$H$11*M$10*(1+$D$3)^(M$9-$G$2-1))</f>
        <v>558.69004879420277</v>
      </c>
      <c r="N23" s="357">
        <f>IF(N$9&lt;=$G$2,0,'OPERATING COSTS'!$H$11*N$10*(1+$D$3)^(N$9-$G$2-1))</f>
        <v>575.45075025802896</v>
      </c>
      <c r="O23" s="357">
        <f>IF(O$9&lt;=$G$2,0,'OPERATING COSTS'!$H$11*O$10*(1+$D$3)^(O$9-$G$2-1))</f>
        <v>592.71427276576981</v>
      </c>
      <c r="P23" s="357">
        <f>IF(P$9&lt;=$G$2,0,'OPERATING COSTS'!$H$11*P$10*(1+$D$3)^(P$9-$G$2-1))</f>
        <v>610.49570094874286</v>
      </c>
      <c r="Q23" s="357">
        <f>IF(Q$9&lt;=$G$2,0,'OPERATING COSTS'!$H$11*Q$10*(1+$D$3)^(Q$9-$G$2-1))</f>
        <v>628.8105719772052</v>
      </c>
      <c r="R23" s="357">
        <f>IF(R$9&lt;=$G$2,0,'OPERATING COSTS'!$H$11*R$10*(1+$D$3)^(R$9-$G$2-1))</f>
        <v>647.6748891365213</v>
      </c>
      <c r="S23" s="357">
        <f>IF(S$9&lt;=$G$2,0,'OPERATING COSTS'!$H$11*S$10*(1+$D$3)^(S$9-$G$2-1))</f>
        <v>667.10513581061696</v>
      </c>
      <c r="T23" s="357">
        <f>IF(T$9&lt;=$G$2,0,'OPERATING COSTS'!$H$11*T$10*(1+$D$3)^(T$9-$G$2-1))</f>
        <v>687.11828988493539</v>
      </c>
      <c r="U23" s="357">
        <f>IF(U$9&lt;=$G$2,0,'OPERATING COSTS'!$H$11*U$10*(1+$D$3)^(U$9-$G$2-1))</f>
        <v>707.73183858148343</v>
      </c>
      <c r="V23" s="357">
        <f>IF(V$9&lt;=$G$2,0,'OPERATING COSTS'!$H$11*V$10*(1+$D$3)^(V$9-$G$2-1))</f>
        <v>728.96379373892796</v>
      </c>
      <c r="W23" s="357">
        <f>IF(W$9&lt;=$G$2,0,'OPERATING COSTS'!$H$11*W$10*(1+$D$3)^(W$9-$G$2-1))</f>
        <v>750.83270755109584</v>
      </c>
      <c r="X23" s="357">
        <f>IF(X$9&lt;=$G$2,0,'OPERATING COSTS'!$H$11*X$10*(1+$D$3)^(X$9-$G$2-1))</f>
        <v>773.3576887776286</v>
      </c>
      <c r="Y23" s="357">
        <f>IF(Y$9&lt;=$G$2,0,'OPERATING COSTS'!$H$11*Y$10*(1+$D$3)^(Y$9-$G$2-1))</f>
        <v>796.55841944095744</v>
      </c>
      <c r="Z23" s="357">
        <f>IF(Z$9&lt;=$G$2,0,'OPERATING COSTS'!$H$11*Z$10*(1+$D$3)^(Z$9-$G$2-1))</f>
        <v>820.45517202418625</v>
      </c>
      <c r="AA23" s="357">
        <f>IF(AA$9&lt;=$G$2,0,'OPERATING COSTS'!$H$11*AA$10*(1+$D$3)^(AA$9-$G$2-1))</f>
        <v>845.06882718491181</v>
      </c>
      <c r="AB23" s="124"/>
      <c r="AC23" s="130"/>
      <c r="AD23" s="127"/>
    </row>
    <row r="24" spans="2:30" x14ac:dyDescent="0.25">
      <c r="B24" s="139" t="s">
        <v>68</v>
      </c>
      <c r="C24" s="142" t="str">
        <f>'OPERATING COSTS'!C12</f>
        <v>Oxygen (PVC)</v>
      </c>
      <c r="D24" s="357">
        <f>IF(D$9&lt;=$G$2,0,'OPERATING COSTS'!$H$12*D$10*(1+$D$3)^(D$9-$G$2-1))</f>
        <v>0</v>
      </c>
      <c r="E24" s="357">
        <f>IF(E$9&lt;=$G$2,0,'OPERATING COSTS'!$H$12*E$10*(1+$D$3)^(E$9-$G$2-1))</f>
        <v>0</v>
      </c>
      <c r="F24" s="357">
        <f>IF(F$9&lt;=$G$2,0,'OPERATING COSTS'!$H$12*F$10*(1+$D$3)^(F$9-$G$2-1))</f>
        <v>0</v>
      </c>
      <c r="G24" s="357">
        <f>IF(G$9&lt;=$G$2,0,'OPERATING COSTS'!$H$12*G$10*(1+$D$3)^(G$9-$G$2-1))</f>
        <v>0</v>
      </c>
      <c r="H24" s="357">
        <f>IF(H$9&lt;=$G$2,0,'OPERATING COSTS'!$H$12*H$10*(1+$D$3)^(H$9-$G$2-1))</f>
        <v>8.4630186666666667</v>
      </c>
      <c r="I24" s="357">
        <f>IF(I$9&lt;=$G$2,0,'OPERATING COSTS'!$H$12*I$10*(1+$D$3)^(I$9-$G$2-1))</f>
        <v>10.896136533333333</v>
      </c>
      <c r="J24" s="357">
        <f>IF(J$9&lt;=$G$2,0,'OPERATING COSTS'!$H$12*J$10*(1+$D$3)^(J$9-$G$2-1))</f>
        <v>11.223020629333332</v>
      </c>
      <c r="K24" s="357">
        <f>IF(K$9&lt;=$G$2,0,'OPERATING COSTS'!$H$12*K$10*(1+$D$3)^(K$9-$G$2-1))</f>
        <v>11.559711248213333</v>
      </c>
      <c r="L24" s="357">
        <f>IF(L$9&lt;=$G$2,0,'OPERATING COSTS'!$H$12*L$10*(1+$D$3)^(L$9-$G$2-1))</f>
        <v>11.906502585659732</v>
      </c>
      <c r="M24" s="357">
        <f>IF(M$9&lt;=$G$2,0,'OPERATING COSTS'!$H$12*M$10*(1+$D$3)^(M$9-$G$2-1))</f>
        <v>12.263697663229523</v>
      </c>
      <c r="N24" s="357">
        <f>IF(N$9&lt;=$G$2,0,'OPERATING COSTS'!$H$12*N$10*(1+$D$3)^(N$9-$G$2-1))</f>
        <v>12.631608593126408</v>
      </c>
      <c r="O24" s="357">
        <f>IF(O$9&lt;=$G$2,0,'OPERATING COSTS'!$H$12*O$10*(1+$D$3)^(O$9-$G$2-1))</f>
        <v>13.010556850920203</v>
      </c>
      <c r="P24" s="357">
        <f>IF(P$9&lt;=$G$2,0,'OPERATING COSTS'!$H$12*P$10*(1+$D$3)^(P$9-$G$2-1))</f>
        <v>13.400873556447806</v>
      </c>
      <c r="Q24" s="357">
        <f>IF(Q$9&lt;=$G$2,0,'OPERATING COSTS'!$H$12*Q$10*(1+$D$3)^(Q$9-$G$2-1))</f>
        <v>13.802899763141241</v>
      </c>
      <c r="R24" s="357">
        <f>IF(R$9&lt;=$G$2,0,'OPERATING COSTS'!$H$12*R$10*(1+$D$3)^(R$9-$G$2-1))</f>
        <v>14.216986756035478</v>
      </c>
      <c r="S24" s="357">
        <f>IF(S$9&lt;=$G$2,0,'OPERATING COSTS'!$H$12*S$10*(1+$D$3)^(S$9-$G$2-1))</f>
        <v>14.643496358716543</v>
      </c>
      <c r="T24" s="357">
        <f>IF(T$9&lt;=$G$2,0,'OPERATING COSTS'!$H$12*T$10*(1+$D$3)^(T$9-$G$2-1))</f>
        <v>15.082801249478038</v>
      </c>
      <c r="U24" s="357">
        <f>IF(U$9&lt;=$G$2,0,'OPERATING COSTS'!$H$12*U$10*(1+$D$3)^(U$9-$G$2-1))</f>
        <v>15.535285286962377</v>
      </c>
      <c r="V24" s="357">
        <f>IF(V$9&lt;=$G$2,0,'OPERATING COSTS'!$H$12*V$10*(1+$D$3)^(V$9-$G$2-1))</f>
        <v>16.001343845571252</v>
      </c>
      <c r="W24" s="357">
        <f>IF(W$9&lt;=$G$2,0,'OPERATING COSTS'!$H$12*W$10*(1+$D$3)^(W$9-$G$2-1))</f>
        <v>16.48138416093839</v>
      </c>
      <c r="X24" s="357">
        <f>IF(X$9&lt;=$G$2,0,'OPERATING COSTS'!$H$12*X$10*(1+$D$3)^(X$9-$G$2-1))</f>
        <v>16.975825685766537</v>
      </c>
      <c r="Y24" s="357">
        <f>IF(Y$9&lt;=$G$2,0,'OPERATING COSTS'!$H$12*Y$10*(1+$D$3)^(Y$9-$G$2-1))</f>
        <v>17.485100456339534</v>
      </c>
      <c r="Z24" s="357">
        <f>IF(Z$9&lt;=$G$2,0,'OPERATING COSTS'!$H$12*Z$10*(1+$D$3)^(Z$9-$G$2-1))</f>
        <v>18.009653470029722</v>
      </c>
      <c r="AA24" s="357">
        <f>IF(AA$9&lt;=$G$2,0,'OPERATING COSTS'!$H$12*AA$10*(1+$D$3)^(AA$9-$G$2-1))</f>
        <v>18.54994307413061</v>
      </c>
      <c r="AB24" s="124"/>
      <c r="AC24" s="130"/>
      <c r="AD24" s="127"/>
    </row>
    <row r="25" spans="2:30" x14ac:dyDescent="0.25">
      <c r="B25" s="139">
        <v>2.2000000000000002</v>
      </c>
      <c r="C25" s="943" t="s">
        <v>130</v>
      </c>
      <c r="D25" s="943"/>
      <c r="E25" s="943"/>
      <c r="F25" s="943"/>
      <c r="G25" s="943"/>
      <c r="H25" s="943"/>
      <c r="I25" s="943"/>
      <c r="J25" s="943"/>
      <c r="K25" s="943"/>
      <c r="L25" s="943"/>
      <c r="M25" s="943"/>
      <c r="N25" s="943"/>
      <c r="O25" s="943"/>
      <c r="P25" s="943"/>
      <c r="Q25" s="943"/>
      <c r="R25" s="943"/>
      <c r="S25" s="943"/>
      <c r="T25" s="943"/>
      <c r="U25" s="943"/>
      <c r="V25" s="943"/>
      <c r="W25" s="943"/>
      <c r="X25" s="943"/>
      <c r="Y25" s="943"/>
      <c r="Z25" s="943"/>
      <c r="AA25" s="943"/>
      <c r="AB25" s="124"/>
      <c r="AC25" s="130"/>
      <c r="AD25" s="127"/>
    </row>
    <row r="26" spans="2:30" x14ac:dyDescent="0.25">
      <c r="B26" s="139" t="s">
        <v>64</v>
      </c>
      <c r="C26" s="143" t="str">
        <f>'OPERATING COSTS'!C15</f>
        <v>Power -PVC</v>
      </c>
      <c r="D26" s="356">
        <f>IF(D$9&lt;=$G$2,0,'OPERATING COSTS'!$H$15*D$10*(1+$D$3)^(D$9-$G$2-1))</f>
        <v>0</v>
      </c>
      <c r="E26" s="356">
        <f>IF(E$9&lt;=$G$2,0,'OPERATING COSTS'!$H$15*E$10*(1+$D$3)^(E$9-$G$2-1))</f>
        <v>0</v>
      </c>
      <c r="F26" s="356">
        <f>IF(F$9&lt;=$G$2,0,'OPERATING COSTS'!$H$15*F$10*(1+$D$3)^(F$9-$G$2-1))</f>
        <v>0</v>
      </c>
      <c r="G26" s="356">
        <f>IF(G$9&lt;=$G$2,0,'OPERATING COSTS'!$H$15*G$10*(1+$D$3)^(G$9-$G$2-1))</f>
        <v>0</v>
      </c>
      <c r="H26" s="356">
        <f>IF(H$9&lt;=$G$2,0,'OPERATING COSTS'!$H$15*H$10*(1+$D$3)^(H$9-$G$2-1))</f>
        <v>45.508986686332634</v>
      </c>
      <c r="I26" s="356">
        <f>IF(I$9&lt;=$G$2,0,'OPERATING COSTS'!$H$15*I$10*(1+$D$3)^(I$9-$G$2-1))</f>
        <v>58.592820358653263</v>
      </c>
      <c r="J26" s="356">
        <f>IF(J$9&lt;=$G$2,0,'OPERATING COSTS'!$H$15*J$10*(1+$D$3)^(J$9-$G$2-1))</f>
        <v>60.350604969412856</v>
      </c>
      <c r="K26" s="356">
        <f>IF(K$9&lt;=$G$2,0,'OPERATING COSTS'!$H$15*K$10*(1+$D$3)^(K$9-$G$2-1))</f>
        <v>62.16112311849524</v>
      </c>
      <c r="L26" s="356">
        <f>IF(L$9&lt;=$G$2,0,'OPERATING COSTS'!$H$15*L$10*(1+$D$3)^(L$9-$G$2-1))</f>
        <v>64.025956812050097</v>
      </c>
      <c r="M26" s="356">
        <f>IF(M$9&lt;=$G$2,0,'OPERATING COSTS'!$H$15*M$10*(1+$D$3)^(M$9-$G$2-1))</f>
        <v>65.946735516411593</v>
      </c>
      <c r="N26" s="356">
        <f>IF(N$9&lt;=$G$2,0,'OPERATING COSTS'!$H$15*N$10*(1+$D$3)^(N$9-$G$2-1))</f>
        <v>67.92513758190394</v>
      </c>
      <c r="O26" s="356">
        <f>IF(O$9&lt;=$G$2,0,'OPERATING COSTS'!$H$15*O$10*(1+$D$3)^(O$9-$G$2-1))</f>
        <v>69.962891709361074</v>
      </c>
      <c r="P26" s="356">
        <f>IF(P$9&lt;=$G$2,0,'OPERATING COSTS'!$H$15*P$10*(1+$D$3)^(P$9-$G$2-1))</f>
        <v>72.061778460641889</v>
      </c>
      <c r="Q26" s="356">
        <f>IF(Q$9&lt;=$G$2,0,'OPERATING COSTS'!$H$15*Q$10*(1+$D$3)^(Q$9-$G$2-1))</f>
        <v>74.223631814461157</v>
      </c>
      <c r="R26" s="356">
        <f>IF(R$9&lt;=$G$2,0,'OPERATING COSTS'!$H$15*R$10*(1+$D$3)^(R$9-$G$2-1))</f>
        <v>76.450340768894989</v>
      </c>
      <c r="S26" s="356">
        <f>IF(S$9&lt;=$G$2,0,'OPERATING COSTS'!$H$15*S$10*(1+$D$3)^(S$9-$G$2-1))</f>
        <v>78.743850991961835</v>
      </c>
      <c r="T26" s="356">
        <f>IF(T$9&lt;=$G$2,0,'OPERATING COSTS'!$H$15*T$10*(1+$D$3)^(T$9-$G$2-1))</f>
        <v>81.106166521720681</v>
      </c>
      <c r="U26" s="356">
        <f>IF(U$9&lt;=$G$2,0,'OPERATING COSTS'!$H$15*U$10*(1+$D$3)^(U$9-$G$2-1))</f>
        <v>83.539351517372296</v>
      </c>
      <c r="V26" s="356">
        <f>IF(V$9&lt;=$G$2,0,'OPERATING COSTS'!$H$15*V$10*(1+$D$3)^(V$9-$G$2-1))</f>
        <v>86.045532062893471</v>
      </c>
      <c r="W26" s="356">
        <f>IF(W$9&lt;=$G$2,0,'OPERATING COSTS'!$H$15*W$10*(1+$D$3)^(W$9-$G$2-1))</f>
        <v>88.626898024780289</v>
      </c>
      <c r="X26" s="356">
        <f>IF(X$9&lt;=$G$2,0,'OPERATING COSTS'!$H$15*X$10*(1+$D$3)^(X$9-$G$2-1))</f>
        <v>91.285704965523678</v>
      </c>
      <c r="Y26" s="356">
        <f>IF(Y$9&lt;=$G$2,0,'OPERATING COSTS'!$H$15*Y$10*(1+$D$3)^(Y$9-$G$2-1))</f>
        <v>94.024276114489382</v>
      </c>
      <c r="Z26" s="356">
        <f>IF(Z$9&lt;=$G$2,0,'OPERATING COSTS'!$H$15*Z$10*(1+$D$3)^(Z$9-$G$2-1))</f>
        <v>96.845004397924072</v>
      </c>
      <c r="AA26" s="356">
        <f>IF(AA$9&lt;=$G$2,0,'OPERATING COSTS'!$H$15*AA$10*(1+$D$3)^(AA$9-$G$2-1))</f>
        <v>99.750354529861795</v>
      </c>
      <c r="AB26" s="124"/>
      <c r="AC26" s="130"/>
      <c r="AD26" s="127"/>
    </row>
    <row r="27" spans="2:30" x14ac:dyDescent="0.25">
      <c r="B27" s="139" t="s">
        <v>65</v>
      </c>
      <c r="C27" s="143" t="str">
        <f>'OPERATING COSTS'!C16</f>
        <v>Steam -HP-PVC</v>
      </c>
      <c r="D27" s="356">
        <f>IF(D$9&lt;=$G$2,0,'OPERATING COSTS'!$H$16*D$10*(1+$D$3)^(D$9-$G$2-1))</f>
        <v>0</v>
      </c>
      <c r="E27" s="356">
        <f>IF(E$9&lt;=$G$2,0,'OPERATING COSTS'!$H$16*E$10*(1+$D$3)^(E$9-$G$2-1))</f>
        <v>0</v>
      </c>
      <c r="F27" s="356">
        <f>IF(F$9&lt;=$G$2,0,'OPERATING COSTS'!$H$16*F$10*(1+$D$3)^(F$9-$G$2-1))</f>
        <v>0</v>
      </c>
      <c r="G27" s="356">
        <f>IF(G$9&lt;=$G$2,0,'OPERATING COSTS'!$H$16*G$10*(1+$D$3)^(G$9-$G$2-1))</f>
        <v>0</v>
      </c>
      <c r="H27" s="356">
        <f>IF(H$9&lt;=$G$2,0,'OPERATING COSTS'!$H$16*H$10*(1+$D$3)^(H$9-$G$2-1))</f>
        <v>105.98787761593552</v>
      </c>
      <c r="I27" s="356">
        <f>IF(I$9&lt;=$G$2,0,'OPERATING COSTS'!$H$16*I$10*(1+$D$3)^(I$9-$G$2-1))</f>
        <v>136.45939243051697</v>
      </c>
      <c r="J27" s="356">
        <f>IF(J$9&lt;=$G$2,0,'OPERATING COSTS'!$H$16*J$10*(1+$D$3)^(J$9-$G$2-1))</f>
        <v>140.55317420343246</v>
      </c>
      <c r="K27" s="356">
        <f>IF(K$9&lt;=$G$2,0,'OPERATING COSTS'!$H$16*K$10*(1+$D$3)^(K$9-$G$2-1))</f>
        <v>144.76976942953544</v>
      </c>
      <c r="L27" s="356">
        <f>IF(L$9&lt;=$G$2,0,'OPERATING COSTS'!$H$16*L$10*(1+$D$3)^(L$9-$G$2-1))</f>
        <v>149.11286251242151</v>
      </c>
      <c r="M27" s="356">
        <f>IF(M$9&lt;=$G$2,0,'OPERATING COSTS'!$H$16*M$10*(1+$D$3)^(M$9-$G$2-1))</f>
        <v>153.58624838779414</v>
      </c>
      <c r="N27" s="356">
        <f>IF(N$9&lt;=$G$2,0,'OPERATING COSTS'!$H$16*N$10*(1+$D$3)^(N$9-$G$2-1))</f>
        <v>158.19383583942798</v>
      </c>
      <c r="O27" s="356">
        <f>IF(O$9&lt;=$G$2,0,'OPERATING COSTS'!$H$16*O$10*(1+$D$3)^(O$9-$G$2-1))</f>
        <v>162.93965091461081</v>
      </c>
      <c r="P27" s="356">
        <f>IF(P$9&lt;=$G$2,0,'OPERATING COSTS'!$H$16*P$10*(1+$D$3)^(P$9-$G$2-1))</f>
        <v>167.82784044204914</v>
      </c>
      <c r="Q27" s="356">
        <f>IF(Q$9&lt;=$G$2,0,'OPERATING COSTS'!$H$16*Q$10*(1+$D$3)^(Q$9-$G$2-1))</f>
        <v>172.8626756553106</v>
      </c>
      <c r="R27" s="356">
        <f>IF(R$9&lt;=$G$2,0,'OPERATING COSTS'!$H$16*R$10*(1+$D$3)^(R$9-$G$2-1))</f>
        <v>178.04855592496992</v>
      </c>
      <c r="S27" s="356">
        <f>IF(S$9&lt;=$G$2,0,'OPERATING COSTS'!$H$16*S$10*(1+$D$3)^(S$9-$G$2-1))</f>
        <v>183.39001260271903</v>
      </c>
      <c r="T27" s="356">
        <f>IF(T$9&lt;=$G$2,0,'OPERATING COSTS'!$H$16*T$10*(1+$D$3)^(T$9-$G$2-1))</f>
        <v>188.89171298080058</v>
      </c>
      <c r="U27" s="356">
        <f>IF(U$9&lt;=$G$2,0,'OPERATING COSTS'!$H$16*U$10*(1+$D$3)^(U$9-$G$2-1))</f>
        <v>194.55846437022458</v>
      </c>
      <c r="V27" s="356">
        <f>IF(V$9&lt;=$G$2,0,'OPERATING COSTS'!$H$16*V$10*(1+$D$3)^(V$9-$G$2-1))</f>
        <v>200.39521830133134</v>
      </c>
      <c r="W27" s="356">
        <f>IF(W$9&lt;=$G$2,0,'OPERATING COSTS'!$H$16*W$10*(1+$D$3)^(W$9-$G$2-1))</f>
        <v>206.40707485037129</v>
      </c>
      <c r="X27" s="356">
        <f>IF(X$9&lt;=$G$2,0,'OPERATING COSTS'!$H$16*X$10*(1+$D$3)^(X$9-$G$2-1))</f>
        <v>212.5992870958824</v>
      </c>
      <c r="Y27" s="356">
        <f>IF(Y$9&lt;=$G$2,0,'OPERATING COSTS'!$H$16*Y$10*(1+$D$3)^(Y$9-$G$2-1))</f>
        <v>218.97726570875886</v>
      </c>
      <c r="Z27" s="356">
        <f>IF(Z$9&lt;=$G$2,0,'OPERATING COSTS'!$H$16*Z$10*(1+$D$3)^(Z$9-$G$2-1))</f>
        <v>225.54658368002163</v>
      </c>
      <c r="AA27" s="356">
        <f>IF(AA$9&lt;=$G$2,0,'OPERATING COSTS'!$H$16*AA$10*(1+$D$3)^(AA$9-$G$2-1))</f>
        <v>232.31298119042228</v>
      </c>
      <c r="AB27" s="124"/>
      <c r="AC27" s="130"/>
      <c r="AD27" s="127"/>
    </row>
    <row r="28" spans="2:30" x14ac:dyDescent="0.25">
      <c r="B28" s="139" t="s">
        <v>66</v>
      </c>
      <c r="C28" s="143" t="str">
        <f>'OPERATING COSTS'!C17</f>
        <v>Power-Utilities-Phenol</v>
      </c>
      <c r="D28" s="356">
        <f>IF(D$9&lt;=$G$2,0,'OPERATING COSTS'!$H$17*D$10*(1+$D$3)^(D$9-$G$2-1))</f>
        <v>0</v>
      </c>
      <c r="E28" s="356">
        <f>IF(E$9&lt;=$G$2,0,'OPERATING COSTS'!$H$17*E$10*(1+$D$3)^(E$9-$G$2-1))</f>
        <v>0</v>
      </c>
      <c r="F28" s="356">
        <f>IF(F$9&lt;=$G$2,0,'OPERATING COSTS'!$H$17*F$10*(1+$D$3)^(F$9-$G$2-1))</f>
        <v>0</v>
      </c>
      <c r="G28" s="356">
        <f>IF(G$9&lt;=$G$2,0,'OPERATING COSTS'!$H$17*G$10*(1+$D$3)^(G$9-$G$2-1))</f>
        <v>0</v>
      </c>
      <c r="H28" s="356">
        <f>IF(H$9&lt;=$G$2,0,'OPERATING COSTS'!$H$17*H$10*(1+$D$3)^(H$9-$G$2-1))</f>
        <v>134.4</v>
      </c>
      <c r="I28" s="356">
        <f>IF(I$9&lt;=$G$2,0,'OPERATING COSTS'!$H$17*I$10*(1+$D$3)^(I$9-$G$2-1))</f>
        <v>173.04</v>
      </c>
      <c r="J28" s="356">
        <f>IF(J$9&lt;=$G$2,0,'OPERATING COSTS'!$H$17*J$10*(1+$D$3)^(J$9-$G$2-1))</f>
        <v>178.2312</v>
      </c>
      <c r="K28" s="356">
        <f>IF(K$9&lt;=$G$2,0,'OPERATING COSTS'!$H$17*K$10*(1+$D$3)^(K$9-$G$2-1))</f>
        <v>183.578136</v>
      </c>
      <c r="L28" s="356">
        <f>IF(L$9&lt;=$G$2,0,'OPERATING COSTS'!$H$17*L$10*(1+$D$3)^(L$9-$G$2-1))</f>
        <v>189.08548008</v>
      </c>
      <c r="M28" s="356">
        <f>IF(M$9&lt;=$G$2,0,'OPERATING COSTS'!$H$17*M$10*(1+$D$3)^(M$9-$G$2-1))</f>
        <v>194.75804448239998</v>
      </c>
      <c r="N28" s="356">
        <f>IF(N$9&lt;=$G$2,0,'OPERATING COSTS'!$H$17*N$10*(1+$D$3)^(N$9-$G$2-1))</f>
        <v>200.60078581687199</v>
      </c>
      <c r="O28" s="356">
        <f>IF(O$9&lt;=$G$2,0,'OPERATING COSTS'!$H$17*O$10*(1+$D$3)^(O$9-$G$2-1))</f>
        <v>206.61880939137816</v>
      </c>
      <c r="P28" s="356">
        <f>IF(P$9&lt;=$G$2,0,'OPERATING COSTS'!$H$17*P$10*(1+$D$3)^(P$9-$G$2-1))</f>
        <v>212.81737367311948</v>
      </c>
      <c r="Q28" s="356">
        <f>IF(Q$9&lt;=$G$2,0,'OPERATING COSTS'!$H$17*Q$10*(1+$D$3)^(Q$9-$G$2-1))</f>
        <v>219.20189488331306</v>
      </c>
      <c r="R28" s="356">
        <f>IF(R$9&lt;=$G$2,0,'OPERATING COSTS'!$H$17*R$10*(1+$D$3)^(R$9-$G$2-1))</f>
        <v>225.77795172981246</v>
      </c>
      <c r="S28" s="356">
        <f>IF(S$9&lt;=$G$2,0,'OPERATING COSTS'!$H$17*S$10*(1+$D$3)^(S$9-$G$2-1))</f>
        <v>232.55129028170683</v>
      </c>
      <c r="T28" s="356">
        <f>IF(T$9&lt;=$G$2,0,'OPERATING COSTS'!$H$17*T$10*(1+$D$3)^(T$9-$G$2-1))</f>
        <v>239.52782899015801</v>
      </c>
      <c r="U28" s="356">
        <f>IF(U$9&lt;=$G$2,0,'OPERATING COSTS'!$H$17*U$10*(1+$D$3)^(U$9-$G$2-1))</f>
        <v>246.71366385986275</v>
      </c>
      <c r="V28" s="356">
        <f>IF(V$9&lt;=$G$2,0,'OPERATING COSTS'!$H$17*V$10*(1+$D$3)^(V$9-$G$2-1))</f>
        <v>254.11507377565866</v>
      </c>
      <c r="W28" s="356">
        <f>IF(W$9&lt;=$G$2,0,'OPERATING COSTS'!$H$17*W$10*(1+$D$3)^(W$9-$G$2-1))</f>
        <v>261.73852598892842</v>
      </c>
      <c r="X28" s="356">
        <f>IF(X$9&lt;=$G$2,0,'OPERATING COSTS'!$H$17*X$10*(1+$D$3)^(X$9-$G$2-1))</f>
        <v>269.59068176859626</v>
      </c>
      <c r="Y28" s="356">
        <f>IF(Y$9&lt;=$G$2,0,'OPERATING COSTS'!$H$17*Y$10*(1+$D$3)^(Y$9-$G$2-1))</f>
        <v>277.6784022216541</v>
      </c>
      <c r="Z28" s="356">
        <f>IF(Z$9&lt;=$G$2,0,'OPERATING COSTS'!$H$17*Z$10*(1+$D$3)^(Z$9-$G$2-1))</f>
        <v>286.00875428830375</v>
      </c>
      <c r="AA28" s="356">
        <f>IF(AA$9&lt;=$G$2,0,'OPERATING COSTS'!$H$17*AA$10*(1+$D$3)^(AA$9-$G$2-1))</f>
        <v>294.58901691695286</v>
      </c>
      <c r="AB28" s="124"/>
      <c r="AC28" s="125"/>
      <c r="AD28" s="127"/>
    </row>
    <row r="29" spans="2:30" x14ac:dyDescent="0.25">
      <c r="B29" s="139" t="s">
        <v>67</v>
      </c>
      <c r="C29" s="143" t="str">
        <f>'OPERATING COSTS'!C18</f>
        <v>DM Water-PVC</v>
      </c>
      <c r="D29" s="356">
        <f>IF(D$9&lt;=$G$2,0,'OPERATING COSTS'!$H$18*D$10*(1+$D$3)^(D$9-$G$2-1))</f>
        <v>0</v>
      </c>
      <c r="E29" s="356">
        <f>IF(E$9&lt;=$G$2,0,'OPERATING COSTS'!$H$18*E$10*(1+$D$3)^(E$9-$G$2-1))</f>
        <v>0</v>
      </c>
      <c r="F29" s="356">
        <f>IF(F$9&lt;=$G$2,0,'OPERATING COSTS'!$H$18*F$10*(1+$D$3)^(F$9-$G$2-1))</f>
        <v>0</v>
      </c>
      <c r="G29" s="356">
        <f>IF(G$9&lt;=$G$2,0,'OPERATING COSTS'!$H$18*G$10*(1+$D$3)^(G$9-$G$2-1))</f>
        <v>0</v>
      </c>
      <c r="H29" s="356">
        <f>IF(H$9&lt;=$G$2,0,'OPERATING COSTS'!$H$18*H$10*(1+$D$3)^(H$9-$G$2-1))</f>
        <v>3.2186653333333339</v>
      </c>
      <c r="I29" s="356">
        <f>IF(I$9&lt;=$G$2,0,'OPERATING COSTS'!$H$18*I$10*(1+$D$3)^(I$9-$G$2-1))</f>
        <v>4.144031616666668</v>
      </c>
      <c r="J29" s="356">
        <f>IF(J$9&lt;=$G$2,0,'OPERATING COSTS'!$H$18*J$10*(1+$D$3)^(J$9-$G$2-1))</f>
        <v>4.2683525651666674</v>
      </c>
      <c r="K29" s="356">
        <f>IF(K$9&lt;=$G$2,0,'OPERATING COSTS'!$H$18*K$10*(1+$D$3)^(K$9-$G$2-1))</f>
        <v>4.3964031421216676</v>
      </c>
      <c r="L29" s="356">
        <f>IF(L$9&lt;=$G$2,0,'OPERATING COSTS'!$H$18*L$10*(1+$D$3)^(L$9-$G$2-1))</f>
        <v>4.5282952363853175</v>
      </c>
      <c r="M29" s="356">
        <f>IF(M$9&lt;=$G$2,0,'OPERATING COSTS'!$H$18*M$10*(1+$D$3)^(M$9-$G$2-1))</f>
        <v>4.6641440934768763</v>
      </c>
      <c r="N29" s="356">
        <f>IF(N$9&lt;=$G$2,0,'OPERATING COSTS'!$H$18*N$10*(1+$D$3)^(N$9-$G$2-1))</f>
        <v>4.8040684162811829</v>
      </c>
      <c r="O29" s="356">
        <f>IF(O$9&lt;=$G$2,0,'OPERATING COSTS'!$H$18*O$10*(1+$D$3)^(O$9-$G$2-1))</f>
        <v>4.948190468769619</v>
      </c>
      <c r="P29" s="356">
        <f>IF(P$9&lt;=$G$2,0,'OPERATING COSTS'!$H$18*P$10*(1+$D$3)^(P$9-$G$2-1))</f>
        <v>5.0966361828327065</v>
      </c>
      <c r="Q29" s="356">
        <f>IF(Q$9&lt;=$G$2,0,'OPERATING COSTS'!$H$18*Q$10*(1+$D$3)^(Q$9-$G$2-1))</f>
        <v>5.2495352683176879</v>
      </c>
      <c r="R29" s="356">
        <f>IF(R$9&lt;=$G$2,0,'OPERATING COSTS'!$H$18*R$10*(1+$D$3)^(R$9-$G$2-1))</f>
        <v>5.4070213263672189</v>
      </c>
      <c r="S29" s="356">
        <f>IF(S$9&lt;=$G$2,0,'OPERATING COSTS'!$H$18*S$10*(1+$D$3)^(S$9-$G$2-1))</f>
        <v>5.5692319661582355</v>
      </c>
      <c r="T29" s="356">
        <f>IF(T$9&lt;=$G$2,0,'OPERATING COSTS'!$H$18*T$10*(1+$D$3)^(T$9-$G$2-1))</f>
        <v>5.736308925142982</v>
      </c>
      <c r="U29" s="356">
        <f>IF(U$9&lt;=$G$2,0,'OPERATING COSTS'!$H$18*U$10*(1+$D$3)^(U$9-$G$2-1))</f>
        <v>5.9083981928972706</v>
      </c>
      <c r="V29" s="356">
        <f>IF(V$9&lt;=$G$2,0,'OPERATING COSTS'!$H$18*V$10*(1+$D$3)^(V$9-$G$2-1))</f>
        <v>6.0856501386841897</v>
      </c>
      <c r="W29" s="356">
        <f>IF(W$9&lt;=$G$2,0,'OPERATING COSTS'!$H$18*W$10*(1+$D$3)^(W$9-$G$2-1))</f>
        <v>6.2682196428447154</v>
      </c>
      <c r="X29" s="356">
        <f>IF(X$9&lt;=$G$2,0,'OPERATING COSTS'!$H$18*X$10*(1+$D$3)^(X$9-$G$2-1))</f>
        <v>6.4562662321300559</v>
      </c>
      <c r="Y29" s="356">
        <f>IF(Y$9&lt;=$G$2,0,'OPERATING COSTS'!$H$18*Y$10*(1+$D$3)^(Y$9-$G$2-1))</f>
        <v>6.6499542190939573</v>
      </c>
      <c r="Z29" s="356">
        <f>IF(Z$9&lt;=$G$2,0,'OPERATING COSTS'!$H$18*Z$10*(1+$D$3)^(Z$9-$G$2-1))</f>
        <v>6.8494528456667769</v>
      </c>
      <c r="AA29" s="356">
        <f>IF(AA$9&lt;=$G$2,0,'OPERATING COSTS'!$H$18*AA$10*(1+$D$3)^(AA$9-$G$2-1))</f>
        <v>7.0549364310367793</v>
      </c>
      <c r="AB29" s="124"/>
      <c r="AC29" s="125"/>
      <c r="AD29" s="127"/>
    </row>
    <row r="30" spans="2:30" x14ac:dyDescent="0.25">
      <c r="B30" s="139">
        <v>2.2999999999999998</v>
      </c>
      <c r="C30" s="943" t="str">
        <f>'OPERATING COSTS'!C21</f>
        <v>CATALYSTS &amp; CHEMICALS</v>
      </c>
      <c r="D30" s="943"/>
      <c r="E30" s="943"/>
      <c r="F30" s="943"/>
      <c r="G30" s="943"/>
      <c r="H30" s="943"/>
      <c r="I30" s="943"/>
      <c r="J30" s="943"/>
      <c r="K30" s="943"/>
      <c r="L30" s="943"/>
      <c r="M30" s="943"/>
      <c r="N30" s="943"/>
      <c r="O30" s="943"/>
      <c r="P30" s="943"/>
      <c r="Q30" s="943"/>
      <c r="R30" s="943"/>
      <c r="S30" s="943"/>
      <c r="T30" s="943"/>
      <c r="U30" s="943"/>
      <c r="V30" s="943"/>
      <c r="W30" s="943"/>
      <c r="X30" s="943"/>
      <c r="Y30" s="943"/>
      <c r="Z30" s="943"/>
      <c r="AA30" s="943"/>
      <c r="AB30" s="124"/>
      <c r="AC30" s="125"/>
      <c r="AD30" s="127"/>
    </row>
    <row r="31" spans="2:30" x14ac:dyDescent="0.25">
      <c r="B31" s="139" t="s">
        <v>64</v>
      </c>
      <c r="C31" s="143" t="str">
        <f>'OPERATING COSTS'!C22</f>
        <v>CatChem PVC</v>
      </c>
      <c r="D31" s="356">
        <f>IF(D$9&lt;=$G$2,0,'OPERATING COSTS'!$H$22*D$10*(1+$D$3)^(D$9-$G$2-1))</f>
        <v>0</v>
      </c>
      <c r="E31" s="356">
        <f>IF(E$9&lt;=$G$2,0,'OPERATING COSTS'!$H$22*E$10*(1+$D$3)^(E$9-$G$2-1))</f>
        <v>0</v>
      </c>
      <c r="F31" s="356">
        <f>IF(F$9&lt;=$G$2,0,'OPERATING COSTS'!$H$22*F$10*(1+$D$3)^(F$9-$G$2-1))</f>
        <v>0</v>
      </c>
      <c r="G31" s="356">
        <f>IF(G$9&lt;=$G$2,0,'OPERATING COSTS'!$H$22*G$10*(1+$D$3)^(G$9-$G$2-1))</f>
        <v>0</v>
      </c>
      <c r="H31" s="356">
        <f>IF(H$9&lt;=$G$2,0,'OPERATING COSTS'!$H$22*H$10*(1+$D$3)^(H$9-$G$2-1))</f>
        <v>15.4</v>
      </c>
      <c r="I31" s="356">
        <f>IF(I$9&lt;=$G$2,0,'OPERATING COSTS'!$H$22*I$10*(1+$D$3)^(I$9-$G$2-1))</f>
        <v>19.827500000000001</v>
      </c>
      <c r="J31" s="356">
        <f>IF(J$9&lt;=$G$2,0,'OPERATING COSTS'!$H$22*J$10*(1+$D$3)^(J$9-$G$2-1))</f>
        <v>20.422325000000001</v>
      </c>
      <c r="K31" s="356">
        <f>IF(K$9&lt;=$G$2,0,'OPERATING COSTS'!$H$22*K$10*(1+$D$3)^(K$9-$G$2-1))</f>
        <v>21.034994749999999</v>
      </c>
      <c r="L31" s="356">
        <f>IF(L$9&lt;=$G$2,0,'OPERATING COSTS'!$H$22*L$10*(1+$D$3)^(L$9-$G$2-1))</f>
        <v>21.666044592499997</v>
      </c>
      <c r="M31" s="356">
        <f>IF(M$9&lt;=$G$2,0,'OPERATING COSTS'!$H$22*M$10*(1+$D$3)^(M$9-$G$2-1))</f>
        <v>22.316025930274996</v>
      </c>
      <c r="N31" s="356">
        <f>IF(N$9&lt;=$G$2,0,'OPERATING COSTS'!$H$22*N$10*(1+$D$3)^(N$9-$G$2-1))</f>
        <v>22.985506708183248</v>
      </c>
      <c r="O31" s="356">
        <f>IF(O$9&lt;=$G$2,0,'OPERATING COSTS'!$H$22*O$10*(1+$D$3)^(O$9-$G$2-1))</f>
        <v>23.675071909428748</v>
      </c>
      <c r="P31" s="356">
        <f>IF(P$9&lt;=$G$2,0,'OPERATING COSTS'!$H$22*P$10*(1+$D$3)^(P$9-$G$2-1))</f>
        <v>24.385324066711608</v>
      </c>
      <c r="Q31" s="356">
        <f>IF(Q$9&lt;=$G$2,0,'OPERATING COSTS'!$H$22*Q$10*(1+$D$3)^(Q$9-$G$2-1))</f>
        <v>25.116883788712954</v>
      </c>
      <c r="R31" s="356">
        <f>IF(R$9&lt;=$G$2,0,'OPERATING COSTS'!$H$22*R$10*(1+$D$3)^(R$9-$G$2-1))</f>
        <v>25.870390302374343</v>
      </c>
      <c r="S31" s="356">
        <f>IF(S$9&lt;=$G$2,0,'OPERATING COSTS'!$H$22*S$10*(1+$D$3)^(S$9-$G$2-1))</f>
        <v>26.646502011445577</v>
      </c>
      <c r="T31" s="356">
        <f>IF(T$9&lt;=$G$2,0,'OPERATING COSTS'!$H$22*T$10*(1+$D$3)^(T$9-$G$2-1))</f>
        <v>27.445897071788938</v>
      </c>
      <c r="U31" s="356">
        <f>IF(U$9&lt;=$G$2,0,'OPERATING COSTS'!$H$22*U$10*(1+$D$3)^(U$9-$G$2-1))</f>
        <v>28.269273983942604</v>
      </c>
      <c r="V31" s="356">
        <f>IF(V$9&lt;=$G$2,0,'OPERATING COSTS'!$H$22*V$10*(1+$D$3)^(V$9-$G$2-1))</f>
        <v>29.117352203460886</v>
      </c>
      <c r="W31" s="356">
        <f>IF(W$9&lt;=$G$2,0,'OPERATING COSTS'!$H$22*W$10*(1+$D$3)^(W$9-$G$2-1))</f>
        <v>29.990872769564714</v>
      </c>
      <c r="X31" s="356">
        <f>IF(X$9&lt;=$G$2,0,'OPERATING COSTS'!$H$22*X$10*(1+$D$3)^(X$9-$G$2-1))</f>
        <v>30.890598952651651</v>
      </c>
      <c r="Y31" s="356">
        <f>IF(Y$9&lt;=$G$2,0,'OPERATING COSTS'!$H$22*Y$10*(1+$D$3)^(Y$9-$G$2-1))</f>
        <v>31.8173169212312</v>
      </c>
      <c r="Z31" s="356">
        <f>IF(Z$9&lt;=$G$2,0,'OPERATING COSTS'!$H$22*Z$10*(1+$D$3)^(Z$9-$G$2-1))</f>
        <v>32.771836428868134</v>
      </c>
      <c r="AA31" s="356">
        <f>IF(AA$9&lt;=$G$2,0,'OPERATING COSTS'!$H$22*AA$10*(1+$D$3)^(AA$9-$G$2-1))</f>
        <v>33.754991521734183</v>
      </c>
      <c r="AB31" s="124"/>
      <c r="AC31" s="125"/>
      <c r="AD31" s="127"/>
    </row>
    <row r="32" spans="2:30" x14ac:dyDescent="0.25">
      <c r="B32" s="139" t="s">
        <v>65</v>
      </c>
      <c r="C32" s="143" t="str">
        <f>'OPERATING COSTS'!C23</f>
        <v>Catchem Phenol</v>
      </c>
      <c r="D32" s="356">
        <f>IF(D$9&lt;=$G$2,0,'OPERATING COSTS'!$H$23*D$10*(1+$D$3)^(D$9-$G$2-1))</f>
        <v>0</v>
      </c>
      <c r="E32" s="356">
        <f>IF(E$9&lt;=$G$2,0,'OPERATING COSTS'!$H$23*E$10*(1+$D$3)^(E$9-$G$2-1))</f>
        <v>0</v>
      </c>
      <c r="F32" s="356">
        <f>IF(F$9&lt;=$G$2,0,'OPERATING COSTS'!$H$23*F$10*(1+$D$3)^(F$9-$G$2-1))</f>
        <v>0</v>
      </c>
      <c r="G32" s="356">
        <f>IF(G$9&lt;=$G$2,0,'OPERATING COSTS'!$H$23*G$10*(1+$D$3)^(G$9-$G$2-1))</f>
        <v>0</v>
      </c>
      <c r="H32" s="356">
        <f>IF(H$9&lt;=$G$2,0,'OPERATING COSTS'!$H$23*H$10*(1+$D$3)^(H$9-$G$2-1))</f>
        <v>12</v>
      </c>
      <c r="I32" s="356">
        <f>IF(I$9&lt;=$G$2,0,'OPERATING COSTS'!$H$23*I$10*(1+$D$3)^(I$9-$G$2-1))</f>
        <v>15.450000000000001</v>
      </c>
      <c r="J32" s="356">
        <f>IF(J$9&lt;=$G$2,0,'OPERATING COSTS'!$H$23*J$10*(1+$D$3)^(J$9-$G$2-1))</f>
        <v>15.913499999999999</v>
      </c>
      <c r="K32" s="356">
        <f>IF(K$9&lt;=$G$2,0,'OPERATING COSTS'!$H$23*K$10*(1+$D$3)^(K$9-$G$2-1))</f>
        <v>16.390905</v>
      </c>
      <c r="L32" s="356">
        <f>IF(L$9&lt;=$G$2,0,'OPERATING COSTS'!$H$23*L$10*(1+$D$3)^(L$9-$G$2-1))</f>
        <v>16.882632149999999</v>
      </c>
      <c r="M32" s="356">
        <f>IF(M$9&lt;=$G$2,0,'OPERATING COSTS'!$H$23*M$10*(1+$D$3)^(M$9-$G$2-1))</f>
        <v>17.389111114499997</v>
      </c>
      <c r="N32" s="356">
        <f>IF(N$9&lt;=$G$2,0,'OPERATING COSTS'!$H$23*N$10*(1+$D$3)^(N$9-$G$2-1))</f>
        <v>17.910784447934997</v>
      </c>
      <c r="O32" s="356">
        <f>IF(O$9&lt;=$G$2,0,'OPERATING COSTS'!$H$23*O$10*(1+$D$3)^(O$9-$G$2-1))</f>
        <v>18.448107981373049</v>
      </c>
      <c r="P32" s="356">
        <f>IF(P$9&lt;=$G$2,0,'OPERATING COSTS'!$H$23*P$10*(1+$D$3)^(P$9-$G$2-1))</f>
        <v>19.001551220814239</v>
      </c>
      <c r="Q32" s="356">
        <f>IF(Q$9&lt;=$G$2,0,'OPERATING COSTS'!$H$23*Q$10*(1+$D$3)^(Q$9-$G$2-1))</f>
        <v>19.571597757438667</v>
      </c>
      <c r="R32" s="356">
        <f>IF(R$9&lt;=$G$2,0,'OPERATING COSTS'!$H$23*R$10*(1+$D$3)^(R$9-$G$2-1))</f>
        <v>20.158745690161826</v>
      </c>
      <c r="S32" s="356">
        <f>IF(S$9&lt;=$G$2,0,'OPERATING COSTS'!$H$23*S$10*(1+$D$3)^(S$9-$G$2-1))</f>
        <v>20.763508060866684</v>
      </c>
      <c r="T32" s="356">
        <f>IF(T$9&lt;=$G$2,0,'OPERATING COSTS'!$H$23*T$10*(1+$D$3)^(T$9-$G$2-1))</f>
        <v>21.386413302692681</v>
      </c>
      <c r="U32" s="356">
        <f>IF(U$9&lt;=$G$2,0,'OPERATING COSTS'!$H$23*U$10*(1+$D$3)^(U$9-$G$2-1))</f>
        <v>22.028005701773459</v>
      </c>
      <c r="V32" s="356">
        <f>IF(V$9&lt;=$G$2,0,'OPERATING COSTS'!$H$23*V$10*(1+$D$3)^(V$9-$G$2-1))</f>
        <v>22.688845872826665</v>
      </c>
      <c r="W32" s="356">
        <f>IF(W$9&lt;=$G$2,0,'OPERATING COSTS'!$H$23*W$10*(1+$D$3)^(W$9-$G$2-1))</f>
        <v>23.369511249011467</v>
      </c>
      <c r="X32" s="356">
        <f>IF(X$9&lt;=$G$2,0,'OPERATING COSTS'!$H$23*X$10*(1+$D$3)^(X$9-$G$2-1))</f>
        <v>24.070596586481805</v>
      </c>
      <c r="Y32" s="356">
        <f>IF(Y$9&lt;=$G$2,0,'OPERATING COSTS'!$H$23*Y$10*(1+$D$3)^(Y$9-$G$2-1))</f>
        <v>24.79271448407626</v>
      </c>
      <c r="Z32" s="356">
        <f>IF(Z$9&lt;=$G$2,0,'OPERATING COSTS'!$H$23*Z$10*(1+$D$3)^(Z$9-$G$2-1))</f>
        <v>25.536495918598547</v>
      </c>
      <c r="AA32" s="356">
        <f>IF(AA$9&lt;=$G$2,0,'OPERATING COSTS'!$H$23*AA$10*(1+$D$3)^(AA$9-$G$2-1))</f>
        <v>26.302590796156505</v>
      </c>
      <c r="AB32" s="124"/>
      <c r="AC32" s="125"/>
      <c r="AD32" s="127"/>
    </row>
    <row r="33" spans="2:30" x14ac:dyDescent="0.25">
      <c r="B33" s="139" t="s">
        <v>346</v>
      </c>
      <c r="C33" s="143" t="str">
        <f>'OPERATING COSTS'!C24</f>
        <v>Caustic Soda Lie-Phenol</v>
      </c>
      <c r="D33" s="356">
        <f>IF(D$9&lt;=$G$2,0,'OPERATING COSTS'!$H$24*D$10*(1+$D$3)^(D$9-$G$2-1))</f>
        <v>0</v>
      </c>
      <c r="E33" s="356">
        <f>IF(E$9&lt;=$G$2,0,'OPERATING COSTS'!$H$24*E$10*(1+$D$3)^(E$9-$G$2-1))</f>
        <v>0</v>
      </c>
      <c r="F33" s="356">
        <f>IF(F$9&lt;=$G$2,0,'OPERATING COSTS'!$H$24*F$10*(1+$D$3)^(F$9-$G$2-1))</f>
        <v>0</v>
      </c>
      <c r="G33" s="356">
        <f>IF(G$9&lt;=$G$2,0,'OPERATING COSTS'!$H$24*G$10*(1+$D$3)^(G$9-$G$2-1))</f>
        <v>0</v>
      </c>
      <c r="H33" s="356">
        <f>IF(H$9&lt;=$G$2,0,'OPERATING COSTS'!$H$24*H$10*(1+$D$3)^(H$9-$G$2-1))</f>
        <v>3.84</v>
      </c>
      <c r="I33" s="356">
        <f>IF(I$9&lt;=$G$2,0,'OPERATING COSTS'!$H$24*I$10*(1+$D$3)^(I$9-$G$2-1))</f>
        <v>4.944</v>
      </c>
      <c r="J33" s="356">
        <f>IF(J$9&lt;=$G$2,0,'OPERATING COSTS'!$H$24*J$10*(1+$D$3)^(J$9-$G$2-1))</f>
        <v>5.09232</v>
      </c>
      <c r="K33" s="356">
        <f>IF(K$9&lt;=$G$2,0,'OPERATING COSTS'!$H$24*K$10*(1+$D$3)^(K$9-$G$2-1))</f>
        <v>5.2450896</v>
      </c>
      <c r="L33" s="356">
        <f>IF(L$9&lt;=$G$2,0,'OPERATING COSTS'!$H$24*L$10*(1+$D$3)^(L$9-$G$2-1))</f>
        <v>5.4024422879999996</v>
      </c>
      <c r="M33" s="356">
        <f>IF(M$9&lt;=$G$2,0,'OPERATING COSTS'!$H$24*M$10*(1+$D$3)^(M$9-$G$2-1))</f>
        <v>5.5645155566399991</v>
      </c>
      <c r="N33" s="356">
        <f>IF(N$9&lt;=$G$2,0,'OPERATING COSTS'!$H$24*N$10*(1+$D$3)^(N$9-$G$2-1))</f>
        <v>5.7314510233391998</v>
      </c>
      <c r="O33" s="356">
        <f>IF(O$9&lt;=$G$2,0,'OPERATING COSTS'!$H$24*O$10*(1+$D$3)^(O$9-$G$2-1))</f>
        <v>5.9033945540393757</v>
      </c>
      <c r="P33" s="356">
        <f>IF(P$9&lt;=$G$2,0,'OPERATING COSTS'!$H$24*P$10*(1+$D$3)^(P$9-$G$2-1))</f>
        <v>6.0804963906605565</v>
      </c>
      <c r="Q33" s="356">
        <f>IF(Q$9&lt;=$G$2,0,'OPERATING COSTS'!$H$24*Q$10*(1+$D$3)^(Q$9-$G$2-1))</f>
        <v>6.2629112823803732</v>
      </c>
      <c r="R33" s="356">
        <f>IF(R$9&lt;=$G$2,0,'OPERATING COSTS'!$H$24*R$10*(1+$D$3)^(R$9-$G$2-1))</f>
        <v>6.450798620851784</v>
      </c>
      <c r="S33" s="356">
        <f>IF(S$9&lt;=$G$2,0,'OPERATING COSTS'!$H$24*S$10*(1+$D$3)^(S$9-$G$2-1))</f>
        <v>6.644322579477338</v>
      </c>
      <c r="T33" s="356">
        <f>IF(T$9&lt;=$G$2,0,'OPERATING COSTS'!$H$24*T$10*(1+$D$3)^(T$9-$G$2-1))</f>
        <v>6.8436522568616569</v>
      </c>
      <c r="U33" s="356">
        <f>IF(U$9&lt;=$G$2,0,'OPERATING COSTS'!$H$24*U$10*(1+$D$3)^(U$9-$G$2-1))</f>
        <v>7.048961824567507</v>
      </c>
      <c r="V33" s="356">
        <f>IF(V$9&lt;=$G$2,0,'OPERATING COSTS'!$H$24*V$10*(1+$D$3)^(V$9-$G$2-1))</f>
        <v>7.2604306793045321</v>
      </c>
      <c r="W33" s="356">
        <f>IF(W$9&lt;=$G$2,0,'OPERATING COSTS'!$H$24*W$10*(1+$D$3)^(W$9-$G$2-1))</f>
        <v>7.4782435996836689</v>
      </c>
      <c r="X33" s="356">
        <f>IF(X$9&lt;=$G$2,0,'OPERATING COSTS'!$H$24*X$10*(1+$D$3)^(X$9-$G$2-1))</f>
        <v>7.7025909076741774</v>
      </c>
      <c r="Y33" s="356">
        <f>IF(Y$9&lt;=$G$2,0,'OPERATING COSTS'!$H$24*Y$10*(1+$D$3)^(Y$9-$G$2-1))</f>
        <v>7.9336686349044028</v>
      </c>
      <c r="Z33" s="356">
        <f>IF(Z$9&lt;=$G$2,0,'OPERATING COSTS'!$H$24*Z$10*(1+$D$3)^(Z$9-$G$2-1))</f>
        <v>8.1716786939515345</v>
      </c>
      <c r="AA33" s="356">
        <f>IF(AA$9&lt;=$G$2,0,'OPERATING COSTS'!$H$24*AA$10*(1+$D$3)^(AA$9-$G$2-1))</f>
        <v>8.4168290547700817</v>
      </c>
      <c r="AB33" s="124"/>
      <c r="AC33" s="125"/>
      <c r="AD33" s="127"/>
    </row>
    <row r="34" spans="2:30" x14ac:dyDescent="0.25">
      <c r="B34" s="139">
        <v>2.4</v>
      </c>
      <c r="C34" s="943" t="s">
        <v>132</v>
      </c>
      <c r="D34" s="943"/>
      <c r="E34" s="943"/>
      <c r="F34" s="943"/>
      <c r="G34" s="943"/>
      <c r="H34" s="943"/>
      <c r="I34" s="943"/>
      <c r="J34" s="943"/>
      <c r="K34" s="943"/>
      <c r="L34" s="943"/>
      <c r="M34" s="943"/>
      <c r="N34" s="943"/>
      <c r="O34" s="943"/>
      <c r="P34" s="943"/>
      <c r="Q34" s="943"/>
      <c r="R34" s="943"/>
      <c r="S34" s="943"/>
      <c r="T34" s="943"/>
      <c r="U34" s="943"/>
      <c r="V34" s="943"/>
      <c r="W34" s="943"/>
      <c r="X34" s="943"/>
      <c r="Y34" s="943"/>
      <c r="Z34" s="943"/>
      <c r="AA34" s="943"/>
      <c r="AB34" s="124"/>
      <c r="AC34" s="125"/>
      <c r="AD34" s="127"/>
    </row>
    <row r="35" spans="2:30" x14ac:dyDescent="0.25">
      <c r="B35" s="331" t="s">
        <v>64</v>
      </c>
      <c r="C35" s="143" t="str">
        <f>'OPERATING COSTS'!C28</f>
        <v>Repairs &amp; Maintenance-PVC</v>
      </c>
      <c r="D35" s="356">
        <f>IF(D$9&lt;=$G$2,0,'OPERATING COSTS'!$H$28*D$10*(1+$D$3)^(D$9-$G$2-1))</f>
        <v>0</v>
      </c>
      <c r="E35" s="356">
        <f>IF(E$9&lt;=$G$2,0,'OPERATING COSTS'!$H$28*E$10*(1+$D$3)^(E$9-$G$2-1))</f>
        <v>0</v>
      </c>
      <c r="F35" s="356">
        <f>IF(F$9&lt;=$G$2,0,'OPERATING COSTS'!$H$28*F$10*(1+$D$3)^(F$9-$G$2-1))</f>
        <v>0</v>
      </c>
      <c r="G35" s="356">
        <f>IF(G$9&lt;=$G$2,0,'OPERATING COSTS'!$H$28*G$10*(1+$D$3)^(G$9-$G$2-1))</f>
        <v>0</v>
      </c>
      <c r="H35" s="356">
        <f>IF(H$9&lt;=$G$2,0,'OPERATING COSTS'!$H$28*H$10*(1+$D$3)^(H$9-$G$2-1))</f>
        <v>46.800000000000004</v>
      </c>
      <c r="I35" s="356">
        <f>IF(I$9&lt;=$G$2,0,'OPERATING COSTS'!$H$28*I$10*(1+$D$3)^(I$9-$G$2-1))</f>
        <v>60.255000000000003</v>
      </c>
      <c r="J35" s="356">
        <f>IF(J$9&lt;=$G$2,0,'OPERATING COSTS'!$H$28*J$10*(1+$D$3)^(J$9-$G$2-1))</f>
        <v>62.062649999999998</v>
      </c>
      <c r="K35" s="356">
        <f>IF(K$9&lt;=$G$2,0,'OPERATING COSTS'!$H$28*K$10*(1+$D$3)^(K$9-$G$2-1))</f>
        <v>63.924529499999998</v>
      </c>
      <c r="L35" s="356">
        <f>IF(L$9&lt;=$G$2,0,'OPERATING COSTS'!$H$28*L$10*(1+$D$3)^(L$9-$G$2-1))</f>
        <v>65.84226538499999</v>
      </c>
      <c r="M35" s="356">
        <f>IF(M$9&lt;=$G$2,0,'OPERATING COSTS'!$H$28*M$10*(1+$D$3)^(M$9-$G$2-1))</f>
        <v>67.817533346549993</v>
      </c>
      <c r="N35" s="356">
        <f>IF(N$9&lt;=$G$2,0,'OPERATING COSTS'!$H$28*N$10*(1+$D$3)^(N$9-$G$2-1))</f>
        <v>69.85205934694649</v>
      </c>
      <c r="O35" s="356">
        <f>IF(O$9&lt;=$G$2,0,'OPERATING COSTS'!$H$28*O$10*(1+$D$3)^(O$9-$G$2-1))</f>
        <v>71.947621127354893</v>
      </c>
      <c r="P35" s="356">
        <f>IF(P$9&lt;=$G$2,0,'OPERATING COSTS'!$H$28*P$10*(1+$D$3)^(P$9-$G$2-1))</f>
        <v>74.106049761175527</v>
      </c>
      <c r="Q35" s="356">
        <f>IF(Q$9&lt;=$G$2,0,'OPERATING COSTS'!$H$28*Q$10*(1+$D$3)^(Q$9-$G$2-1))</f>
        <v>76.329231254010807</v>
      </c>
      <c r="R35" s="356">
        <f>IF(R$9&lt;=$G$2,0,'OPERATING COSTS'!$H$28*R$10*(1+$D$3)^(R$9-$G$2-1))</f>
        <v>78.619108191631128</v>
      </c>
      <c r="S35" s="356">
        <f>IF(S$9&lt;=$G$2,0,'OPERATING COSTS'!$H$28*S$10*(1+$D$3)^(S$9-$G$2-1))</f>
        <v>80.977681437380056</v>
      </c>
      <c r="T35" s="356">
        <f>IF(T$9&lt;=$G$2,0,'OPERATING COSTS'!$H$28*T$10*(1+$D$3)^(T$9-$G$2-1))</f>
        <v>83.407011880501443</v>
      </c>
      <c r="U35" s="356">
        <f>IF(U$9&lt;=$G$2,0,'OPERATING COSTS'!$H$28*U$10*(1+$D$3)^(U$9-$G$2-1))</f>
        <v>85.909222236916492</v>
      </c>
      <c r="V35" s="356">
        <f>IF(V$9&lt;=$G$2,0,'OPERATING COSTS'!$H$28*V$10*(1+$D$3)^(V$9-$G$2-1))</f>
        <v>88.486498904023989</v>
      </c>
      <c r="W35" s="356">
        <f>IF(W$9&lt;=$G$2,0,'OPERATING COSTS'!$H$28*W$10*(1+$D$3)^(W$9-$G$2-1))</f>
        <v>91.141093871144719</v>
      </c>
      <c r="X35" s="356">
        <f>IF(X$9&lt;=$G$2,0,'OPERATING COSTS'!$H$28*X$10*(1+$D$3)^(X$9-$G$2-1))</f>
        <v>93.875326687279042</v>
      </c>
      <c r="Y35" s="356">
        <f>IF(Y$9&lt;=$G$2,0,'OPERATING COSTS'!$H$28*Y$10*(1+$D$3)^(Y$9-$G$2-1))</f>
        <v>96.691586487897411</v>
      </c>
      <c r="Z35" s="356">
        <f>IF(Z$9&lt;=$G$2,0,'OPERATING COSTS'!$H$28*Z$10*(1+$D$3)^(Z$9-$G$2-1))</f>
        <v>99.592334082534336</v>
      </c>
      <c r="AA35" s="356">
        <f>IF(AA$9&lt;=$G$2,0,'OPERATING COSTS'!$H$28*AA$10*(1+$D$3)^(AA$9-$G$2-1))</f>
        <v>102.58010410501036</v>
      </c>
      <c r="AB35" s="124"/>
      <c r="AC35" s="125"/>
      <c r="AD35" s="127"/>
    </row>
    <row r="36" spans="2:30" x14ac:dyDescent="0.25">
      <c r="B36" s="139" t="s">
        <v>65</v>
      </c>
      <c r="C36" s="143" t="str">
        <f>'OPERATING COSTS'!C29</f>
        <v>Repairs &amp; Maintenance-Phenol</v>
      </c>
      <c r="D36" s="356">
        <f>IF(D$9&lt;=$G$2,0,'OPERATING COSTS'!$H$29*D$10*(1+$D$3)^(D$9-$G$2-1))</f>
        <v>0</v>
      </c>
      <c r="E36" s="356">
        <f>IF(E$9&lt;=$G$2,0,'OPERATING COSTS'!$H$29*E$10*(1+$D$3)^(E$9-$G$2-1))</f>
        <v>0</v>
      </c>
      <c r="F36" s="356">
        <f>IF(F$9&lt;=$G$2,0,'OPERATING COSTS'!$H$29*F$10*(1+$D$3)^(F$9-$G$2-1))</f>
        <v>0</v>
      </c>
      <c r="G36" s="356">
        <f>IF(G$9&lt;=$G$2,0,'OPERATING COSTS'!$H$29*G$10*(1+$D$3)^(G$9-$G$2-1))</f>
        <v>0</v>
      </c>
      <c r="H36" s="356">
        <f>IF(H$9&lt;=$G$2,0,'OPERATING COSTS'!$H$29*H$10*(1+$D$3)^(H$9-$G$2-1))</f>
        <v>19.8</v>
      </c>
      <c r="I36" s="356">
        <f>IF(I$9&lt;=$G$2,0,'OPERATING COSTS'!$H$29*I$10*(1+$D$3)^(I$9-$G$2-1))</f>
        <v>25.4925</v>
      </c>
      <c r="J36" s="356">
        <f>IF(J$9&lt;=$G$2,0,'OPERATING COSTS'!$H$29*J$10*(1+$D$3)^(J$9-$G$2-1))</f>
        <v>26.257275</v>
      </c>
      <c r="K36" s="356">
        <f>IF(K$9&lt;=$G$2,0,'OPERATING COSTS'!$H$29*K$10*(1+$D$3)^(K$9-$G$2-1))</f>
        <v>27.044993250000001</v>
      </c>
      <c r="L36" s="356">
        <f>IF(L$9&lt;=$G$2,0,'OPERATING COSTS'!$H$29*L$10*(1+$D$3)^(L$9-$G$2-1))</f>
        <v>27.856343047499998</v>
      </c>
      <c r="M36" s="356">
        <f>IF(M$9&lt;=$G$2,0,'OPERATING COSTS'!$H$29*M$10*(1+$D$3)^(M$9-$G$2-1))</f>
        <v>28.692033338924997</v>
      </c>
      <c r="N36" s="356">
        <f>IF(N$9&lt;=$G$2,0,'OPERATING COSTS'!$H$29*N$10*(1+$D$3)^(N$9-$G$2-1))</f>
        <v>29.552794339092749</v>
      </c>
      <c r="O36" s="356">
        <f>IF(O$9&lt;=$G$2,0,'OPERATING COSTS'!$H$29*O$10*(1+$D$3)^(O$9-$G$2-1))</f>
        <v>30.439378169265531</v>
      </c>
      <c r="P36" s="356">
        <f>IF(P$9&lt;=$G$2,0,'OPERATING COSTS'!$H$29*P$10*(1+$D$3)^(P$9-$G$2-1))</f>
        <v>31.352559514343493</v>
      </c>
      <c r="Q36" s="356">
        <f>IF(Q$9&lt;=$G$2,0,'OPERATING COSTS'!$H$29*Q$10*(1+$D$3)^(Q$9-$G$2-1))</f>
        <v>32.293136299773799</v>
      </c>
      <c r="R36" s="356">
        <f>IF(R$9&lt;=$G$2,0,'OPERATING COSTS'!$H$29*R$10*(1+$D$3)^(R$9-$G$2-1))</f>
        <v>33.261930388767013</v>
      </c>
      <c r="S36" s="356">
        <f>IF(S$9&lt;=$G$2,0,'OPERATING COSTS'!$H$29*S$10*(1+$D$3)^(S$9-$G$2-1))</f>
        <v>34.259788300430024</v>
      </c>
      <c r="T36" s="356">
        <f>IF(T$9&lt;=$G$2,0,'OPERATING COSTS'!$H$29*T$10*(1+$D$3)^(T$9-$G$2-1))</f>
        <v>35.287581949442924</v>
      </c>
      <c r="U36" s="356">
        <f>IF(U$9&lt;=$G$2,0,'OPERATING COSTS'!$H$29*U$10*(1+$D$3)^(U$9-$G$2-1))</f>
        <v>36.34620940792621</v>
      </c>
      <c r="V36" s="356">
        <f>IF(V$9&lt;=$G$2,0,'OPERATING COSTS'!$H$29*V$10*(1+$D$3)^(V$9-$G$2-1))</f>
        <v>37.436595690163998</v>
      </c>
      <c r="W36" s="356">
        <f>IF(W$9&lt;=$G$2,0,'OPERATING COSTS'!$H$29*W$10*(1+$D$3)^(W$9-$G$2-1))</f>
        <v>38.559693560868922</v>
      </c>
      <c r="X36" s="356">
        <f>IF(X$9&lt;=$G$2,0,'OPERATING COSTS'!$H$29*X$10*(1+$D$3)^(X$9-$G$2-1))</f>
        <v>39.716484367694981</v>
      </c>
      <c r="Y36" s="356">
        <f>IF(Y$9&lt;=$G$2,0,'OPERATING COSTS'!$H$29*Y$10*(1+$D$3)^(Y$9-$G$2-1))</f>
        <v>40.90797889872583</v>
      </c>
      <c r="Z36" s="356">
        <f>IF(Z$9&lt;=$G$2,0,'OPERATING COSTS'!$H$29*Z$10*(1+$D$3)^(Z$9-$G$2-1))</f>
        <v>42.135218265687605</v>
      </c>
      <c r="AA36" s="356">
        <f>IF(AA$9&lt;=$G$2,0,'OPERATING COSTS'!$H$29*AA$10*(1+$D$3)^(AA$9-$G$2-1))</f>
        <v>43.399274813658231</v>
      </c>
      <c r="AB36" s="124"/>
      <c r="AC36" s="125"/>
      <c r="AD36" s="127"/>
    </row>
    <row r="37" spans="2:30" x14ac:dyDescent="0.25">
      <c r="B37" s="331" t="s">
        <v>66</v>
      </c>
      <c r="C37" s="143" t="str">
        <f>'OPERATING COSTS'!C30</f>
        <v>Repairs &amp; Maintenance-DFCU Expanded</v>
      </c>
      <c r="D37" s="356">
        <f>IF(D$9&lt;=$G$2,0,'OPERATING COSTS'!$H$30*D$10*(1+$D$3)^(D$9-$G$2-1))</f>
        <v>0</v>
      </c>
      <c r="E37" s="356">
        <f>IF(E$9&lt;=$G$2,0,'OPERATING COSTS'!$H$30*E$10*(1+$D$3)^(E$9-$G$2-1))</f>
        <v>0</v>
      </c>
      <c r="F37" s="356">
        <f>IF(F$9&lt;=$G$2,0,'OPERATING COSTS'!$H$30*F$10*(1+$D$3)^(F$9-$G$2-1))</f>
        <v>0</v>
      </c>
      <c r="G37" s="356">
        <f>IF(G$9&lt;=$G$2,0,'OPERATING COSTS'!$H$30*G$10*(1+$D$3)^(G$9-$G$2-1))</f>
        <v>0</v>
      </c>
      <c r="H37" s="356">
        <f>IF(H$9&lt;=$G$2,0,'OPERATING COSTS'!$H$30*H$10*(1+$D$3)^(H$9-$G$2-1))</f>
        <v>28.392000000000003</v>
      </c>
      <c r="I37" s="356">
        <f>IF(I$9&lt;=$G$2,0,'OPERATING COSTS'!$H$30*I$10*(1+$D$3)^(I$9-$G$2-1))</f>
        <v>36.554700000000004</v>
      </c>
      <c r="J37" s="356">
        <f>IF(J$9&lt;=$G$2,0,'OPERATING COSTS'!$H$30*J$10*(1+$D$3)^(J$9-$G$2-1))</f>
        <v>37.651341000000002</v>
      </c>
      <c r="K37" s="356">
        <f>IF(K$9&lt;=$G$2,0,'OPERATING COSTS'!$H$30*K$10*(1+$D$3)^(K$9-$G$2-1))</f>
        <v>38.780881230000006</v>
      </c>
      <c r="L37" s="356">
        <f>IF(L$9&lt;=$G$2,0,'OPERATING COSTS'!$H$30*L$10*(1+$D$3)^(L$9-$G$2-1))</f>
        <v>39.944307666900002</v>
      </c>
      <c r="M37" s="356">
        <f>IF(M$9&lt;=$G$2,0,'OPERATING COSTS'!$H$30*M$10*(1+$D$3)^(M$9-$G$2-1))</f>
        <v>41.142636896907</v>
      </c>
      <c r="N37" s="356">
        <f>IF(N$9&lt;=$G$2,0,'OPERATING COSTS'!$H$30*N$10*(1+$D$3)^(N$9-$G$2-1))</f>
        <v>42.376916003814209</v>
      </c>
      <c r="O37" s="356">
        <f>IF(O$9&lt;=$G$2,0,'OPERATING COSTS'!$H$30*O$10*(1+$D$3)^(O$9-$G$2-1))</f>
        <v>43.648223483928639</v>
      </c>
      <c r="P37" s="356">
        <f>IF(P$9&lt;=$G$2,0,'OPERATING COSTS'!$H$30*P$10*(1+$D$3)^(P$9-$G$2-1))</f>
        <v>44.957670188446492</v>
      </c>
      <c r="Q37" s="356">
        <f>IF(Q$9&lt;=$G$2,0,'OPERATING COSTS'!$H$30*Q$10*(1+$D$3)^(Q$9-$G$2-1))</f>
        <v>46.306400294099888</v>
      </c>
      <c r="R37" s="356">
        <f>IF(R$9&lt;=$G$2,0,'OPERATING COSTS'!$H$30*R$10*(1+$D$3)^(R$9-$G$2-1))</f>
        <v>47.695592302922883</v>
      </c>
      <c r="S37" s="356">
        <f>IF(S$9&lt;=$G$2,0,'OPERATING COSTS'!$H$30*S$10*(1+$D$3)^(S$9-$G$2-1))</f>
        <v>49.126460072010573</v>
      </c>
      <c r="T37" s="356">
        <f>IF(T$9&lt;=$G$2,0,'OPERATING COSTS'!$H$30*T$10*(1+$D$3)^(T$9-$G$2-1))</f>
        <v>50.600253874170882</v>
      </c>
      <c r="U37" s="356">
        <f>IF(U$9&lt;=$G$2,0,'OPERATING COSTS'!$H$30*U$10*(1+$D$3)^(U$9-$G$2-1))</f>
        <v>52.118261490396009</v>
      </c>
      <c r="V37" s="356">
        <f>IF(V$9&lt;=$G$2,0,'OPERATING COSTS'!$H$30*V$10*(1+$D$3)^(V$9-$G$2-1))</f>
        <v>53.681809335107893</v>
      </c>
      <c r="W37" s="356">
        <f>IF(W$9&lt;=$G$2,0,'OPERATING COSTS'!$H$30*W$10*(1+$D$3)^(W$9-$G$2-1))</f>
        <v>55.292263615161133</v>
      </c>
      <c r="X37" s="356">
        <f>IF(X$9&lt;=$G$2,0,'OPERATING COSTS'!$H$30*X$10*(1+$D$3)^(X$9-$G$2-1))</f>
        <v>56.95103152361596</v>
      </c>
      <c r="Y37" s="356">
        <f>IF(Y$9&lt;=$G$2,0,'OPERATING COSTS'!$H$30*Y$10*(1+$D$3)^(Y$9-$G$2-1))</f>
        <v>58.659562469324435</v>
      </c>
      <c r="Z37" s="356">
        <f>IF(Z$9&lt;=$G$2,0,'OPERATING COSTS'!$H$30*Z$10*(1+$D$3)^(Z$9-$G$2-1))</f>
        <v>60.419349343404171</v>
      </c>
      <c r="AA37" s="356">
        <f>IF(AA$9&lt;=$G$2,0,'OPERATING COSTS'!$H$30*AA$10*(1+$D$3)^(AA$9-$G$2-1))</f>
        <v>62.231929823706295</v>
      </c>
      <c r="AB37" s="124"/>
      <c r="AC37" s="125"/>
      <c r="AD37" s="127"/>
    </row>
    <row r="38" spans="2:30" x14ac:dyDescent="0.25">
      <c r="B38" s="331"/>
      <c r="C38" s="143"/>
      <c r="D38" s="141"/>
      <c r="E38" s="141"/>
      <c r="F38" s="141"/>
      <c r="G38" s="141"/>
      <c r="H38" s="144"/>
      <c r="I38" s="144"/>
      <c r="J38" s="144"/>
      <c r="K38" s="144"/>
      <c r="L38" s="144"/>
      <c r="M38" s="144"/>
      <c r="N38" s="144"/>
      <c r="O38" s="144"/>
      <c r="P38" s="144"/>
      <c r="Q38" s="144"/>
      <c r="R38" s="144"/>
      <c r="S38" s="144"/>
      <c r="T38" s="144"/>
      <c r="U38" s="144"/>
      <c r="V38" s="144"/>
      <c r="W38" s="144"/>
      <c r="X38" s="144"/>
      <c r="Y38" s="144"/>
      <c r="Z38" s="144"/>
      <c r="AA38" s="144"/>
      <c r="AB38" s="124"/>
      <c r="AC38" s="125"/>
      <c r="AD38" s="127"/>
    </row>
    <row r="39" spans="2:30" x14ac:dyDescent="0.25">
      <c r="B39" s="139">
        <v>2.4</v>
      </c>
      <c r="C39" s="943" t="s">
        <v>172</v>
      </c>
      <c r="D39" s="943"/>
      <c r="E39" s="943"/>
      <c r="F39" s="943"/>
      <c r="G39" s="943"/>
      <c r="H39" s="943"/>
      <c r="I39" s="943"/>
      <c r="J39" s="943"/>
      <c r="K39" s="943"/>
      <c r="L39" s="943"/>
      <c r="M39" s="943"/>
      <c r="N39" s="943"/>
      <c r="O39" s="943"/>
      <c r="P39" s="943"/>
      <c r="Q39" s="943"/>
      <c r="R39" s="943"/>
      <c r="S39" s="943"/>
      <c r="T39" s="943"/>
      <c r="U39" s="943"/>
      <c r="V39" s="943"/>
      <c r="W39" s="943"/>
      <c r="X39" s="943"/>
      <c r="Y39" s="943"/>
      <c r="Z39" s="943"/>
      <c r="AA39" s="943"/>
      <c r="AB39" s="124"/>
      <c r="AC39" s="125"/>
      <c r="AD39" s="127"/>
    </row>
    <row r="40" spans="2:30" x14ac:dyDescent="0.25">
      <c r="B40" s="331"/>
      <c r="C40" s="143"/>
      <c r="D40" s="356"/>
      <c r="E40" s="356"/>
      <c r="F40" s="356"/>
      <c r="G40" s="356"/>
      <c r="H40" s="356">
        <f>H66*2250/10000000</f>
        <v>121.14</v>
      </c>
      <c r="I40" s="356">
        <f t="shared" ref="I40:AA40" si="2">(1+$G$3)^I9*I66*2250/10000000</f>
        <v>180.80936900190383</v>
      </c>
      <c r="J40" s="356">
        <f t="shared" si="2"/>
        <v>186.23365007196094</v>
      </c>
      <c r="K40" s="356">
        <f t="shared" si="2"/>
        <v>191.82065957411976</v>
      </c>
      <c r="L40" s="356">
        <f t="shared" si="2"/>
        <v>197.57527936134335</v>
      </c>
      <c r="M40" s="356">
        <f t="shared" si="2"/>
        <v>203.50253774218365</v>
      </c>
      <c r="N40" s="356">
        <f t="shared" si="2"/>
        <v>209.60761387444916</v>
      </c>
      <c r="O40" s="356">
        <f t="shared" si="2"/>
        <v>215.89584229068259</v>
      </c>
      <c r="P40" s="356">
        <f t="shared" si="2"/>
        <v>222.37271755940304</v>
      </c>
      <c r="Q40" s="356">
        <f t="shared" si="2"/>
        <v>229.04389908618518</v>
      </c>
      <c r="R40" s="356">
        <f t="shared" si="2"/>
        <v>235.91521605877074</v>
      </c>
      <c r="S40" s="356">
        <f t="shared" si="2"/>
        <v>242.99267254053382</v>
      </c>
      <c r="T40" s="356">
        <f t="shared" si="2"/>
        <v>250.28245271674987</v>
      </c>
      <c r="U40" s="356">
        <f t="shared" si="2"/>
        <v>257.79092629825232</v>
      </c>
      <c r="V40" s="356">
        <f t="shared" si="2"/>
        <v>265.52465408719991</v>
      </c>
      <c r="W40" s="356">
        <f t="shared" si="2"/>
        <v>273.49039370981592</v>
      </c>
      <c r="X40" s="356">
        <f t="shared" si="2"/>
        <v>281.69510552111035</v>
      </c>
      <c r="Y40" s="356">
        <f t="shared" si="2"/>
        <v>290.14595868674371</v>
      </c>
      <c r="Z40" s="356">
        <f t="shared" si="2"/>
        <v>298.85033744734596</v>
      </c>
      <c r="AA40" s="356">
        <f t="shared" si="2"/>
        <v>307.81584757076638</v>
      </c>
      <c r="AB40" s="124"/>
      <c r="AC40" s="125"/>
      <c r="AD40" s="127"/>
    </row>
    <row r="41" spans="2:30" s="2" customFormat="1" x14ac:dyDescent="0.25">
      <c r="B41" s="145"/>
      <c r="C41" s="146" t="s">
        <v>69</v>
      </c>
      <c r="D41" s="147">
        <f t="shared" ref="D41:AA41" si="3">SUM(D12:D40)</f>
        <v>395.8</v>
      </c>
      <c r="E41" s="147">
        <f t="shared" si="3"/>
        <v>1979</v>
      </c>
      <c r="F41" s="147">
        <f t="shared" si="3"/>
        <v>2770.6</v>
      </c>
      <c r="G41" s="147">
        <f>SUM(G12:G40)</f>
        <v>3420.6</v>
      </c>
      <c r="H41" s="147">
        <f t="shared" si="3"/>
        <v>2254.3065056141154</v>
      </c>
      <c r="I41" s="147">
        <f t="shared" si="3"/>
        <v>2927.2612449800768</v>
      </c>
      <c r="J41" s="147">
        <f t="shared" si="3"/>
        <v>3015.0790823294801</v>
      </c>
      <c r="K41" s="147">
        <f t="shared" si="3"/>
        <v>3105.5314547993639</v>
      </c>
      <c r="L41" s="147">
        <f t="shared" si="3"/>
        <v>3198.6973984433448</v>
      </c>
      <c r="M41" s="147">
        <f t="shared" si="3"/>
        <v>3294.6583203966434</v>
      </c>
      <c r="N41" s="147">
        <f t="shared" si="3"/>
        <v>3393.4980700085439</v>
      </c>
      <c r="O41" s="147">
        <f t="shared" si="3"/>
        <v>3495.3030121088013</v>
      </c>
      <c r="P41" s="147">
        <f t="shared" si="3"/>
        <v>3600.1621024720657</v>
      </c>
      <c r="Q41" s="147">
        <f t="shared" si="3"/>
        <v>3708.1669655462265</v>
      </c>
      <c r="R41" s="147">
        <f t="shared" si="3"/>
        <v>3819.4119745126136</v>
      </c>
      <c r="S41" s="147">
        <f t="shared" si="3"/>
        <v>3933.9943337479926</v>
      </c>
      <c r="T41" s="147">
        <f t="shared" si="3"/>
        <v>4052.0141637604315</v>
      </c>
      <c r="U41" s="147">
        <f t="shared" si="3"/>
        <v>4173.5745886732439</v>
      </c>
      <c r="V41" s="147">
        <f t="shared" si="3"/>
        <v>4298.7818263334411</v>
      </c>
      <c r="W41" s="147">
        <f t="shared" si="3"/>
        <v>4427.7452811234452</v>
      </c>
      <c r="X41" s="147">
        <f t="shared" si="3"/>
        <v>4560.5776395571465</v>
      </c>
      <c r="Y41" s="147">
        <f t="shared" si="3"/>
        <v>4697.3949687438626</v>
      </c>
      <c r="Z41" s="147">
        <f t="shared" si="3"/>
        <v>4838.3168178061778</v>
      </c>
      <c r="AA41" s="147">
        <f t="shared" si="3"/>
        <v>4983.4663223403613</v>
      </c>
      <c r="AB41" s="135"/>
      <c r="AC41" s="136"/>
      <c r="AD41" s="137"/>
    </row>
    <row r="42" spans="2:30" x14ac:dyDescent="0.25">
      <c r="B42" s="138" t="s">
        <v>70</v>
      </c>
      <c r="C42" s="148" t="s">
        <v>71</v>
      </c>
      <c r="D42" s="141"/>
      <c r="E42" s="141"/>
      <c r="F42" s="141"/>
      <c r="G42" s="141"/>
      <c r="H42" s="141"/>
      <c r="I42" s="141"/>
      <c r="J42" s="141"/>
      <c r="K42" s="141"/>
      <c r="L42" s="141"/>
      <c r="M42" s="141"/>
      <c r="N42" s="141"/>
      <c r="O42" s="141"/>
      <c r="P42" s="141"/>
      <c r="Q42" s="141"/>
      <c r="R42" s="141"/>
      <c r="S42" s="141"/>
      <c r="T42" s="141"/>
      <c r="U42" s="141"/>
      <c r="V42" s="141"/>
      <c r="W42" s="141"/>
      <c r="X42" s="141"/>
      <c r="Y42" s="141"/>
      <c r="Z42" s="141"/>
      <c r="AA42" s="141"/>
      <c r="AB42" s="124"/>
      <c r="AC42" s="125"/>
      <c r="AD42" s="127"/>
    </row>
    <row r="43" spans="2:30" x14ac:dyDescent="0.25">
      <c r="B43" s="139">
        <v>3</v>
      </c>
      <c r="C43" s="149" t="s">
        <v>72</v>
      </c>
      <c r="D43" s="141"/>
      <c r="E43" s="141"/>
      <c r="F43" s="141"/>
      <c r="G43" s="141"/>
      <c r="H43" s="141"/>
      <c r="I43" s="141"/>
      <c r="J43" s="141"/>
      <c r="K43" s="141"/>
      <c r="L43" s="141"/>
      <c r="M43" s="141"/>
      <c r="N43" s="141"/>
      <c r="O43" s="141"/>
      <c r="P43" s="141"/>
      <c r="Q43" s="141"/>
      <c r="R43" s="141"/>
      <c r="S43" s="141"/>
      <c r="T43" s="141"/>
      <c r="U43" s="141"/>
      <c r="V43" s="141"/>
      <c r="W43" s="141"/>
      <c r="X43" s="141"/>
      <c r="Y43" s="141"/>
      <c r="Z43" s="141"/>
      <c r="AA43" s="141"/>
      <c r="AB43" s="124"/>
      <c r="AC43" s="125"/>
      <c r="AD43" s="127"/>
    </row>
    <row r="44" spans="2:30" x14ac:dyDescent="0.25">
      <c r="B44" s="139">
        <v>3.1</v>
      </c>
      <c r="C44" s="149" t="s">
        <v>105</v>
      </c>
      <c r="D44" s="356">
        <f>IF(D$9&lt;=$G$2,0,SALES!$I$7*D$10*(1+$D$3)^(D$9-$G$2-1))</f>
        <v>0</v>
      </c>
      <c r="E44" s="356">
        <f>IF(E$9&lt;=$G$2,0,SALES!$I$7*E$10*(1+$D$3)^(E$9-$G$2-1))</f>
        <v>0</v>
      </c>
      <c r="F44" s="356">
        <f>IF(F$9&lt;=$G$2,0,SALES!$I$7*F$10*(1+$D$3)^(F$9-$G$2-1))</f>
        <v>0</v>
      </c>
      <c r="G44" s="356">
        <f>IF(G$9&lt;=$G$2,0,SALES!$I$7*G$10*(1+$D$3)^(G$9-$G$2-1))</f>
        <v>0</v>
      </c>
      <c r="H44" s="356">
        <f>IF(H$9&lt;=$G$2,0,SALES!$I$7*H$10*(1+$D$3)^(H$9-$G$2-1))</f>
        <v>2382.3310105777778</v>
      </c>
      <c r="I44" s="356">
        <f>IF(I$9&lt;=$G$2,0,SALES!$I$7*I$10*(1+$D$3)^(I$9-$G$2-1))</f>
        <v>3067.2511761188889</v>
      </c>
      <c r="J44" s="356">
        <f>IF(J$9&lt;=$G$2,0,SALES!$I$7*J$10*(1+$D$3)^(J$9-$G$2-1))</f>
        <v>3159.2687114024557</v>
      </c>
      <c r="K44" s="356">
        <f>IF(K$9&lt;=$G$2,0,SALES!$I$7*K$10*(1+$D$3)^(K$9-$G$2-1))</f>
        <v>3254.0467727445293</v>
      </c>
      <c r="L44" s="356">
        <f>IF(L$9&lt;=$G$2,0,SALES!$I$7*L$10*(1+$D$3)^(L$9-$G$2-1))</f>
        <v>3351.6681759268649</v>
      </c>
      <c r="M44" s="356">
        <f>IF(M$9&lt;=$G$2,0,SALES!$I$7*M$10*(1+$D$3)^(M$9-$G$2-1))</f>
        <v>3452.2182212046705</v>
      </c>
      <c r="N44" s="356">
        <f>IF(N$9&lt;=$G$2,0,SALES!$I$7*N$10*(1+$D$3)^(N$9-$G$2-1))</f>
        <v>3555.7847678408111</v>
      </c>
      <c r="O44" s="356">
        <f>IF(O$9&lt;=$G$2,0,SALES!$I$7*O$10*(1+$D$3)^(O$9-$G$2-1))</f>
        <v>3662.4583108760357</v>
      </c>
      <c r="P44" s="356">
        <f>IF(P$9&lt;=$G$2,0,SALES!$I$7*P$10*(1+$D$3)^(P$9-$G$2-1))</f>
        <v>3772.3320602023164</v>
      </c>
      <c r="Q44" s="356">
        <f>IF(Q$9&lt;=$G$2,0,SALES!$I$7*Q$10*(1+$D$3)^(Q$9-$G$2-1))</f>
        <v>3885.5020220083857</v>
      </c>
      <c r="R44" s="356">
        <f>IF(R$9&lt;=$G$2,0,SALES!$I$7*R$10*(1+$D$3)^(R$9-$G$2-1))</f>
        <v>4002.0670826686373</v>
      </c>
      <c r="S44" s="356">
        <f>IF(S$9&lt;=$G$2,0,SALES!$I$7*S$10*(1+$D$3)^(S$9-$G$2-1))</f>
        <v>4122.1290951486963</v>
      </c>
      <c r="T44" s="356">
        <f>IF(T$9&lt;=$G$2,0,SALES!$I$7*T$10*(1+$D$3)^(T$9-$G$2-1))</f>
        <v>4245.7929680031566</v>
      </c>
      <c r="U44" s="356">
        <f>IF(U$9&lt;=$G$2,0,SALES!$I$7*U$10*(1+$D$3)^(U$9-$G$2-1))</f>
        <v>4373.166757043251</v>
      </c>
      <c r="V44" s="356">
        <f>IF(V$9&lt;=$G$2,0,SALES!$I$7*V$10*(1+$D$3)^(V$9-$G$2-1))</f>
        <v>4504.361759754549</v>
      </c>
      <c r="W44" s="356">
        <f>IF(W$9&lt;=$G$2,0,SALES!$I$7*W$10*(1+$D$3)^(W$9-$G$2-1))</f>
        <v>4639.4926125471866</v>
      </c>
      <c r="X44" s="356">
        <f>IF(X$9&lt;=$G$2,0,SALES!$I$7*X$10*(1+$D$3)^(X$9-$G$2-1))</f>
        <v>4778.6773909236008</v>
      </c>
      <c r="Y44" s="356">
        <f>IF(Y$9&lt;=$G$2,0,SALES!$I$7*Y$10*(1+$D$3)^(Y$9-$G$2-1))</f>
        <v>4922.0377126513085</v>
      </c>
      <c r="Z44" s="356">
        <f>IF(Z$9&lt;=$G$2,0,SALES!$I$7*Z$10*(1+$D$3)^(Z$9-$G$2-1))</f>
        <v>5069.6988440308487</v>
      </c>
      <c r="AA44" s="356">
        <f>IF(AA$9&lt;=$G$2,0,SALES!$I$7*AA$10*(1+$D$3)^(AA$9-$G$2-1))</f>
        <v>5221.7898093517733</v>
      </c>
      <c r="AB44" s="124"/>
      <c r="AC44" s="125"/>
      <c r="AD44" s="127"/>
    </row>
    <row r="45" spans="2:30" x14ac:dyDescent="0.25">
      <c r="B45" s="139">
        <v>3.2</v>
      </c>
      <c r="C45" s="143" t="str">
        <f>SALES!D8</f>
        <v>PHENOL</v>
      </c>
      <c r="D45" s="356">
        <f>IF(D$9&lt;=$G$2,0,SALES!$I$8*D$10*(1+$D$3)^(D$9-$G$2-1))</f>
        <v>0</v>
      </c>
      <c r="E45" s="356">
        <f>IF(E$9&lt;=$G$2,0,SALES!$I$8*E$10*(1+$D$3)^(E$9-$G$2-1))</f>
        <v>0</v>
      </c>
      <c r="F45" s="356">
        <f>IF(F$9&lt;=$G$2,0,SALES!$I$8*F$10*(1+$D$3)^(F$9-$G$2-1))</f>
        <v>0</v>
      </c>
      <c r="G45" s="356">
        <f>IF(G$9&lt;=$G$2,0,SALES!$I$8*G$10*(1+$D$3)^(G$9-$G$2-1))</f>
        <v>0</v>
      </c>
      <c r="H45" s="356">
        <f>IF(H$9&lt;=$G$2,0,SALES!$I$8*H$10*(1+$D$3)^(H$9-$G$2-1))</f>
        <v>1447.0044444444447</v>
      </c>
      <c r="I45" s="356">
        <f>IF(I$9&lt;=$G$2,0,SALES!$I$8*I$10*(1+$D$3)^(I$9-$G$2-1))</f>
        <v>1863.0182222222224</v>
      </c>
      <c r="J45" s="356">
        <f>IF(J$9&lt;=$G$2,0,SALES!$I$8*J$10*(1+$D$3)^(J$9-$G$2-1))</f>
        <v>1918.908768888889</v>
      </c>
      <c r="K45" s="356">
        <f>IF(K$9&lt;=$G$2,0,SALES!$I$8*K$10*(1+$D$3)^(K$9-$G$2-1))</f>
        <v>1976.4760319555558</v>
      </c>
      <c r="L45" s="356">
        <f>IF(L$9&lt;=$G$2,0,SALES!$I$8*L$10*(1+$D$3)^(L$9-$G$2-1))</f>
        <v>2035.7703129142221</v>
      </c>
      <c r="M45" s="356">
        <f>IF(M$9&lt;=$G$2,0,SALES!$I$8*M$10*(1+$D$3)^(M$9-$G$2-1))</f>
        <v>2096.8434223016488</v>
      </c>
      <c r="N45" s="356">
        <f>IF(N$9&lt;=$G$2,0,SALES!$I$8*N$10*(1+$D$3)^(N$9-$G$2-1))</f>
        <v>2159.7487249706983</v>
      </c>
      <c r="O45" s="356">
        <f>IF(O$9&lt;=$G$2,0,SALES!$I$8*O$10*(1+$D$3)^(O$9-$G$2-1))</f>
        <v>2224.5411867198195</v>
      </c>
      <c r="P45" s="356">
        <f>IF(P$9&lt;=$G$2,0,SALES!$I$8*P$10*(1+$D$3)^(P$9-$G$2-1))</f>
        <v>2291.2774223214137</v>
      </c>
      <c r="Q45" s="356">
        <f>IF(Q$9&lt;=$G$2,0,SALES!$I$8*Q$10*(1+$D$3)^(Q$9-$G$2-1))</f>
        <v>2360.0157449910562</v>
      </c>
      <c r="R45" s="356">
        <f>IF(R$9&lt;=$G$2,0,SALES!$I$8*R$10*(1+$D$3)^(R$9-$G$2-1))</f>
        <v>2430.8162173407877</v>
      </c>
      <c r="S45" s="356">
        <f>IF(S$9&lt;=$G$2,0,SALES!$I$8*S$10*(1+$D$3)^(S$9-$G$2-1))</f>
        <v>2503.7407038610118</v>
      </c>
      <c r="T45" s="356">
        <f>IF(T$9&lt;=$G$2,0,SALES!$I$8*T$10*(1+$D$3)^(T$9-$G$2-1))</f>
        <v>2578.8529249768417</v>
      </c>
      <c r="U45" s="356">
        <f>IF(U$9&lt;=$G$2,0,SALES!$I$8*U$10*(1+$D$3)^(U$9-$G$2-1))</f>
        <v>2656.2185127261469</v>
      </c>
      <c r="V45" s="356">
        <f>IF(V$9&lt;=$G$2,0,SALES!$I$8*V$10*(1+$D$3)^(V$9-$G$2-1))</f>
        <v>2735.9050681079316</v>
      </c>
      <c r="W45" s="356">
        <f>IF(W$9&lt;=$G$2,0,SALES!$I$8*W$10*(1+$D$3)^(W$9-$G$2-1))</f>
        <v>2817.9822201511697</v>
      </c>
      <c r="X45" s="356">
        <f>IF(X$9&lt;=$G$2,0,SALES!$I$8*X$10*(1+$D$3)^(X$9-$G$2-1))</f>
        <v>2902.5216867557042</v>
      </c>
      <c r="Y45" s="356">
        <f>IF(Y$9&lt;=$G$2,0,SALES!$I$8*Y$10*(1+$D$3)^(Y$9-$G$2-1))</f>
        <v>2989.5973373583752</v>
      </c>
      <c r="Z45" s="356">
        <f>IF(Z$9&lt;=$G$2,0,SALES!$I$8*Z$10*(1+$D$3)^(Z$9-$G$2-1))</f>
        <v>3079.2852574791264</v>
      </c>
      <c r="AA45" s="356">
        <f>IF(AA$9&lt;=$G$2,0,SALES!$I$8*AA$10*(1+$D$3)^(AA$9-$G$2-1))</f>
        <v>3171.6638152035002</v>
      </c>
      <c r="AB45" s="124"/>
      <c r="AC45" s="125"/>
      <c r="AD45" s="127"/>
    </row>
    <row r="46" spans="2:30" x14ac:dyDescent="0.25">
      <c r="B46" s="139">
        <v>3.3</v>
      </c>
      <c r="C46" s="143" t="str">
        <f>SALES!D9</f>
        <v>ACETONE</v>
      </c>
      <c r="D46" s="356">
        <f>IF(D$9&lt;=$G$2,0,SALES!$I$9*D$10*(1+$D$3)^(D$9-$G$2-1))</f>
        <v>0</v>
      </c>
      <c r="E46" s="356">
        <f>IF(E$9&lt;=$G$2,0,SALES!$I$9*E$10*(1+$D$3)^(E$9-$G$2-1))</f>
        <v>0</v>
      </c>
      <c r="F46" s="356">
        <f>IF(F$9&lt;=$G$2,0,SALES!$I$9*F$10*(1+$D$3)^(F$9-$G$2-1))</f>
        <v>0</v>
      </c>
      <c r="G46" s="356">
        <f>IF(G$9&lt;=$G$2,0,SALES!$I$9*G$10*(1+$D$3)^(G$9-$G$2-1))</f>
        <v>0</v>
      </c>
      <c r="H46" s="356">
        <f>IF(H$9&lt;=$G$2,0,SALES!$I$9*H$10*(1+$D$3)^(H$9-$G$2-1))</f>
        <v>655.96282666666684</v>
      </c>
      <c r="I46" s="356">
        <f>IF(I$9&lt;=$G$2,0,SALES!$I$9*I$10*(1+$D$3)^(I$9-$G$2-1))</f>
        <v>844.55213933333346</v>
      </c>
      <c r="J46" s="356">
        <f>IF(J$9&lt;=$G$2,0,SALES!$I$9*J$10*(1+$D$3)^(J$9-$G$2-1))</f>
        <v>869.88870351333344</v>
      </c>
      <c r="K46" s="356">
        <f>IF(K$9&lt;=$G$2,0,SALES!$I$9*K$10*(1+$D$3)^(K$9-$G$2-1))</f>
        <v>895.98536461873346</v>
      </c>
      <c r="L46" s="356">
        <f>IF(L$9&lt;=$G$2,0,SALES!$I$9*L$10*(1+$D$3)^(L$9-$G$2-1))</f>
        <v>922.86492555729535</v>
      </c>
      <c r="M46" s="356">
        <f>IF(M$9&lt;=$G$2,0,SALES!$I$9*M$10*(1+$D$3)^(M$9-$G$2-1))</f>
        <v>950.55087332401422</v>
      </c>
      <c r="N46" s="356">
        <f>IF(N$9&lt;=$G$2,0,SALES!$I$9*N$10*(1+$D$3)^(N$9-$G$2-1))</f>
        <v>979.06739952373471</v>
      </c>
      <c r="O46" s="356">
        <f>IF(O$9&lt;=$G$2,0,SALES!$I$9*O$10*(1+$D$3)^(O$9-$G$2-1))</f>
        <v>1008.4394215094468</v>
      </c>
      <c r="P46" s="356">
        <f>IF(P$9&lt;=$G$2,0,SALES!$I$9*P$10*(1+$D$3)^(P$9-$G$2-1))</f>
        <v>1038.6926041547301</v>
      </c>
      <c r="Q46" s="356">
        <f>IF(Q$9&lt;=$G$2,0,SALES!$I$9*Q$10*(1+$D$3)^(Q$9-$G$2-1))</f>
        <v>1069.853382279372</v>
      </c>
      <c r="R46" s="356">
        <f>IF(R$9&lt;=$G$2,0,SALES!$I$9*R$10*(1+$D$3)^(R$9-$G$2-1))</f>
        <v>1101.9489837477531</v>
      </c>
      <c r="S46" s="356">
        <f>IF(S$9&lt;=$G$2,0,SALES!$I$9*S$10*(1+$D$3)^(S$9-$G$2-1))</f>
        <v>1135.0074532601857</v>
      </c>
      <c r="T46" s="356">
        <f>IF(T$9&lt;=$G$2,0,SALES!$I$9*T$10*(1+$D$3)^(T$9-$G$2-1))</f>
        <v>1169.0576768579913</v>
      </c>
      <c r="U46" s="356">
        <f>IF(U$9&lt;=$G$2,0,SALES!$I$9*U$10*(1+$D$3)^(U$9-$G$2-1))</f>
        <v>1204.1294071637308</v>
      </c>
      <c r="V46" s="356">
        <f>IF(V$9&lt;=$G$2,0,SALES!$I$9*V$10*(1+$D$3)^(V$9-$G$2-1))</f>
        <v>1240.2532893786429</v>
      </c>
      <c r="W46" s="356">
        <f>IF(W$9&lt;=$G$2,0,SALES!$I$9*W$10*(1+$D$3)^(W$9-$G$2-1))</f>
        <v>1277.4608880600024</v>
      </c>
      <c r="X46" s="356">
        <f>IF(X$9&lt;=$G$2,0,SALES!$I$9*X$10*(1+$D$3)^(X$9-$G$2-1))</f>
        <v>1315.7847147018022</v>
      </c>
      <c r="Y46" s="356">
        <f>IF(Y$9&lt;=$G$2,0,SALES!$I$9*Y$10*(1+$D$3)^(Y$9-$G$2-1))</f>
        <v>1355.2582561428562</v>
      </c>
      <c r="Z46" s="356">
        <f>IF(Z$9&lt;=$G$2,0,SALES!$I$9*Z$10*(1+$D$3)^(Z$9-$G$2-1))</f>
        <v>1395.9160038271418</v>
      </c>
      <c r="AA46" s="356">
        <f>IF(AA$9&lt;=$G$2,0,SALES!$I$9*AA$10*(1+$D$3)^(AA$9-$G$2-1))</f>
        <v>1437.7934839419561</v>
      </c>
      <c r="AB46" s="124"/>
      <c r="AC46" s="125"/>
      <c r="AD46" s="127"/>
    </row>
    <row r="47" spans="2:30" x14ac:dyDescent="0.25">
      <c r="B47" s="139">
        <v>3.4</v>
      </c>
      <c r="C47" s="143" t="str">
        <f>SALES!D10</f>
        <v>Butadiene</v>
      </c>
      <c r="D47" s="356">
        <f>IF(D$9&lt;=$G$2,0,SALES!$I$10*D$10*(1+$D$3)^(D$9-$G$2-1))</f>
        <v>0</v>
      </c>
      <c r="E47" s="356">
        <f>IF(E$9&lt;=$G$2,0,SALES!$I$10*E$10*(1+$D$3)^(E$9-$G$2-1))</f>
        <v>0</v>
      </c>
      <c r="F47" s="356">
        <f>IF(F$9&lt;=$G$2,0,SALES!$I$10*F$10*(1+$D$3)^(F$9-$G$2-1))</f>
        <v>0</v>
      </c>
      <c r="G47" s="356">
        <f>IF(G$9&lt;=$G$2,0,SALES!$I$10*G$10*(1+$D$3)^(G$9-$G$2-1))</f>
        <v>0</v>
      </c>
      <c r="H47" s="356">
        <f>IF(H$9&lt;=$G$2,0,SALES!$I$10*H$10*(1+$D$3)^(H$9-$G$2-1))</f>
        <v>-1.5416716138205331</v>
      </c>
      <c r="I47" s="356">
        <f>IF(I$9&lt;=$G$2,0,SALES!$I$10*I$10*(1+$D$3)^(I$9-$G$2-1))</f>
        <v>-1.9849022027939363</v>
      </c>
      <c r="J47" s="356">
        <f>IF(J$9&lt;=$G$2,0,SALES!$I$10*J$10*(1+$D$3)^(J$9-$G$2-1))</f>
        <v>-2.044449268877754</v>
      </c>
      <c r="K47" s="356">
        <f>IF(K$9&lt;=$G$2,0,SALES!$I$10*K$10*(1+$D$3)^(K$9-$G$2-1))</f>
        <v>-2.1057827469440866</v>
      </c>
      <c r="L47" s="356">
        <f>IF(L$9&lt;=$G$2,0,SALES!$I$10*L$10*(1+$D$3)^(L$9-$G$2-1))</f>
        <v>-2.1689562293524092</v>
      </c>
      <c r="M47" s="356">
        <f>IF(M$9&lt;=$G$2,0,SALES!$I$10*M$10*(1+$D$3)^(M$9-$G$2-1))</f>
        <v>-2.2340249162329813</v>
      </c>
      <c r="N47" s="356">
        <f>IF(N$9&lt;=$G$2,0,SALES!$I$10*N$10*(1+$D$3)^(N$9-$G$2-1))</f>
        <v>-2.3010456637199712</v>
      </c>
      <c r="O47" s="356">
        <f>IF(O$9&lt;=$G$2,0,SALES!$I$10*O$10*(1+$D$3)^(O$9-$G$2-1))</f>
        <v>-2.3700770336315702</v>
      </c>
      <c r="P47" s="356">
        <f>IF(P$9&lt;=$G$2,0,SALES!$I$10*P$10*(1+$D$3)^(P$9-$G$2-1))</f>
        <v>-2.441179344640517</v>
      </c>
      <c r="Q47" s="356">
        <f>IF(Q$9&lt;=$G$2,0,SALES!$I$10*Q$10*(1+$D$3)^(Q$9-$G$2-1))</f>
        <v>-2.5144147249797326</v>
      </c>
      <c r="R47" s="356">
        <f>IF(R$9&lt;=$G$2,0,SALES!$I$10*R$10*(1+$D$3)^(R$9-$G$2-1))</f>
        <v>-2.5898471667291245</v>
      </c>
      <c r="S47" s="356">
        <f>IF(S$9&lt;=$G$2,0,SALES!$I$10*S$10*(1+$D$3)^(S$9-$G$2-1))</f>
        <v>-2.6675425817309986</v>
      </c>
      <c r="T47" s="356">
        <f>IF(T$9&lt;=$G$2,0,SALES!$I$10*T$10*(1+$D$3)^(T$9-$G$2-1))</f>
        <v>-2.7475688591829281</v>
      </c>
      <c r="U47" s="356">
        <f>IF(U$9&lt;=$G$2,0,SALES!$I$10*U$10*(1+$D$3)^(U$9-$G$2-1))</f>
        <v>-2.8299959249584159</v>
      </c>
      <c r="V47" s="356">
        <f>IF(V$9&lt;=$G$2,0,SALES!$I$10*V$10*(1+$D$3)^(V$9-$G$2-1))</f>
        <v>-2.9148958027071683</v>
      </c>
      <c r="W47" s="356">
        <f>IF(W$9&lt;=$G$2,0,SALES!$I$10*W$10*(1+$D$3)^(W$9-$G$2-1))</f>
        <v>-3.0023426767883836</v>
      </c>
      <c r="X47" s="356">
        <f>IF(X$9&lt;=$G$2,0,SALES!$I$10*X$10*(1+$D$3)^(X$9-$G$2-1))</f>
        <v>-3.0924129570920349</v>
      </c>
      <c r="Y47" s="356">
        <f>IF(Y$9&lt;=$G$2,0,SALES!$I$10*Y$10*(1+$D$3)^(Y$9-$G$2-1))</f>
        <v>-3.1851853458047956</v>
      </c>
      <c r="Z47" s="356">
        <f>IF(Z$9&lt;=$G$2,0,SALES!$I$10*Z$10*(1+$D$3)^(Z$9-$G$2-1))</f>
        <v>-3.2807409061789397</v>
      </c>
      <c r="AA47" s="356">
        <f>IF(AA$9&lt;=$G$2,0,SALES!$I$10*AA$10*(1+$D$3)^(AA$9-$G$2-1))</f>
        <v>-3.3791631333643077</v>
      </c>
      <c r="AB47" s="124"/>
      <c r="AC47" s="125"/>
      <c r="AD47" s="127"/>
    </row>
    <row r="48" spans="2:30" x14ac:dyDescent="0.25">
      <c r="B48" s="139">
        <v>3.5</v>
      </c>
      <c r="C48" s="143" t="str">
        <f>SALES!D11</f>
        <v>Pyrolysis Gasoline</v>
      </c>
      <c r="D48" s="356">
        <f>IF(D$9&lt;=$G$2,0,SALES!$I$11*D$10*(1+$D$3)^(D$9-$G$2-1))</f>
        <v>0</v>
      </c>
      <c r="E48" s="356">
        <f>IF(E$9&lt;=$G$2,0,SALES!$I$11*E$10*(1+$D$3)^(E$9-$G$2-1))</f>
        <v>0</v>
      </c>
      <c r="F48" s="356">
        <f>IF(F$9&lt;=$G$2,0,SALES!$I$11*F$10*(1+$D$3)^(F$9-$G$2-1))</f>
        <v>0</v>
      </c>
      <c r="G48" s="356">
        <f>IF(G$9&lt;=$G$2,0,SALES!$I$11*G$10*(1+$D$3)^(G$9-$G$2-1))</f>
        <v>0</v>
      </c>
      <c r="H48" s="356">
        <f>IF(H$9&lt;=$G$2,0,SALES!$I$11*H$10*(1+$D$3)^(H$9-$G$2-1))</f>
        <v>3.0912042149999337</v>
      </c>
      <c r="I48" s="356">
        <f>IF(I$9&lt;=$G$2,0,SALES!$I$11*I$10*(1+$D$3)^(I$9-$G$2-1))</f>
        <v>3.9799254268124149</v>
      </c>
      <c r="J48" s="356">
        <f>IF(J$9&lt;=$G$2,0,SALES!$I$11*J$10*(1+$D$3)^(J$9-$G$2-1))</f>
        <v>4.0993231896167872</v>
      </c>
      <c r="K48" s="356">
        <f>IF(K$9&lt;=$G$2,0,SALES!$I$11*K$10*(1+$D$3)^(K$9-$G$2-1))</f>
        <v>4.2223028853052904</v>
      </c>
      <c r="L48" s="356">
        <f>IF(L$9&lt;=$G$2,0,SALES!$I$11*L$10*(1+$D$3)^(L$9-$G$2-1))</f>
        <v>4.3489719718644491</v>
      </c>
      <c r="M48" s="356">
        <f>IF(M$9&lt;=$G$2,0,SALES!$I$11*M$10*(1+$D$3)^(M$9-$G$2-1))</f>
        <v>4.4794411310203825</v>
      </c>
      <c r="N48" s="356">
        <f>IF(N$9&lt;=$G$2,0,SALES!$I$11*N$10*(1+$D$3)^(N$9-$G$2-1))</f>
        <v>4.613824364950994</v>
      </c>
      <c r="O48" s="356">
        <f>IF(O$9&lt;=$G$2,0,SALES!$I$11*O$10*(1+$D$3)^(O$9-$G$2-1))</f>
        <v>4.7522390958995242</v>
      </c>
      <c r="P48" s="356">
        <f>IF(P$9&lt;=$G$2,0,SALES!$I$11*P$10*(1+$D$3)^(P$9-$G$2-1))</f>
        <v>4.8948062687765095</v>
      </c>
      <c r="Q48" s="356">
        <f>IF(Q$9&lt;=$G$2,0,SALES!$I$11*Q$10*(1+$D$3)^(Q$9-$G$2-1))</f>
        <v>5.0416504568398048</v>
      </c>
      <c r="R48" s="356">
        <f>IF(R$9&lt;=$G$2,0,SALES!$I$11*R$10*(1+$D$3)^(R$9-$G$2-1))</f>
        <v>5.1928999705449987</v>
      </c>
      <c r="S48" s="356">
        <f>IF(S$9&lt;=$G$2,0,SALES!$I$11*S$10*(1+$D$3)^(S$9-$G$2-1))</f>
        <v>5.3486869696613493</v>
      </c>
      <c r="T48" s="356">
        <f>IF(T$9&lt;=$G$2,0,SALES!$I$11*T$10*(1+$D$3)^(T$9-$G$2-1))</f>
        <v>5.5091475787511888</v>
      </c>
      <c r="U48" s="356">
        <f>IF(U$9&lt;=$G$2,0,SALES!$I$11*U$10*(1+$D$3)^(U$9-$G$2-1))</f>
        <v>5.6744220061137236</v>
      </c>
      <c r="V48" s="356">
        <f>IF(V$9&lt;=$G$2,0,SALES!$I$11*V$10*(1+$D$3)^(V$9-$G$2-1))</f>
        <v>5.8446546662971368</v>
      </c>
      <c r="W48" s="356">
        <f>IF(W$9&lt;=$G$2,0,SALES!$I$11*W$10*(1+$D$3)^(W$9-$G$2-1))</f>
        <v>6.0199943062860513</v>
      </c>
      <c r="X48" s="356">
        <f>IF(X$9&lt;=$G$2,0,SALES!$I$11*X$10*(1+$D$3)^(X$9-$G$2-1))</f>
        <v>6.2005941354746312</v>
      </c>
      <c r="Y48" s="356">
        <f>IF(Y$9&lt;=$G$2,0,SALES!$I$11*Y$10*(1+$D$3)^(Y$9-$G$2-1))</f>
        <v>6.38661195953887</v>
      </c>
      <c r="Z48" s="356">
        <f>IF(Z$9&lt;=$G$2,0,SALES!$I$11*Z$10*(1+$D$3)^(Z$9-$G$2-1))</f>
        <v>6.578210318325036</v>
      </c>
      <c r="AA48" s="356">
        <f>IF(AA$9&lt;=$G$2,0,SALES!$I$11*AA$10*(1+$D$3)^(AA$9-$G$2-1))</f>
        <v>6.7755566278747876</v>
      </c>
      <c r="AB48" s="124"/>
      <c r="AC48" s="125"/>
      <c r="AD48" s="127"/>
    </row>
    <row r="49" spans="2:30" x14ac:dyDescent="0.25">
      <c r="B49" s="139">
        <v>3.6</v>
      </c>
      <c r="C49" s="143" t="str">
        <f>SALES!D12</f>
        <v>CBFS</v>
      </c>
      <c r="D49" s="356">
        <f>IF(D$9&lt;=$G$2,0,SALES!$I$12*D$10*(1+$D$3)^(D$9-$G$2-1))</f>
        <v>0</v>
      </c>
      <c r="E49" s="356">
        <f>IF(E$9&lt;=$G$2,0,SALES!$I$12*E$10*(1+$D$3)^(E$9-$G$2-1))</f>
        <v>0</v>
      </c>
      <c r="F49" s="356">
        <f>IF(F$9&lt;=$G$2,0,SALES!$I$12*F$10*(1+$D$3)^(F$9-$G$2-1))</f>
        <v>0</v>
      </c>
      <c r="G49" s="356">
        <f>IF(G$9&lt;=$G$2,0,SALES!$I$12*G$10*(1+$D$3)^(G$9-$G$2-1))</f>
        <v>0</v>
      </c>
      <c r="H49" s="356">
        <f>IF(H$9&lt;=$G$2,0,SALES!$I$12*H$10*(1+$D$3)^(H$9-$G$2-1))</f>
        <v>6.9730573866666932</v>
      </c>
      <c r="I49" s="356">
        <f>IF(I$9&lt;=$G$2,0,SALES!$I$12*I$10*(1+$D$3)^(I$9-$G$2-1))</f>
        <v>8.9778113853333679</v>
      </c>
      <c r="J49" s="356">
        <f>IF(J$9&lt;=$G$2,0,SALES!$I$12*J$10*(1+$D$3)^(J$9-$G$2-1))</f>
        <v>9.2471457268933683</v>
      </c>
      <c r="K49" s="356">
        <f>IF(K$9&lt;=$G$2,0,SALES!$I$12*K$10*(1+$D$3)^(K$9-$G$2-1))</f>
        <v>9.5245600987001691</v>
      </c>
      <c r="L49" s="356">
        <f>IF(L$9&lt;=$G$2,0,SALES!$I$12*L$10*(1+$D$3)^(L$9-$G$2-1))</f>
        <v>9.8102969016611734</v>
      </c>
      <c r="M49" s="356">
        <f>IF(M$9&lt;=$G$2,0,SALES!$I$12*M$10*(1+$D$3)^(M$9-$G$2-1))</f>
        <v>10.104605808711009</v>
      </c>
      <c r="N49" s="356">
        <f>IF(N$9&lt;=$G$2,0,SALES!$I$12*N$10*(1+$D$3)^(N$9-$G$2-1))</f>
        <v>10.40774398297234</v>
      </c>
      <c r="O49" s="356">
        <f>IF(O$9&lt;=$G$2,0,SALES!$I$12*O$10*(1+$D$3)^(O$9-$G$2-1))</f>
        <v>10.719976302461509</v>
      </c>
      <c r="P49" s="356">
        <f>IF(P$9&lt;=$G$2,0,SALES!$I$12*P$10*(1+$D$3)^(P$9-$G$2-1))</f>
        <v>11.041575591535354</v>
      </c>
      <c r="Q49" s="356">
        <f>IF(Q$9&lt;=$G$2,0,SALES!$I$12*Q$10*(1+$D$3)^(Q$9-$G$2-1))</f>
        <v>11.372822859281415</v>
      </c>
      <c r="R49" s="356">
        <f>IF(R$9&lt;=$G$2,0,SALES!$I$12*R$10*(1+$D$3)^(R$9-$G$2-1))</f>
        <v>11.714007545059857</v>
      </c>
      <c r="S49" s="356">
        <f>IF(S$9&lt;=$G$2,0,SALES!$I$12*S$10*(1+$D$3)^(S$9-$G$2-1))</f>
        <v>12.065427771411654</v>
      </c>
      <c r="T49" s="356">
        <f>IF(T$9&lt;=$G$2,0,SALES!$I$12*T$10*(1+$D$3)^(T$9-$G$2-1))</f>
        <v>12.427390604554001</v>
      </c>
      <c r="U49" s="356">
        <f>IF(U$9&lt;=$G$2,0,SALES!$I$12*U$10*(1+$D$3)^(U$9-$G$2-1))</f>
        <v>12.800212322690621</v>
      </c>
      <c r="V49" s="356">
        <f>IF(V$9&lt;=$G$2,0,SALES!$I$12*V$10*(1+$D$3)^(V$9-$G$2-1))</f>
        <v>13.18421869237134</v>
      </c>
      <c r="W49" s="356">
        <f>IF(W$9&lt;=$G$2,0,SALES!$I$12*W$10*(1+$D$3)^(W$9-$G$2-1))</f>
        <v>13.579745253142482</v>
      </c>
      <c r="X49" s="356">
        <f>IF(X$9&lt;=$G$2,0,SALES!$I$12*X$10*(1+$D$3)^(X$9-$G$2-1))</f>
        <v>13.987137610736754</v>
      </c>
      <c r="Y49" s="356">
        <f>IF(Y$9&lt;=$G$2,0,SALES!$I$12*Y$10*(1+$D$3)^(Y$9-$G$2-1))</f>
        <v>14.406751739058857</v>
      </c>
      <c r="Z49" s="356">
        <f>IF(Z$9&lt;=$G$2,0,SALES!$I$12*Z$10*(1+$D$3)^(Z$9-$G$2-1))</f>
        <v>14.838954291230623</v>
      </c>
      <c r="AA49" s="356">
        <f>IF(AA$9&lt;=$G$2,0,SALES!$I$12*AA$10*(1+$D$3)^(AA$9-$G$2-1))</f>
        <v>15.28412291996754</v>
      </c>
      <c r="AB49" s="124"/>
      <c r="AC49" s="125"/>
      <c r="AD49" s="127"/>
    </row>
    <row r="50" spans="2:30" x14ac:dyDescent="0.25">
      <c r="B50" s="139">
        <v>3.7</v>
      </c>
      <c r="C50" s="143" t="str">
        <f>SALES!D13</f>
        <v>C9+ Fraction</v>
      </c>
      <c r="D50" s="356">
        <f>IF(D$9&lt;=$G$2,0,SALES!$I$13*D$10*(1+$D$3)^(D$9-$G$2-1))</f>
        <v>0</v>
      </c>
      <c r="E50" s="356">
        <f>IF(E$9&lt;=$G$2,0,SALES!$I$13*E$10*(1+$D$3)^(E$9-$G$2-1))</f>
        <v>0</v>
      </c>
      <c r="F50" s="356">
        <f>IF(F$9&lt;=$G$2,0,SALES!$I$13*F$10*(1+$D$3)^(F$9-$G$2-1))</f>
        <v>0</v>
      </c>
      <c r="G50" s="356">
        <f>IF(G$9&lt;=$G$2,0,SALES!$I$13*G$10*(1+$D$3)^(G$9-$G$2-1))</f>
        <v>0</v>
      </c>
      <c r="H50" s="356">
        <f>IF(H$9&lt;=$G$2,0,SALES!$I$13*H$10*(1+$D$3)^(H$9-$G$2-1))</f>
        <v>0.86015947841999074</v>
      </c>
      <c r="I50" s="356">
        <f>IF(I$9&lt;=$G$2,0,SALES!$I$13*I$10*(1+$D$3)^(I$9-$G$2-1))</f>
        <v>1.107455328465738</v>
      </c>
      <c r="J50" s="356">
        <f>IF(J$9&lt;=$G$2,0,SALES!$I$13*J$10*(1+$D$3)^(J$9-$G$2-1))</f>
        <v>1.1406789883197102</v>
      </c>
      <c r="K50" s="356">
        <f>IF(K$9&lt;=$G$2,0,SALES!$I$13*K$10*(1+$D$3)^(K$9-$G$2-1))</f>
        <v>1.1748993579693014</v>
      </c>
      <c r="L50" s="356">
        <f>IF(L$9&lt;=$G$2,0,SALES!$I$13*L$10*(1+$D$3)^(L$9-$G$2-1))</f>
        <v>1.2101463387083804</v>
      </c>
      <c r="M50" s="356">
        <f>IF(M$9&lt;=$G$2,0,SALES!$I$13*M$10*(1+$D$3)^(M$9-$G$2-1))</f>
        <v>1.2464507288696318</v>
      </c>
      <c r="N50" s="356">
        <f>IF(N$9&lt;=$G$2,0,SALES!$I$13*N$10*(1+$D$3)^(N$9-$G$2-1))</f>
        <v>1.2838442507357208</v>
      </c>
      <c r="O50" s="356">
        <f>IF(O$9&lt;=$G$2,0,SALES!$I$13*O$10*(1+$D$3)^(O$9-$G$2-1))</f>
        <v>1.3223595782577926</v>
      </c>
      <c r="P50" s="356">
        <f>IF(P$9&lt;=$G$2,0,SALES!$I$13*P$10*(1+$D$3)^(P$9-$G$2-1))</f>
        <v>1.3620303656055261</v>
      </c>
      <c r="Q50" s="356">
        <f>IF(Q$9&lt;=$G$2,0,SALES!$I$13*Q$10*(1+$D$3)^(Q$9-$G$2-1))</f>
        <v>1.4028912765736921</v>
      </c>
      <c r="R50" s="356">
        <f>IF(R$9&lt;=$G$2,0,SALES!$I$13*R$10*(1+$D$3)^(R$9-$G$2-1))</f>
        <v>1.4449780148709028</v>
      </c>
      <c r="S50" s="356">
        <f>IF(S$9&lt;=$G$2,0,SALES!$I$13*S$10*(1+$D$3)^(S$9-$G$2-1))</f>
        <v>1.4883273553170298</v>
      </c>
      <c r="T50" s="356">
        <f>IF(T$9&lt;=$G$2,0,SALES!$I$13*T$10*(1+$D$3)^(T$9-$G$2-1))</f>
        <v>1.5329771759765405</v>
      </c>
      <c r="U50" s="356">
        <f>IF(U$9&lt;=$G$2,0,SALES!$I$13*U$10*(1+$D$3)^(U$9-$G$2-1))</f>
        <v>1.5789664912558368</v>
      </c>
      <c r="V50" s="356">
        <f>IF(V$9&lt;=$G$2,0,SALES!$I$13*V$10*(1+$D$3)^(V$9-$G$2-1))</f>
        <v>1.626335485993512</v>
      </c>
      <c r="W50" s="356">
        <f>IF(W$9&lt;=$G$2,0,SALES!$I$13*W$10*(1+$D$3)^(W$9-$G$2-1))</f>
        <v>1.6751255505733174</v>
      </c>
      <c r="X50" s="356">
        <f>IF(X$9&lt;=$G$2,0,SALES!$I$13*X$10*(1+$D$3)^(X$9-$G$2-1))</f>
        <v>1.7253793170905165</v>
      </c>
      <c r="Y50" s="356">
        <f>IF(Y$9&lt;=$G$2,0,SALES!$I$13*Y$10*(1+$D$3)^(Y$9-$G$2-1))</f>
        <v>1.7771406966032322</v>
      </c>
      <c r="Z50" s="356">
        <f>IF(Z$9&lt;=$G$2,0,SALES!$I$13*Z$10*(1+$D$3)^(Z$9-$G$2-1))</f>
        <v>1.8304549175013292</v>
      </c>
      <c r="AA50" s="356">
        <f>IF(AA$9&lt;=$G$2,0,SALES!$I$13*AA$10*(1+$D$3)^(AA$9-$G$2-1))</f>
        <v>1.885368565026369</v>
      </c>
      <c r="AB50" s="124"/>
      <c r="AC50" s="125"/>
      <c r="AD50" s="127"/>
    </row>
    <row r="51" spans="2:30" x14ac:dyDescent="0.25">
      <c r="B51" s="139">
        <v>3.8</v>
      </c>
      <c r="C51" s="143" t="str">
        <f>SALES!D14</f>
        <v>LLDPE+HDPE</v>
      </c>
      <c r="D51" s="356">
        <f>IF(D$9&lt;=$G$2,0,SALES!$I$14*D$10*(1+$D$3)^(D$9-$G$2-1))</f>
        <v>0</v>
      </c>
      <c r="E51" s="356">
        <f>IF(E$9&lt;=$G$2,0,SALES!$I$14*E$10*(1+$D$3)^(E$9-$G$2-1))</f>
        <v>0</v>
      </c>
      <c r="F51" s="356">
        <f>IF(F$9&lt;=$G$2,0,SALES!$I$14*F$10*(1+$D$3)^(F$9-$G$2-1))</f>
        <v>0</v>
      </c>
      <c r="G51" s="356">
        <f>IF(G$9&lt;=$G$2,0,SALES!$I$14*G$10*(1+$D$3)^(G$9-$G$2-1))</f>
        <v>0</v>
      </c>
      <c r="H51" s="356">
        <f>IF(H$9&lt;=$G$2,0,SALES!$I$14*H$10*(1+$D$3)^(H$9-$G$2-1))</f>
        <v>-129.87643963259242</v>
      </c>
      <c r="I51" s="356">
        <f>IF(I$9&lt;=$G$2,0,SALES!$I$14*I$10*(1+$D$3)^(I$9-$G$2-1))</f>
        <v>-167.21591602696276</v>
      </c>
      <c r="J51" s="356">
        <f>IF(J$9&lt;=$G$2,0,SALES!$I$14*J$10*(1+$D$3)^(J$9-$G$2-1))</f>
        <v>-172.23239350777163</v>
      </c>
      <c r="K51" s="356">
        <f>IF(K$9&lt;=$G$2,0,SALES!$I$14*K$10*(1+$D$3)^(K$9-$G$2-1))</f>
        <v>-177.39936531300478</v>
      </c>
      <c r="L51" s="356">
        <f>IF(L$9&lt;=$G$2,0,SALES!$I$14*L$10*(1+$D$3)^(L$9-$G$2-1))</f>
        <v>-182.72134627239492</v>
      </c>
      <c r="M51" s="356">
        <f>IF(M$9&lt;=$G$2,0,SALES!$I$14*M$10*(1+$D$3)^(M$9-$G$2-1))</f>
        <v>-188.20298666056675</v>
      </c>
      <c r="N51" s="356">
        <f>IF(N$9&lt;=$G$2,0,SALES!$I$14*N$10*(1+$D$3)^(N$9-$G$2-1))</f>
        <v>-193.84907626038375</v>
      </c>
      <c r="O51" s="356">
        <f>IF(O$9&lt;=$G$2,0,SALES!$I$14*O$10*(1+$D$3)^(O$9-$G$2-1))</f>
        <v>-199.66454854819528</v>
      </c>
      <c r="P51" s="356">
        <f>IF(P$9&lt;=$G$2,0,SALES!$I$14*P$10*(1+$D$3)^(P$9-$G$2-1))</f>
        <v>-205.65448500464112</v>
      </c>
      <c r="Q51" s="356">
        <f>IF(Q$9&lt;=$G$2,0,SALES!$I$14*Q$10*(1+$D$3)^(Q$9-$G$2-1))</f>
        <v>-211.82411955478037</v>
      </c>
      <c r="R51" s="356">
        <f>IF(R$9&lt;=$G$2,0,SALES!$I$14*R$10*(1+$D$3)^(R$9-$G$2-1))</f>
        <v>-218.17884314142378</v>
      </c>
      <c r="S51" s="356">
        <f>IF(S$9&lt;=$G$2,0,SALES!$I$14*S$10*(1+$D$3)^(S$9-$G$2-1))</f>
        <v>-224.7242084356665</v>
      </c>
      <c r="T51" s="356">
        <f>IF(T$9&lt;=$G$2,0,SALES!$I$14*T$10*(1+$D$3)^(T$9-$G$2-1))</f>
        <v>-231.46593468873647</v>
      </c>
      <c r="U51" s="356">
        <f>IF(U$9&lt;=$G$2,0,SALES!$I$14*U$10*(1+$D$3)^(U$9-$G$2-1))</f>
        <v>-238.40991272939854</v>
      </c>
      <c r="V51" s="356">
        <f>IF(V$9&lt;=$G$2,0,SALES!$I$14*V$10*(1+$D$3)^(V$9-$G$2-1))</f>
        <v>-245.56221011128051</v>
      </c>
      <c r="W51" s="356">
        <f>IF(W$9&lt;=$G$2,0,SALES!$I$14*W$10*(1+$D$3)^(W$9-$G$2-1))</f>
        <v>-252.92907641461895</v>
      </c>
      <c r="X51" s="356">
        <f>IF(X$9&lt;=$G$2,0,SALES!$I$14*X$10*(1+$D$3)^(X$9-$G$2-1))</f>
        <v>-260.51694870705745</v>
      </c>
      <c r="Y51" s="356">
        <f>IF(Y$9&lt;=$G$2,0,SALES!$I$14*Y$10*(1+$D$3)^(Y$9-$G$2-1))</f>
        <v>-268.33245716826917</v>
      </c>
      <c r="Z51" s="356">
        <f>IF(Z$9&lt;=$G$2,0,SALES!$I$14*Z$10*(1+$D$3)^(Z$9-$G$2-1))</f>
        <v>-276.38243088331728</v>
      </c>
      <c r="AA51" s="356">
        <f>IF(AA$9&lt;=$G$2,0,SALES!$I$14*AA$10*(1+$D$3)^(AA$9-$G$2-1))</f>
        <v>-284.67390380981681</v>
      </c>
      <c r="AB51" s="124"/>
      <c r="AC51" s="125"/>
      <c r="AD51" s="127"/>
    </row>
    <row r="52" spans="2:30" x14ac:dyDescent="0.25">
      <c r="B52" s="139">
        <v>3.9</v>
      </c>
      <c r="C52" s="143" t="str">
        <f>SALES!D15</f>
        <v>PP</v>
      </c>
      <c r="D52" s="356">
        <f>IF(D$9&lt;=$G$2,0,SALES!$I$15*D$10*(1+$D$3)^(D$9-$G$2-1))</f>
        <v>0</v>
      </c>
      <c r="E52" s="356">
        <f>IF(E$9&lt;=$G$2,0,SALES!$I$15*E$10*(1+$D$3)^(E$9-$G$2-1))</f>
        <v>0</v>
      </c>
      <c r="F52" s="356">
        <f>IF(F$9&lt;=$G$2,0,SALES!$I$15*F$10*(1+$D$3)^(F$9-$G$2-1))</f>
        <v>0</v>
      </c>
      <c r="G52" s="356">
        <f>IF(G$9&lt;=$G$2,0,SALES!$I$15*G$10*(1+$D$3)^(G$9-$G$2-1))</f>
        <v>0</v>
      </c>
      <c r="H52" s="356">
        <f>IF(H$9&lt;=$G$2,0,SALES!$I$15*H$10*(1+$D$3)^(H$9-$G$2-1))</f>
        <v>93.277532225818788</v>
      </c>
      <c r="I52" s="356">
        <f>IF(I$9&lt;=$G$2,0,SALES!$I$15*I$10*(1+$D$3)^(I$9-$G$2-1))</f>
        <v>120.09482274074169</v>
      </c>
      <c r="J52" s="356">
        <f>IF(J$9&lt;=$G$2,0,SALES!$I$15*J$10*(1+$D$3)^(J$9-$G$2-1))</f>
        <v>123.69766742296393</v>
      </c>
      <c r="K52" s="356">
        <f>IF(K$9&lt;=$G$2,0,SALES!$I$15*K$10*(1+$D$3)^(K$9-$G$2-1))</f>
        <v>127.40859744565286</v>
      </c>
      <c r="L52" s="356">
        <f>IF(L$9&lt;=$G$2,0,SALES!$I$15*L$10*(1+$D$3)^(L$9-$G$2-1))</f>
        <v>131.23085536902244</v>
      </c>
      <c r="M52" s="356">
        <f>IF(M$9&lt;=$G$2,0,SALES!$I$15*M$10*(1+$D$3)^(M$9-$G$2-1))</f>
        <v>135.1677810300931</v>
      </c>
      <c r="N52" s="356">
        <f>IF(N$9&lt;=$G$2,0,SALES!$I$15*N$10*(1+$D$3)^(N$9-$G$2-1))</f>
        <v>139.22281446099589</v>
      </c>
      <c r="O52" s="356">
        <f>IF(O$9&lt;=$G$2,0,SALES!$I$15*O$10*(1+$D$3)^(O$9-$G$2-1))</f>
        <v>143.3994988948258</v>
      </c>
      <c r="P52" s="356">
        <f>IF(P$9&lt;=$G$2,0,SALES!$I$15*P$10*(1+$D$3)^(P$9-$G$2-1))</f>
        <v>147.70148386167054</v>
      </c>
      <c r="Q52" s="356">
        <f>IF(Q$9&lt;=$G$2,0,SALES!$I$15*Q$10*(1+$D$3)^(Q$9-$G$2-1))</f>
        <v>152.13252837752066</v>
      </c>
      <c r="R52" s="356">
        <f>IF(R$9&lt;=$G$2,0,SALES!$I$15*R$10*(1+$D$3)^(R$9-$G$2-1))</f>
        <v>156.69650422884629</v>
      </c>
      <c r="S52" s="356">
        <f>IF(S$9&lt;=$G$2,0,SALES!$I$15*S$10*(1+$D$3)^(S$9-$G$2-1))</f>
        <v>161.39739935571168</v>
      </c>
      <c r="T52" s="356">
        <f>IF(T$9&lt;=$G$2,0,SALES!$I$15*T$10*(1+$D$3)^(T$9-$G$2-1))</f>
        <v>166.239321336383</v>
      </c>
      <c r="U52" s="356">
        <f>IF(U$9&lt;=$G$2,0,SALES!$I$15*U$10*(1+$D$3)^(U$9-$G$2-1))</f>
        <v>171.22650097647448</v>
      </c>
      <c r="V52" s="356">
        <f>IF(V$9&lt;=$G$2,0,SALES!$I$15*V$10*(1+$D$3)^(V$9-$G$2-1))</f>
        <v>176.36329600576875</v>
      </c>
      <c r="W52" s="356">
        <f>IF(W$9&lt;=$G$2,0,SALES!$I$15*W$10*(1+$D$3)^(W$9-$G$2-1))</f>
        <v>181.65419488594182</v>
      </c>
      <c r="X52" s="356">
        <f>IF(X$9&lt;=$G$2,0,SALES!$I$15*X$10*(1+$D$3)^(X$9-$G$2-1))</f>
        <v>187.10382073252003</v>
      </c>
      <c r="Y52" s="356">
        <f>IF(Y$9&lt;=$G$2,0,SALES!$I$15*Y$10*(1+$D$3)^(Y$9-$G$2-1))</f>
        <v>192.71693535449563</v>
      </c>
      <c r="Z52" s="356">
        <f>IF(Z$9&lt;=$G$2,0,SALES!$I$15*Z$10*(1+$D$3)^(Z$9-$G$2-1))</f>
        <v>198.49844341513051</v>
      </c>
      <c r="AA52" s="356">
        <f>IF(AA$9&lt;=$G$2,0,SALES!$I$15*AA$10*(1+$D$3)^(AA$9-$G$2-1))</f>
        <v>204.45339671758441</v>
      </c>
      <c r="AB52" s="124"/>
      <c r="AC52" s="125"/>
      <c r="AD52" s="127"/>
    </row>
    <row r="53" spans="2:30" s="2" customFormat="1" x14ac:dyDescent="0.25">
      <c r="B53" s="145"/>
      <c r="C53" s="146" t="s">
        <v>73</v>
      </c>
      <c r="D53" s="147">
        <f>SUM(D43:D45)</f>
        <v>0</v>
      </c>
      <c r="E53" s="147">
        <f>SUM(E43:E45)</f>
        <v>0</v>
      </c>
      <c r="F53" s="147">
        <f>SUM(F43:F45)</f>
        <v>0</v>
      </c>
      <c r="G53" s="147">
        <f>SUM(G43:G45)</f>
        <v>0</v>
      </c>
      <c r="H53" s="147">
        <f>SUM(H43:H52)</f>
        <v>4458.0821237483815</v>
      </c>
      <c r="I53" s="147">
        <f t="shared" ref="I53:AA53" si="4">SUM(I43:I52)</f>
        <v>5739.7807343260429</v>
      </c>
      <c r="J53" s="147">
        <f t="shared" si="4"/>
        <v>5911.9741563558209</v>
      </c>
      <c r="K53" s="147">
        <f t="shared" si="4"/>
        <v>6089.3333810464974</v>
      </c>
      <c r="L53" s="147">
        <f t="shared" si="4"/>
        <v>6272.0133824778914</v>
      </c>
      <c r="M53" s="147">
        <f t="shared" si="4"/>
        <v>6460.1737839522284</v>
      </c>
      <c r="N53" s="147">
        <f t="shared" si="4"/>
        <v>6653.9789974707965</v>
      </c>
      <c r="O53" s="147">
        <f t="shared" si="4"/>
        <v>6853.5983673949204</v>
      </c>
      <c r="P53" s="147">
        <f t="shared" si="4"/>
        <v>7059.2063184167673</v>
      </c>
      <c r="Q53" s="147">
        <f t="shared" si="4"/>
        <v>7270.9825079692691</v>
      </c>
      <c r="R53" s="147">
        <f t="shared" si="4"/>
        <v>7489.1119832083486</v>
      </c>
      <c r="S53" s="147">
        <f t="shared" si="4"/>
        <v>7713.7853427045984</v>
      </c>
      <c r="T53" s="147">
        <f t="shared" si="4"/>
        <v>7945.1989029857341</v>
      </c>
      <c r="U53" s="147">
        <f t="shared" si="4"/>
        <v>8183.554870075307</v>
      </c>
      <c r="V53" s="147">
        <f t="shared" si="4"/>
        <v>8429.0615161775659</v>
      </c>
      <c r="W53" s="147">
        <f t="shared" si="4"/>
        <v>8681.9333616628937</v>
      </c>
      <c r="X53" s="147">
        <f t="shared" si="4"/>
        <v>8942.3913625127789</v>
      </c>
      <c r="Y53" s="147">
        <f t="shared" si="4"/>
        <v>9210.6631033881622</v>
      </c>
      <c r="Z53" s="147">
        <f t="shared" si="4"/>
        <v>9486.9829964898072</v>
      </c>
      <c r="AA53" s="147">
        <f t="shared" si="4"/>
        <v>9771.592486384503</v>
      </c>
      <c r="AB53" s="135"/>
      <c r="AC53" s="136"/>
      <c r="AD53" s="137"/>
    </row>
    <row r="54" spans="2:30" x14ac:dyDescent="0.25">
      <c r="B54" s="942"/>
      <c r="C54" s="942"/>
      <c r="D54" s="942"/>
      <c r="E54" s="942"/>
      <c r="F54" s="942"/>
      <c r="G54" s="942"/>
      <c r="H54" s="942"/>
      <c r="I54" s="942"/>
      <c r="J54" s="942"/>
      <c r="K54" s="942"/>
      <c r="L54" s="942"/>
      <c r="M54" s="942"/>
      <c r="N54" s="942"/>
      <c r="O54" s="942"/>
      <c r="P54" s="942"/>
      <c r="Q54" s="942"/>
      <c r="R54" s="942"/>
      <c r="S54" s="942"/>
      <c r="T54" s="942"/>
      <c r="U54" s="942"/>
      <c r="V54" s="942"/>
      <c r="W54" s="942"/>
      <c r="X54" s="942"/>
      <c r="Y54" s="942"/>
      <c r="Z54" s="942"/>
      <c r="AA54" s="942"/>
      <c r="AB54" s="124"/>
      <c r="AC54" s="125"/>
      <c r="AD54" s="127"/>
    </row>
    <row r="55" spans="2:30" x14ac:dyDescent="0.25">
      <c r="B55" s="150"/>
      <c r="C55" s="151" t="s">
        <v>74</v>
      </c>
      <c r="D55" s="152">
        <f t="shared" ref="D55:AA55" si="5">+D53-D41</f>
        <v>-395.8</v>
      </c>
      <c r="E55" s="152">
        <f t="shared" si="5"/>
        <v>-1979</v>
      </c>
      <c r="F55" s="152">
        <f t="shared" si="5"/>
        <v>-2770.6</v>
      </c>
      <c r="G55" s="152">
        <f>+G53-G41</f>
        <v>-3420.6</v>
      </c>
      <c r="H55" s="152">
        <f t="shared" si="5"/>
        <v>2203.7756181342661</v>
      </c>
      <c r="I55" s="152">
        <f t="shared" si="5"/>
        <v>2812.5194893459661</v>
      </c>
      <c r="J55" s="152">
        <f t="shared" si="5"/>
        <v>2896.8950740263408</v>
      </c>
      <c r="K55" s="152">
        <f t="shared" si="5"/>
        <v>2983.8019262471335</v>
      </c>
      <c r="L55" s="152">
        <f t="shared" si="5"/>
        <v>3073.3159840345465</v>
      </c>
      <c r="M55" s="152">
        <f t="shared" si="5"/>
        <v>3165.515463555585</v>
      </c>
      <c r="N55" s="152">
        <f t="shared" si="5"/>
        <v>3260.4809274622526</v>
      </c>
      <c r="O55" s="152">
        <f t="shared" si="5"/>
        <v>3358.295355286119</v>
      </c>
      <c r="P55" s="152">
        <f t="shared" si="5"/>
        <v>3459.0442159447016</v>
      </c>
      <c r="Q55" s="152">
        <f t="shared" si="5"/>
        <v>3562.8155424230426</v>
      </c>
      <c r="R55" s="152">
        <f t="shared" si="5"/>
        <v>3669.7000086957351</v>
      </c>
      <c r="S55" s="152">
        <f t="shared" si="5"/>
        <v>3779.7910089566058</v>
      </c>
      <c r="T55" s="152">
        <f t="shared" si="5"/>
        <v>3893.1847392253026</v>
      </c>
      <c r="U55" s="152">
        <f t="shared" si="5"/>
        <v>4009.9802814020632</v>
      </c>
      <c r="V55" s="152">
        <f t="shared" si="5"/>
        <v>4130.2796898441247</v>
      </c>
      <c r="W55" s="152">
        <f t="shared" si="5"/>
        <v>4254.1880805394485</v>
      </c>
      <c r="X55" s="152">
        <f t="shared" si="5"/>
        <v>4381.8137229556323</v>
      </c>
      <c r="Y55" s="152">
        <f t="shared" si="5"/>
        <v>4513.2681346442996</v>
      </c>
      <c r="Z55" s="152">
        <f t="shared" si="5"/>
        <v>4648.6661786836294</v>
      </c>
      <c r="AA55" s="152">
        <f t="shared" si="5"/>
        <v>4788.1261640441417</v>
      </c>
      <c r="AB55" s="124"/>
      <c r="AC55" s="124"/>
      <c r="AD55" s="127"/>
    </row>
    <row r="56" spans="2:30" x14ac:dyDescent="0.25">
      <c r="B56" s="153"/>
      <c r="C56" s="154" t="s">
        <v>75</v>
      </c>
      <c r="D56" s="155">
        <f>D55*(1/(1+$K$2)^D9)</f>
        <v>-364.79262672811063</v>
      </c>
      <c r="E56" s="155">
        <f>E55*(1/(1+$K$2)^E9)</f>
        <v>-1681.0720125719383</v>
      </c>
      <c r="F56" s="155">
        <f>F55*(1/(1+$K$2)^F9)</f>
        <v>-2169.1251775121782</v>
      </c>
      <c r="G56" s="155">
        <f>G55*(1/(1+$K$2)^G9)</f>
        <v>-2468.2169967669611</v>
      </c>
      <c r="H56" s="155">
        <f>H55*(1/(1+$K$2)^H9)</f>
        <v>1465.610888794838</v>
      </c>
      <c r="I56" s="155">
        <f t="shared" ref="I56:AA56" si="6">I55*(1/(1+$K$2)^I9)</f>
        <v>1723.9200131788614</v>
      </c>
      <c r="J56" s="155">
        <f t="shared" si="6"/>
        <v>1636.5323627412208</v>
      </c>
      <c r="K56" s="155">
        <f t="shared" si="6"/>
        <v>1553.5745010354458</v>
      </c>
      <c r="L56" s="155">
        <f t="shared" si="6"/>
        <v>1474.8218765589945</v>
      </c>
      <c r="M56" s="155">
        <f t="shared" si="6"/>
        <v>1400.0613206043918</v>
      </c>
      <c r="N56" s="155">
        <f t="shared" si="6"/>
        <v>1329.0904702511739</v>
      </c>
      <c r="O56" s="155">
        <f t="shared" si="6"/>
        <v>1261.717220607105</v>
      </c>
      <c r="P56" s="155">
        <f t="shared" si="6"/>
        <v>1197.7592048159611</v>
      </c>
      <c r="Q56" s="155">
        <f t="shared" si="6"/>
        <v>1137.0433004243687</v>
      </c>
      <c r="R56" s="155">
        <f t="shared" si="6"/>
        <v>1079.4051607715205</v>
      </c>
      <c r="S56" s="155">
        <f t="shared" si="6"/>
        <v>1024.6887701333326</v>
      </c>
      <c r="T56" s="155">
        <f t="shared" si="6"/>
        <v>972.74602141689627</v>
      </c>
      <c r="U56" s="155">
        <f t="shared" si="6"/>
        <v>923.436315262123</v>
      </c>
      <c r="V56" s="155">
        <f t="shared" si="6"/>
        <v>876.62617946542548</v>
      </c>
      <c r="W56" s="155">
        <f t="shared" si="6"/>
        <v>832.18890769528889</v>
      </c>
      <c r="X56" s="155">
        <f t="shared" si="6"/>
        <v>790.004216521795</v>
      </c>
      <c r="Y56" s="155">
        <f t="shared" si="6"/>
        <v>749.9579198317499</v>
      </c>
      <c r="Z56" s="155">
        <f t="shared" si="6"/>
        <v>711.94161974811277</v>
      </c>
      <c r="AA56" s="155">
        <f t="shared" si="6"/>
        <v>675.85241321710305</v>
      </c>
      <c r="AC56" s="125"/>
      <c r="AD56" s="128"/>
    </row>
    <row r="57" spans="2:30" x14ac:dyDescent="0.25">
      <c r="B57" s="153"/>
      <c r="C57" s="149" t="s">
        <v>76</v>
      </c>
      <c r="D57" s="156">
        <f t="shared" ref="D57:AA57" si="7">$D$9*(1/(1+$K$2)^D9)</f>
        <v>0.92165898617511521</v>
      </c>
      <c r="E57" s="156">
        <f t="shared" si="7"/>
        <v>0.84945528679734128</v>
      </c>
      <c r="F57" s="156">
        <f t="shared" si="7"/>
        <v>0.78290809843072917</v>
      </c>
      <c r="G57" s="156">
        <f t="shared" si="7"/>
        <v>0.72157428426795334</v>
      </c>
      <c r="H57" s="156">
        <f t="shared" si="7"/>
        <v>0.66504542328843619</v>
      </c>
      <c r="I57" s="156">
        <f t="shared" si="7"/>
        <v>0.6129450905884205</v>
      </c>
      <c r="J57" s="156">
        <f t="shared" si="7"/>
        <v>0.56492635077273778</v>
      </c>
      <c r="K57" s="156">
        <f t="shared" si="7"/>
        <v>0.52066944771680901</v>
      </c>
      <c r="L57" s="156">
        <f t="shared" si="7"/>
        <v>0.4798796753150314</v>
      </c>
      <c r="M57" s="156">
        <f t="shared" si="7"/>
        <v>0.44228541503689528</v>
      </c>
      <c r="N57" s="156">
        <f t="shared" si="7"/>
        <v>0.40763632722294496</v>
      </c>
      <c r="O57" s="156">
        <f t="shared" si="7"/>
        <v>0.37570168407644705</v>
      </c>
      <c r="P57" s="156">
        <f t="shared" si="7"/>
        <v>0.3462688332501816</v>
      </c>
      <c r="Q57" s="156">
        <f t="shared" si="7"/>
        <v>0.31914178179740244</v>
      </c>
      <c r="R57" s="156">
        <f t="shared" si="7"/>
        <v>0.2941398910575137</v>
      </c>
      <c r="S57" s="156">
        <f t="shared" si="7"/>
        <v>0.27109667378572694</v>
      </c>
      <c r="T57" s="156">
        <f t="shared" si="7"/>
        <v>0.24985868551679907</v>
      </c>
      <c r="U57" s="156">
        <f t="shared" si="7"/>
        <v>0.23028450278045995</v>
      </c>
      <c r="V57" s="156">
        <f t="shared" si="7"/>
        <v>0.21224378136447922</v>
      </c>
      <c r="W57" s="156">
        <f t="shared" si="7"/>
        <v>0.19561638835435877</v>
      </c>
      <c r="X57" s="156">
        <f t="shared" si="7"/>
        <v>0.18029160216991591</v>
      </c>
      <c r="Y57" s="156">
        <f t="shared" si="7"/>
        <v>0.16616737527181191</v>
      </c>
      <c r="Z57" s="156">
        <f t="shared" si="7"/>
        <v>0.15314965462839805</v>
      </c>
      <c r="AA57" s="156">
        <f t="shared" si="7"/>
        <v>0.14115175541787842</v>
      </c>
      <c r="AB57" s="129"/>
    </row>
    <row r="58" spans="2:30" x14ac:dyDescent="0.25">
      <c r="B58" s="153"/>
      <c r="C58" s="157" t="str">
        <f>CONCATENATE("NPV at"," ",D2,"   Discount Factor")</f>
        <v>NPV at 0.085   Discount Factor</v>
      </c>
      <c r="D58" s="158">
        <f>NPV($K$2,D55:AA55)</f>
        <v>16133.771869496519</v>
      </c>
      <c r="E58" s="159"/>
      <c r="F58" s="159"/>
      <c r="G58" s="159"/>
      <c r="H58" s="156"/>
      <c r="I58" s="156"/>
      <c r="J58" s="156"/>
      <c r="K58" s="156"/>
      <c r="L58" s="156"/>
      <c r="M58" s="156"/>
      <c r="N58" s="156"/>
      <c r="O58" s="156"/>
      <c r="P58" s="156"/>
      <c r="Q58" s="156"/>
      <c r="R58" s="156"/>
      <c r="S58" s="156"/>
      <c r="T58" s="156"/>
      <c r="U58" s="156"/>
      <c r="V58" s="156"/>
      <c r="W58" s="156"/>
      <c r="X58" s="156"/>
      <c r="Y58" s="156"/>
      <c r="Z58" s="156"/>
      <c r="AA58" s="156"/>
    </row>
    <row r="59" spans="2:30" x14ac:dyDescent="0.25">
      <c r="B59" s="153"/>
      <c r="C59" s="8" t="s">
        <v>106</v>
      </c>
      <c r="D59" s="162">
        <f>D56</f>
        <v>-364.79262672811063</v>
      </c>
      <c r="E59" s="162">
        <f>D59+E56</f>
        <v>-2045.864639300049</v>
      </c>
      <c r="F59" s="162">
        <f>F56+E59</f>
        <v>-4214.9898168122272</v>
      </c>
      <c r="G59" s="162">
        <f>F59+G56</f>
        <v>-6683.2068135791887</v>
      </c>
      <c r="H59" s="162">
        <f>G59+H56</f>
        <v>-5217.5959247843512</v>
      </c>
      <c r="I59" s="162">
        <f t="shared" ref="I59:AA59" si="8">H59+I56</f>
        <v>-3493.67591160549</v>
      </c>
      <c r="J59" s="162">
        <f t="shared" si="8"/>
        <v>-1857.1435488642692</v>
      </c>
      <c r="K59" s="162">
        <f t="shared" si="8"/>
        <v>-303.56904782882339</v>
      </c>
      <c r="L59" s="162">
        <f t="shared" si="8"/>
        <v>1171.2528287301711</v>
      </c>
      <c r="M59" s="162">
        <f t="shared" si="8"/>
        <v>2571.3141493345629</v>
      </c>
      <c r="N59" s="162">
        <f t="shared" si="8"/>
        <v>3900.4046195857368</v>
      </c>
      <c r="O59" s="162">
        <f t="shared" si="8"/>
        <v>5162.1218401928418</v>
      </c>
      <c r="P59" s="162">
        <f t="shared" si="8"/>
        <v>6359.8810450088031</v>
      </c>
      <c r="Q59" s="162">
        <f t="shared" si="8"/>
        <v>7496.9243454331718</v>
      </c>
      <c r="R59" s="162">
        <f t="shared" si="8"/>
        <v>8576.3295062046927</v>
      </c>
      <c r="S59" s="162">
        <f t="shared" si="8"/>
        <v>9601.0182763380253</v>
      </c>
      <c r="T59" s="162">
        <f t="shared" si="8"/>
        <v>10573.764297754922</v>
      </c>
      <c r="U59" s="162">
        <f t="shared" si="8"/>
        <v>11497.200613017045</v>
      </c>
      <c r="V59" s="162">
        <f t="shared" si="8"/>
        <v>12373.82679248247</v>
      </c>
      <c r="W59" s="162">
        <f t="shared" si="8"/>
        <v>13206.015700177759</v>
      </c>
      <c r="X59" s="162">
        <f t="shared" si="8"/>
        <v>13996.019916699554</v>
      </c>
      <c r="Y59" s="162">
        <f t="shared" si="8"/>
        <v>14745.977836531303</v>
      </c>
      <c r="Z59" s="162">
        <f t="shared" si="8"/>
        <v>15457.919456279416</v>
      </c>
      <c r="AA59" s="162">
        <f t="shared" si="8"/>
        <v>16133.771869496519</v>
      </c>
    </row>
    <row r="60" spans="2:30" s="128" customFormat="1" x14ac:dyDescent="0.25">
      <c r="B60" s="353"/>
      <c r="C60" s="354"/>
      <c r="D60" s="355"/>
      <c r="E60" s="355"/>
      <c r="F60" s="355"/>
      <c r="G60" s="355"/>
      <c r="H60" s="355"/>
      <c r="I60" s="355"/>
      <c r="J60" s="355"/>
      <c r="K60" s="355"/>
      <c r="L60" s="355"/>
      <c r="M60" s="355"/>
      <c r="N60" s="355"/>
      <c r="O60" s="355"/>
      <c r="P60" s="355"/>
      <c r="Q60" s="355"/>
      <c r="R60" s="355"/>
      <c r="S60" s="355"/>
      <c r="T60" s="355"/>
      <c r="U60" s="355"/>
      <c r="V60" s="355"/>
      <c r="W60" s="355"/>
      <c r="X60" s="355"/>
      <c r="Y60" s="355"/>
      <c r="Z60" s="355"/>
      <c r="AA60" s="355"/>
    </row>
    <row r="61" spans="2:30" x14ac:dyDescent="0.25">
      <c r="B61" s="132"/>
      <c r="F61" s="911" t="s">
        <v>373</v>
      </c>
      <c r="G61" s="911"/>
      <c r="H61" s="911"/>
      <c r="I61" s="911"/>
      <c r="J61" s="911"/>
      <c r="K61" s="911"/>
      <c r="L61" s="911"/>
      <c r="M61" s="911"/>
      <c r="N61" s="911"/>
      <c r="O61" s="911"/>
      <c r="P61" s="911"/>
      <c r="Q61" s="911"/>
      <c r="R61" s="911"/>
      <c r="S61" s="911"/>
      <c r="T61" s="911"/>
      <c r="U61" s="911"/>
      <c r="V61" s="911"/>
      <c r="W61" s="911"/>
      <c r="X61" s="911"/>
      <c r="Y61" s="911"/>
      <c r="Z61" s="911"/>
      <c r="AA61" s="911"/>
    </row>
    <row r="62" spans="2:30" x14ac:dyDescent="0.25">
      <c r="B62" s="132"/>
      <c r="C62" s="382" t="s">
        <v>77</v>
      </c>
      <c r="D62" s="383">
        <f>SUM(D12:G16)-400</f>
        <v>8166</v>
      </c>
      <c r="E62" s="134"/>
      <c r="F62" s="939" t="s">
        <v>304</v>
      </c>
      <c r="G62" s="940"/>
      <c r="H62" s="324">
        <f>IF(H59&gt;0,1,0)</f>
        <v>0</v>
      </c>
      <c r="I62" s="324">
        <f t="shared" ref="I62:AA62" si="9">IF(I59&gt;0,1+H62,H62)</f>
        <v>0</v>
      </c>
      <c r="J62" s="324">
        <f t="shared" si="9"/>
        <v>0</v>
      </c>
      <c r="K62" s="324">
        <f t="shared" si="9"/>
        <v>0</v>
      </c>
      <c r="L62" s="324">
        <f t="shared" si="9"/>
        <v>1</v>
      </c>
      <c r="M62" s="324">
        <f t="shared" si="9"/>
        <v>2</v>
      </c>
      <c r="N62" s="324">
        <f t="shared" si="9"/>
        <v>3</v>
      </c>
      <c r="O62" s="324">
        <f t="shared" si="9"/>
        <v>4</v>
      </c>
      <c r="P62" s="324">
        <f t="shared" si="9"/>
        <v>5</v>
      </c>
      <c r="Q62" s="324">
        <f t="shared" si="9"/>
        <v>6</v>
      </c>
      <c r="R62" s="324">
        <f t="shared" si="9"/>
        <v>7</v>
      </c>
      <c r="S62" s="324">
        <f t="shared" si="9"/>
        <v>8</v>
      </c>
      <c r="T62" s="324">
        <f t="shared" si="9"/>
        <v>9</v>
      </c>
      <c r="U62" s="324">
        <f t="shared" si="9"/>
        <v>10</v>
      </c>
      <c r="V62" s="324">
        <f t="shared" si="9"/>
        <v>11</v>
      </c>
      <c r="W62" s="324">
        <f t="shared" si="9"/>
        <v>12</v>
      </c>
      <c r="X62" s="324">
        <f t="shared" si="9"/>
        <v>13</v>
      </c>
      <c r="Y62" s="324">
        <f t="shared" si="9"/>
        <v>14</v>
      </c>
      <c r="Z62" s="324">
        <f t="shared" si="9"/>
        <v>15</v>
      </c>
      <c r="AA62" s="324">
        <f t="shared" si="9"/>
        <v>16</v>
      </c>
    </row>
    <row r="63" spans="2:30" x14ac:dyDescent="0.25">
      <c r="B63" s="132"/>
      <c r="C63" s="384" t="s">
        <v>298</v>
      </c>
      <c r="D63" s="385">
        <f>HLOOKUP(1,H62:AA63,2,TRUE)-1</f>
        <v>4</v>
      </c>
      <c r="E63" s="323"/>
      <c r="F63" s="939" t="s">
        <v>301</v>
      </c>
      <c r="G63" s="940"/>
      <c r="H63" s="324">
        <f>H9-$G$2</f>
        <v>1</v>
      </c>
      <c r="I63" s="324">
        <f t="shared" ref="I63:AA63" si="10">I9-$G$2</f>
        <v>2</v>
      </c>
      <c r="J63" s="324">
        <f t="shared" si="10"/>
        <v>3</v>
      </c>
      <c r="K63" s="324">
        <f t="shared" si="10"/>
        <v>4</v>
      </c>
      <c r="L63" s="324">
        <f t="shared" si="10"/>
        <v>5</v>
      </c>
      <c r="M63" s="324">
        <f t="shared" si="10"/>
        <v>6</v>
      </c>
      <c r="N63" s="324">
        <f t="shared" si="10"/>
        <v>7</v>
      </c>
      <c r="O63" s="324">
        <f t="shared" si="10"/>
        <v>8</v>
      </c>
      <c r="P63" s="324">
        <f t="shared" si="10"/>
        <v>9</v>
      </c>
      <c r="Q63" s="324">
        <f t="shared" si="10"/>
        <v>10</v>
      </c>
      <c r="R63" s="324">
        <f t="shared" si="10"/>
        <v>11</v>
      </c>
      <c r="S63" s="324">
        <f t="shared" si="10"/>
        <v>12</v>
      </c>
      <c r="T63" s="324">
        <f t="shared" si="10"/>
        <v>13</v>
      </c>
      <c r="U63" s="324">
        <f t="shared" si="10"/>
        <v>14</v>
      </c>
      <c r="V63" s="324">
        <f t="shared" si="10"/>
        <v>15</v>
      </c>
      <c r="W63" s="324">
        <f t="shared" si="10"/>
        <v>16</v>
      </c>
      <c r="X63" s="324">
        <f t="shared" si="10"/>
        <v>17</v>
      </c>
      <c r="Y63" s="324">
        <f t="shared" si="10"/>
        <v>18</v>
      </c>
      <c r="Z63" s="324">
        <f t="shared" si="10"/>
        <v>19</v>
      </c>
      <c r="AA63" s="324">
        <f t="shared" si="10"/>
        <v>20</v>
      </c>
    </row>
    <row r="64" spans="2:30" x14ac:dyDescent="0.25">
      <c r="B64" s="132"/>
      <c r="C64" s="386" t="s">
        <v>299</v>
      </c>
      <c r="D64" s="385">
        <f>HLOOKUP(D63,$H$63:$AA$64,2,TRUE)</f>
        <v>-303.56904782882339</v>
      </c>
      <c r="E64" s="134"/>
      <c r="F64" s="939" t="str">
        <f>C59</f>
        <v>Cumulative PV</v>
      </c>
      <c r="G64" s="940"/>
      <c r="H64" s="325">
        <f t="shared" ref="H64:AA64" si="11">H59</f>
        <v>-5217.5959247843512</v>
      </c>
      <c r="I64" s="325">
        <f t="shared" si="11"/>
        <v>-3493.67591160549</v>
      </c>
      <c r="J64" s="327">
        <f t="shared" si="11"/>
        <v>-1857.1435488642692</v>
      </c>
      <c r="K64" s="327">
        <f t="shared" si="11"/>
        <v>-303.56904782882339</v>
      </c>
      <c r="L64" s="327">
        <f t="shared" si="11"/>
        <v>1171.2528287301711</v>
      </c>
      <c r="M64" s="327">
        <f t="shared" si="11"/>
        <v>2571.3141493345629</v>
      </c>
      <c r="N64" s="327">
        <f t="shared" si="11"/>
        <v>3900.4046195857368</v>
      </c>
      <c r="O64" s="327">
        <f t="shared" si="11"/>
        <v>5162.1218401928418</v>
      </c>
      <c r="P64" s="327">
        <f t="shared" si="11"/>
        <v>6359.8810450088031</v>
      </c>
      <c r="Q64" s="327">
        <f t="shared" si="11"/>
        <v>7496.9243454331718</v>
      </c>
      <c r="R64" s="327">
        <f t="shared" si="11"/>
        <v>8576.3295062046927</v>
      </c>
      <c r="S64" s="327">
        <f t="shared" si="11"/>
        <v>9601.0182763380253</v>
      </c>
      <c r="T64" s="327">
        <f t="shared" si="11"/>
        <v>10573.764297754922</v>
      </c>
      <c r="U64" s="327">
        <f t="shared" si="11"/>
        <v>11497.200613017045</v>
      </c>
      <c r="V64" s="327">
        <f t="shared" si="11"/>
        <v>12373.82679248247</v>
      </c>
      <c r="W64" s="327">
        <f t="shared" si="11"/>
        <v>13206.015700177759</v>
      </c>
      <c r="X64" s="327">
        <f t="shared" si="11"/>
        <v>13996.019916699554</v>
      </c>
      <c r="Y64" s="327">
        <f t="shared" si="11"/>
        <v>14745.977836531303</v>
      </c>
      <c r="Z64" s="327">
        <f t="shared" si="11"/>
        <v>15457.919456279416</v>
      </c>
      <c r="AA64" s="327">
        <f t="shared" si="11"/>
        <v>16133.771869496519</v>
      </c>
    </row>
    <row r="65" spans="2:27" x14ac:dyDescent="0.25">
      <c r="C65" s="386" t="s">
        <v>300</v>
      </c>
      <c r="D65" s="385">
        <f>HLOOKUP((D63+1),$H$63:$AA$65,3,TRUE)</f>
        <v>1474.8218765589945</v>
      </c>
      <c r="F65" s="939" t="str">
        <f>C56</f>
        <v>PV</v>
      </c>
      <c r="G65" s="940"/>
      <c r="H65" s="349">
        <f t="shared" ref="H65:AA65" si="12">H56</f>
        <v>1465.610888794838</v>
      </c>
      <c r="I65" s="349">
        <f t="shared" si="12"/>
        <v>1723.9200131788614</v>
      </c>
      <c r="J65" s="327">
        <f t="shared" si="12"/>
        <v>1636.5323627412208</v>
      </c>
      <c r="K65" s="327">
        <f t="shared" si="12"/>
        <v>1553.5745010354458</v>
      </c>
      <c r="L65" s="327">
        <f>L56</f>
        <v>1474.8218765589945</v>
      </c>
      <c r="M65" s="327">
        <f t="shared" si="12"/>
        <v>1400.0613206043918</v>
      </c>
      <c r="N65" s="327">
        <f t="shared" si="12"/>
        <v>1329.0904702511739</v>
      </c>
      <c r="O65" s="327">
        <f t="shared" si="12"/>
        <v>1261.717220607105</v>
      </c>
      <c r="P65" s="327">
        <f t="shared" si="12"/>
        <v>1197.7592048159611</v>
      </c>
      <c r="Q65" s="327">
        <f t="shared" si="12"/>
        <v>1137.0433004243687</v>
      </c>
      <c r="R65" s="327">
        <f t="shared" si="12"/>
        <v>1079.4051607715205</v>
      </c>
      <c r="S65" s="327">
        <f t="shared" si="12"/>
        <v>1024.6887701333326</v>
      </c>
      <c r="T65" s="327">
        <f t="shared" si="12"/>
        <v>972.74602141689627</v>
      </c>
      <c r="U65" s="327">
        <f t="shared" si="12"/>
        <v>923.436315262123</v>
      </c>
      <c r="V65" s="327">
        <f t="shared" si="12"/>
        <v>876.62617946542548</v>
      </c>
      <c r="W65" s="327">
        <f t="shared" si="12"/>
        <v>832.18890769528889</v>
      </c>
      <c r="X65" s="327">
        <f t="shared" si="12"/>
        <v>790.004216521795</v>
      </c>
      <c r="Y65" s="327">
        <f t="shared" si="12"/>
        <v>749.9579198317499</v>
      </c>
      <c r="Z65" s="327">
        <f t="shared" si="12"/>
        <v>711.94161974811277</v>
      </c>
      <c r="AA65" s="327">
        <f t="shared" si="12"/>
        <v>675.85241321710305</v>
      </c>
    </row>
    <row r="66" spans="2:27" x14ac:dyDescent="0.25">
      <c r="C66" s="160" t="str">
        <f>CONCATENATE("Discounted Payback Period in Years is  ", ROUNDUP(D66,2))</f>
        <v>Discounted Payback Period in Years is  4.21</v>
      </c>
      <c r="D66" s="193">
        <f>D63-(D64/D65)</f>
        <v>4.2058343808522158</v>
      </c>
      <c r="F66" s="939" t="s">
        <v>302</v>
      </c>
      <c r="G66" s="940"/>
      <c r="H66" s="326">
        <f>IF(H63&gt;0,('OPERATING COSTS'!$D$1*1000+'OPERATING COSTS'!$G$1*1000+(615*'OPERATING COSTS'!$G$1))*'CASHFLOW-IRR-PAYBACK'!H10,0)</f>
        <v>538400</v>
      </c>
      <c r="I66" s="366">
        <f>IF(I63&gt;0,('OPERATING COSTS'!$D$1*1000+'OPERATING COSTS'!$G$1*1000+(615*'OPERATING COSTS'!$G$1))*'CASHFLOW-IRR-PAYBACK'!I10,0)</f>
        <v>673000</v>
      </c>
      <c r="J66" s="366">
        <f>IF(J63&gt;0,('OPERATING COSTS'!$D$1*1000+'OPERATING COSTS'!$G$1*1000+(615*'OPERATING COSTS'!$G$1))*'CASHFLOW-IRR-PAYBACK'!J10,0)</f>
        <v>673000</v>
      </c>
      <c r="K66" s="366">
        <f>IF(K63&gt;0,('OPERATING COSTS'!$D$1*1000+'OPERATING COSTS'!$G$1*1000+(615*'OPERATING COSTS'!$G$1))*'CASHFLOW-IRR-PAYBACK'!K10,0)</f>
        <v>673000</v>
      </c>
      <c r="L66" s="366">
        <f>IF(L63&gt;0,('OPERATING COSTS'!$D$1*1000+'OPERATING COSTS'!$G$1*1000+(615*'OPERATING COSTS'!$G$1))*'CASHFLOW-IRR-PAYBACK'!L10,0)</f>
        <v>673000</v>
      </c>
      <c r="M66" s="366">
        <f>IF(M63&gt;0,('OPERATING COSTS'!$D$1*1000+'OPERATING COSTS'!$G$1*1000+(615*'OPERATING COSTS'!$G$1))*'CASHFLOW-IRR-PAYBACK'!M10,0)</f>
        <v>673000</v>
      </c>
      <c r="N66" s="366">
        <f>IF(N63&gt;0,('OPERATING COSTS'!$D$1*1000+'OPERATING COSTS'!$G$1*1000+(615*'OPERATING COSTS'!$G$1))*'CASHFLOW-IRR-PAYBACK'!N10,0)</f>
        <v>673000</v>
      </c>
      <c r="O66" s="366">
        <f>IF(O63&gt;0,('OPERATING COSTS'!$D$1*1000+'OPERATING COSTS'!$G$1*1000+(615*'OPERATING COSTS'!$G$1))*'CASHFLOW-IRR-PAYBACK'!O10,0)</f>
        <v>673000</v>
      </c>
      <c r="P66" s="366">
        <f>IF(P63&gt;0,('OPERATING COSTS'!$D$1*1000+'OPERATING COSTS'!$G$1*1000+(615*'OPERATING COSTS'!$G$1))*'CASHFLOW-IRR-PAYBACK'!P10,0)</f>
        <v>673000</v>
      </c>
      <c r="Q66" s="366">
        <f>IF(Q63&gt;0,('OPERATING COSTS'!$D$1*1000+'OPERATING COSTS'!$G$1*1000+(615*'OPERATING COSTS'!$G$1))*'CASHFLOW-IRR-PAYBACK'!Q10,0)</f>
        <v>673000</v>
      </c>
      <c r="R66" s="366">
        <f>IF(R63&gt;0,('OPERATING COSTS'!$D$1*1000+'OPERATING COSTS'!$G$1*1000+(615*'OPERATING COSTS'!$G$1))*'CASHFLOW-IRR-PAYBACK'!R10,0)</f>
        <v>673000</v>
      </c>
      <c r="S66" s="366">
        <f>IF(S63&gt;0,('OPERATING COSTS'!$D$1*1000+'OPERATING COSTS'!$G$1*1000+(615*'OPERATING COSTS'!$G$1))*'CASHFLOW-IRR-PAYBACK'!S10,0)</f>
        <v>673000</v>
      </c>
      <c r="T66" s="366">
        <f>IF(T63&gt;0,('OPERATING COSTS'!$D$1*1000+'OPERATING COSTS'!$G$1*1000+(615*'OPERATING COSTS'!$G$1))*'CASHFLOW-IRR-PAYBACK'!T10,0)</f>
        <v>673000</v>
      </c>
      <c r="U66" s="366">
        <f>IF(U63&gt;0,('OPERATING COSTS'!$D$1*1000+'OPERATING COSTS'!$G$1*1000+(615*'OPERATING COSTS'!$G$1))*'CASHFLOW-IRR-PAYBACK'!U10,0)</f>
        <v>673000</v>
      </c>
      <c r="V66" s="366">
        <f>IF(V63&gt;0,('OPERATING COSTS'!$D$1*1000+'OPERATING COSTS'!$G$1*1000+(615*'OPERATING COSTS'!$G$1))*'CASHFLOW-IRR-PAYBACK'!V10,0)</f>
        <v>673000</v>
      </c>
      <c r="W66" s="366">
        <f>IF(W63&gt;0,('OPERATING COSTS'!$D$1*1000+'OPERATING COSTS'!$G$1*1000+(615*'OPERATING COSTS'!$G$1))*'CASHFLOW-IRR-PAYBACK'!W10,0)</f>
        <v>673000</v>
      </c>
      <c r="X66" s="366">
        <f>IF(X63&gt;0,('OPERATING COSTS'!$D$1*1000+'OPERATING COSTS'!$G$1*1000+(615*'OPERATING COSTS'!$G$1))*'CASHFLOW-IRR-PAYBACK'!X10,0)</f>
        <v>673000</v>
      </c>
      <c r="Y66" s="366">
        <f>IF(Y63&gt;0,('OPERATING COSTS'!$D$1*1000+'OPERATING COSTS'!$G$1*1000+(615*'OPERATING COSTS'!$G$1))*'CASHFLOW-IRR-PAYBACK'!Y10,0)</f>
        <v>673000</v>
      </c>
      <c r="Z66" s="366">
        <f>IF(Z63&gt;0,('OPERATING COSTS'!$D$1*1000+'OPERATING COSTS'!$G$1*1000+(615*'OPERATING COSTS'!$G$1))*'CASHFLOW-IRR-PAYBACK'!Z10,0)</f>
        <v>673000</v>
      </c>
      <c r="AA66" s="366">
        <f>IF(AA63&gt;0,('OPERATING COSTS'!$D$1*1000+'OPERATING COSTS'!$G$1*1000+(615*'OPERATING COSTS'!$G$1))*'CASHFLOW-IRR-PAYBACK'!AA10,0)</f>
        <v>673000</v>
      </c>
    </row>
    <row r="67" spans="2:27" x14ac:dyDescent="0.25">
      <c r="C67" s="382" t="s">
        <v>114</v>
      </c>
      <c r="D67" s="161">
        <f>IRR(D55:AA55,$D$2)</f>
        <v>0.26717997420244188</v>
      </c>
      <c r="F67" s="939" t="s">
        <v>303</v>
      </c>
      <c r="G67" s="940"/>
      <c r="H67" s="326">
        <f>IF(H66=0,"",H55*10000000/H66)</f>
        <v>40931.939415569585</v>
      </c>
      <c r="I67" s="366">
        <f t="shared" ref="I67:AA67" si="13">IF(I66=0,"",I55*10000000/I66)</f>
        <v>41790.779930846445</v>
      </c>
      <c r="J67" s="366">
        <f t="shared" si="13"/>
        <v>43044.503328771782</v>
      </c>
      <c r="K67" s="366">
        <f t="shared" si="13"/>
        <v>44335.838428634976</v>
      </c>
      <c r="L67" s="366">
        <f t="shared" si="13"/>
        <v>45665.913581494009</v>
      </c>
      <c r="M67" s="366">
        <f t="shared" si="13"/>
        <v>47035.89098893886</v>
      </c>
      <c r="N67" s="366">
        <f t="shared" si="13"/>
        <v>48446.967718607018</v>
      </c>
      <c r="O67" s="366">
        <f t="shared" si="13"/>
        <v>49900.376750165218</v>
      </c>
      <c r="P67" s="366">
        <f t="shared" si="13"/>
        <v>51397.388052670154</v>
      </c>
      <c r="Q67" s="366">
        <f t="shared" si="13"/>
        <v>52939.30969425026</v>
      </c>
      <c r="R67" s="366">
        <f t="shared" si="13"/>
        <v>54527.488985077791</v>
      </c>
      <c r="S67" s="366">
        <f t="shared" si="13"/>
        <v>56163.313654630096</v>
      </c>
      <c r="T67" s="366">
        <f t="shared" si="13"/>
        <v>57848.213064268988</v>
      </c>
      <c r="U67" s="366">
        <f t="shared" si="13"/>
        <v>59583.659456197071</v>
      </c>
      <c r="V67" s="366">
        <f t="shared" si="13"/>
        <v>61371.169239882984</v>
      </c>
      <c r="W67" s="366">
        <f t="shared" si="13"/>
        <v>63212.30431707947</v>
      </c>
      <c r="X67" s="366">
        <f t="shared" si="13"/>
        <v>65108.673446591856</v>
      </c>
      <c r="Y67" s="366">
        <f t="shared" si="13"/>
        <v>67061.933649989587</v>
      </c>
      <c r="Z67" s="366">
        <f t="shared" si="13"/>
        <v>69073.791659489289</v>
      </c>
      <c r="AA67" s="366">
        <f t="shared" si="13"/>
        <v>71146.005409274017</v>
      </c>
    </row>
    <row r="70" spans="2:27" x14ac:dyDescent="0.25">
      <c r="B70" s="132"/>
      <c r="F70" s="911" t="s">
        <v>375</v>
      </c>
      <c r="G70" s="911"/>
      <c r="H70" s="911"/>
      <c r="I70" s="911"/>
      <c r="J70" s="911"/>
      <c r="K70" s="911"/>
      <c r="L70" s="911"/>
      <c r="M70" s="911"/>
      <c r="N70" s="911"/>
      <c r="O70" s="911"/>
      <c r="P70" s="911"/>
      <c r="Q70" s="911"/>
      <c r="R70" s="911"/>
      <c r="S70" s="911"/>
      <c r="T70" s="911"/>
      <c r="U70" s="911"/>
      <c r="V70" s="911"/>
      <c r="W70" s="911"/>
      <c r="X70" s="911"/>
      <c r="Y70" s="911"/>
      <c r="Z70" s="911"/>
      <c r="AA70" s="911"/>
    </row>
    <row r="71" spans="2:27" x14ac:dyDescent="0.25">
      <c r="C71" s="382" t="s">
        <v>77</v>
      </c>
      <c r="D71" s="383">
        <f>D62</f>
        <v>8166</v>
      </c>
      <c r="F71" s="939" t="s">
        <v>304</v>
      </c>
      <c r="G71" s="940"/>
      <c r="H71" s="324">
        <f>IF(H73&gt;0,1,0)</f>
        <v>0</v>
      </c>
      <c r="I71" s="324">
        <f t="shared" ref="I71:AA71" si="14">IF(I73&gt;0,1+H71,0)</f>
        <v>0</v>
      </c>
      <c r="J71" s="324">
        <f t="shared" si="14"/>
        <v>0</v>
      </c>
      <c r="K71" s="324">
        <f t="shared" si="14"/>
        <v>1</v>
      </c>
      <c r="L71" s="324">
        <f t="shared" si="14"/>
        <v>2</v>
      </c>
      <c r="M71" s="324">
        <f t="shared" si="14"/>
        <v>3</v>
      </c>
      <c r="N71" s="324">
        <f t="shared" si="14"/>
        <v>4</v>
      </c>
      <c r="O71" s="324">
        <f t="shared" si="14"/>
        <v>5</v>
      </c>
      <c r="P71" s="324">
        <f t="shared" si="14"/>
        <v>6</v>
      </c>
      <c r="Q71" s="324">
        <f t="shared" si="14"/>
        <v>7</v>
      </c>
      <c r="R71" s="324">
        <f t="shared" si="14"/>
        <v>8</v>
      </c>
      <c r="S71" s="324">
        <f t="shared" si="14"/>
        <v>9</v>
      </c>
      <c r="T71" s="324">
        <f t="shared" si="14"/>
        <v>10</v>
      </c>
      <c r="U71" s="324">
        <f t="shared" si="14"/>
        <v>11</v>
      </c>
      <c r="V71" s="324">
        <f t="shared" si="14"/>
        <v>12</v>
      </c>
      <c r="W71" s="324">
        <f t="shared" si="14"/>
        <v>13</v>
      </c>
      <c r="X71" s="324">
        <f t="shared" si="14"/>
        <v>14</v>
      </c>
      <c r="Y71" s="324">
        <f t="shared" si="14"/>
        <v>15</v>
      </c>
      <c r="Z71" s="324">
        <f t="shared" si="14"/>
        <v>16</v>
      </c>
      <c r="AA71" s="324">
        <f t="shared" si="14"/>
        <v>17</v>
      </c>
    </row>
    <row r="72" spans="2:27" x14ac:dyDescent="0.25">
      <c r="C72" s="384" t="s">
        <v>298</v>
      </c>
      <c r="D72" s="385">
        <f>HLOOKUP(1,$H$71:$AA$72,2,TRUE)-1</f>
        <v>3</v>
      </c>
      <c r="F72" s="939" t="s">
        <v>301</v>
      </c>
      <c r="G72" s="940"/>
      <c r="H72" s="324">
        <f>H9-$G$2</f>
        <v>1</v>
      </c>
      <c r="I72" s="324">
        <f t="shared" ref="I72:AA72" si="15">I9-$G$2</f>
        <v>2</v>
      </c>
      <c r="J72" s="324">
        <f t="shared" si="15"/>
        <v>3</v>
      </c>
      <c r="K72" s="324">
        <f t="shared" si="15"/>
        <v>4</v>
      </c>
      <c r="L72" s="324">
        <f t="shared" si="15"/>
        <v>5</v>
      </c>
      <c r="M72" s="324">
        <f t="shared" si="15"/>
        <v>6</v>
      </c>
      <c r="N72" s="324">
        <f t="shared" si="15"/>
        <v>7</v>
      </c>
      <c r="O72" s="324">
        <f t="shared" si="15"/>
        <v>8</v>
      </c>
      <c r="P72" s="324">
        <f t="shared" si="15"/>
        <v>9</v>
      </c>
      <c r="Q72" s="324">
        <f t="shared" si="15"/>
        <v>10</v>
      </c>
      <c r="R72" s="324">
        <f t="shared" si="15"/>
        <v>11</v>
      </c>
      <c r="S72" s="324">
        <f t="shared" si="15"/>
        <v>12</v>
      </c>
      <c r="T72" s="324">
        <f t="shared" si="15"/>
        <v>13</v>
      </c>
      <c r="U72" s="324">
        <f t="shared" si="15"/>
        <v>14</v>
      </c>
      <c r="V72" s="324">
        <f t="shared" si="15"/>
        <v>15</v>
      </c>
      <c r="W72" s="324">
        <f t="shared" si="15"/>
        <v>16</v>
      </c>
      <c r="X72" s="324">
        <f t="shared" si="15"/>
        <v>17</v>
      </c>
      <c r="Y72" s="324">
        <f t="shared" si="15"/>
        <v>18</v>
      </c>
      <c r="Z72" s="324">
        <f t="shared" si="15"/>
        <v>19</v>
      </c>
      <c r="AA72" s="324">
        <f t="shared" si="15"/>
        <v>20</v>
      </c>
    </row>
    <row r="73" spans="2:27" x14ac:dyDescent="0.25">
      <c r="C73" s="386" t="s">
        <v>299</v>
      </c>
      <c r="D73" s="385">
        <f>HLOOKUP(D72,$H$72:$AA$73,2,TRUE)</f>
        <v>-652.80981849342652</v>
      </c>
      <c r="F73" s="939" t="s">
        <v>372</v>
      </c>
      <c r="G73" s="940"/>
      <c r="H73" s="424">
        <f>D55+E55+F55+G55+H55</f>
        <v>-6362.2243818657334</v>
      </c>
      <c r="I73" s="424">
        <f t="shared" ref="I73:AA73" si="16">H73+I55</f>
        <v>-3549.7048925197673</v>
      </c>
      <c r="J73" s="424">
        <f t="shared" si="16"/>
        <v>-652.80981849342652</v>
      </c>
      <c r="K73" s="424">
        <f t="shared" si="16"/>
        <v>2330.9921077537069</v>
      </c>
      <c r="L73" s="424">
        <f t="shared" si="16"/>
        <v>5404.3080917882535</v>
      </c>
      <c r="M73" s="424">
        <f t="shared" si="16"/>
        <v>8569.823555343839</v>
      </c>
      <c r="N73" s="424">
        <f t="shared" si="16"/>
        <v>11830.304482806092</v>
      </c>
      <c r="O73" s="424">
        <f t="shared" si="16"/>
        <v>15188.59983809221</v>
      </c>
      <c r="P73" s="424">
        <f t="shared" si="16"/>
        <v>18647.644054036911</v>
      </c>
      <c r="Q73" s="424">
        <f t="shared" si="16"/>
        <v>22210.459596459954</v>
      </c>
      <c r="R73" s="424">
        <f t="shared" si="16"/>
        <v>25880.159605155688</v>
      </c>
      <c r="S73" s="424">
        <f t="shared" si="16"/>
        <v>29659.950614112295</v>
      </c>
      <c r="T73" s="424">
        <f t="shared" si="16"/>
        <v>33553.135353337595</v>
      </c>
      <c r="U73" s="424">
        <f t="shared" si="16"/>
        <v>37563.115634739661</v>
      </c>
      <c r="V73" s="424">
        <f t="shared" si="16"/>
        <v>41693.395324583784</v>
      </c>
      <c r="W73" s="424">
        <f t="shared" si="16"/>
        <v>45947.58340512323</v>
      </c>
      <c r="X73" s="424">
        <f t="shared" si="16"/>
        <v>50329.397128078861</v>
      </c>
      <c r="Y73" s="424">
        <f t="shared" si="16"/>
        <v>54842.66526272316</v>
      </c>
      <c r="Z73" s="424">
        <f t="shared" si="16"/>
        <v>59491.331441406786</v>
      </c>
      <c r="AA73" s="424">
        <f t="shared" si="16"/>
        <v>64279.457605450931</v>
      </c>
    </row>
    <row r="74" spans="2:27" x14ac:dyDescent="0.25">
      <c r="C74" s="386" t="s">
        <v>300</v>
      </c>
      <c r="D74" s="385">
        <f>HLOOKUP((D72+1),$H$72:$AA$74,3,TRUE)</f>
        <v>2983.8019262471335</v>
      </c>
      <c r="F74" s="939" t="s">
        <v>374</v>
      </c>
      <c r="G74" s="940"/>
      <c r="H74" s="424">
        <f>H55</f>
        <v>2203.7756181342661</v>
      </c>
      <c r="I74" s="424">
        <f t="shared" ref="I74:AA74" si="17">I55</f>
        <v>2812.5194893459661</v>
      </c>
      <c r="J74" s="424">
        <f t="shared" si="17"/>
        <v>2896.8950740263408</v>
      </c>
      <c r="K74" s="424">
        <f t="shared" si="17"/>
        <v>2983.8019262471335</v>
      </c>
      <c r="L74" s="424">
        <f t="shared" si="17"/>
        <v>3073.3159840345465</v>
      </c>
      <c r="M74" s="424">
        <f t="shared" si="17"/>
        <v>3165.515463555585</v>
      </c>
      <c r="N74" s="424">
        <f t="shared" si="17"/>
        <v>3260.4809274622526</v>
      </c>
      <c r="O74" s="424">
        <f t="shared" si="17"/>
        <v>3358.295355286119</v>
      </c>
      <c r="P74" s="424">
        <f t="shared" si="17"/>
        <v>3459.0442159447016</v>
      </c>
      <c r="Q74" s="424">
        <f t="shared" si="17"/>
        <v>3562.8155424230426</v>
      </c>
      <c r="R74" s="424">
        <f t="shared" si="17"/>
        <v>3669.7000086957351</v>
      </c>
      <c r="S74" s="424">
        <f t="shared" si="17"/>
        <v>3779.7910089566058</v>
      </c>
      <c r="T74" s="424">
        <f t="shared" si="17"/>
        <v>3893.1847392253026</v>
      </c>
      <c r="U74" s="424">
        <f t="shared" si="17"/>
        <v>4009.9802814020632</v>
      </c>
      <c r="V74" s="424">
        <f t="shared" si="17"/>
        <v>4130.2796898441247</v>
      </c>
      <c r="W74" s="424">
        <f t="shared" si="17"/>
        <v>4254.1880805394485</v>
      </c>
      <c r="X74" s="424">
        <f t="shared" si="17"/>
        <v>4381.8137229556323</v>
      </c>
      <c r="Y74" s="424">
        <f t="shared" si="17"/>
        <v>4513.2681346442996</v>
      </c>
      <c r="Z74" s="424">
        <f t="shared" si="17"/>
        <v>4648.6661786836294</v>
      </c>
      <c r="AA74" s="424">
        <f t="shared" si="17"/>
        <v>4788.1261640441417</v>
      </c>
    </row>
    <row r="75" spans="2:27" x14ac:dyDescent="0.25">
      <c r="C75" s="160" t="str">
        <f>CONCATENATE("Simple Payback Period in Years is  ", ROUNDUP(D75,2))</f>
        <v>Simple Payback Period in Years is  3.22</v>
      </c>
      <c r="D75" s="193">
        <f>D72-(D73/D74)</f>
        <v>3.2187845690261669</v>
      </c>
    </row>
  </sheetData>
  <mergeCells count="28">
    <mergeCell ref="F62:G62"/>
    <mergeCell ref="F63:G63"/>
    <mergeCell ref="F64:G64"/>
    <mergeCell ref="F66:G66"/>
    <mergeCell ref="F61:AA61"/>
    <mergeCell ref="B2:C2"/>
    <mergeCell ref="C4:AA5"/>
    <mergeCell ref="B8:B9"/>
    <mergeCell ref="C8:C9"/>
    <mergeCell ref="I2:J2"/>
    <mergeCell ref="E3:F3"/>
    <mergeCell ref="E2:F2"/>
    <mergeCell ref="D15:F15"/>
    <mergeCell ref="F71:G71"/>
    <mergeCell ref="F72:G72"/>
    <mergeCell ref="F74:G74"/>
    <mergeCell ref="F70:AA70"/>
    <mergeCell ref="F73:G73"/>
    <mergeCell ref="F67:G67"/>
    <mergeCell ref="F65:G65"/>
    <mergeCell ref="B17:AA17"/>
    <mergeCell ref="B54:AA54"/>
    <mergeCell ref="C18:AA18"/>
    <mergeCell ref="C25:AA25"/>
    <mergeCell ref="C30:AA30"/>
    <mergeCell ref="C34:AA34"/>
    <mergeCell ref="C19:AA19"/>
    <mergeCell ref="C39:AA39"/>
  </mergeCells>
  <conditionalFormatting sqref="D9:AA9">
    <cfRule type="cellIs" dxfId="15" priority="11" operator="greaterThan">
      <formula>$G$2</formula>
    </cfRule>
    <cfRule type="cellIs" dxfId="14" priority="12" operator="between">
      <formula>$D$9</formula>
      <formula>$G$2</formula>
    </cfRule>
  </conditionalFormatting>
  <conditionalFormatting sqref="D8:AA8">
    <cfRule type="cellIs" dxfId="13" priority="7" operator="greaterThan">
      <formula>$G$2</formula>
    </cfRule>
    <cfRule type="cellIs" dxfId="12" priority="8" operator="between">
      <formula>1</formula>
      <formula>$G$2</formula>
    </cfRule>
  </conditionalFormatting>
  <conditionalFormatting sqref="D20:AA24 D26:AA29 D35:AA37 D44:AA50 D31:AA33">
    <cfRule type="cellIs" dxfId="11" priority="6" operator="equal">
      <formula>0</formula>
    </cfRule>
  </conditionalFormatting>
  <conditionalFormatting sqref="D40:AA40">
    <cfRule type="cellIs" dxfId="10" priority="5" operator="equal">
      <formula>0</formula>
    </cfRule>
  </conditionalFormatting>
  <conditionalFormatting sqref="D12:AA14">
    <cfRule type="cellIs" dxfId="9" priority="1" operator="notEqual">
      <formula>0</formula>
    </cfRule>
    <cfRule type="cellIs" dxfId="8" priority="2" operator="equal">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4"/>
  <sheetViews>
    <sheetView showGridLines="0" workbookViewId="0">
      <selection activeCell="H15" sqref="H15"/>
    </sheetView>
  </sheetViews>
  <sheetFormatPr defaultRowHeight="15" x14ac:dyDescent="0.25"/>
  <cols>
    <col min="1" max="1" width="12.140625" style="361" customWidth="1"/>
    <col min="2" max="2" width="12.28515625" style="361" customWidth="1"/>
    <col min="3" max="3" width="8" style="102" customWidth="1"/>
    <col min="4" max="4" width="40.140625" bestFit="1" customWidth="1"/>
    <col min="5" max="5" width="14.7109375" customWidth="1"/>
    <col min="6" max="6" width="13" customWidth="1"/>
    <col min="7" max="7" width="13.28515625" customWidth="1"/>
    <col min="8" max="8" width="15.140625" customWidth="1"/>
    <col min="9" max="9" width="15" customWidth="1"/>
    <col min="10" max="10" width="22.42578125" customWidth="1"/>
  </cols>
  <sheetData>
    <row r="1" spans="3:10" ht="15.75" thickBot="1" x14ac:dyDescent="0.3">
      <c r="C1" s="20"/>
      <c r="D1" s="21"/>
      <c r="E1" s="21"/>
      <c r="F1" s="21"/>
      <c r="G1" s="21"/>
      <c r="H1" s="21"/>
      <c r="I1" s="21"/>
      <c r="J1" s="21"/>
    </row>
    <row r="2" spans="3:10" ht="19.5" thickTop="1" thickBot="1" x14ac:dyDescent="0.3">
      <c r="C2" s="957" t="s">
        <v>99</v>
      </c>
      <c r="D2" s="958"/>
      <c r="E2" s="958"/>
      <c r="F2" s="958"/>
      <c r="G2" s="958"/>
      <c r="H2" s="958"/>
      <c r="I2" s="959"/>
    </row>
    <row r="3" spans="3:10" ht="15.75" thickTop="1" x14ac:dyDescent="0.25">
      <c r="C3" s="960" t="s">
        <v>79</v>
      </c>
      <c r="D3" s="960" t="s">
        <v>58</v>
      </c>
      <c r="E3" s="960" t="s">
        <v>80</v>
      </c>
      <c r="F3" s="963" t="s">
        <v>81</v>
      </c>
      <c r="G3" s="964"/>
      <c r="H3" s="965" t="s">
        <v>100</v>
      </c>
      <c r="I3" s="966"/>
    </row>
    <row r="4" spans="3:10" x14ac:dyDescent="0.25">
      <c r="C4" s="961"/>
      <c r="D4" s="961"/>
      <c r="E4" s="961"/>
      <c r="F4" s="967" t="s">
        <v>101</v>
      </c>
      <c r="G4" s="961" t="s">
        <v>83</v>
      </c>
      <c r="H4" s="967" t="s">
        <v>102</v>
      </c>
      <c r="I4" s="22" t="s">
        <v>85</v>
      </c>
    </row>
    <row r="5" spans="3:10" ht="58.5" customHeight="1" thickBot="1" x14ac:dyDescent="0.3">
      <c r="C5" s="962"/>
      <c r="D5" s="962"/>
      <c r="E5" s="962"/>
      <c r="F5" s="968"/>
      <c r="G5" s="962"/>
      <c r="H5" s="968"/>
      <c r="I5" s="23" t="s">
        <v>86</v>
      </c>
    </row>
    <row r="6" spans="3:10" ht="17.25" thickTop="1" thickBot="1" x14ac:dyDescent="0.3">
      <c r="C6" s="24" t="s">
        <v>60</v>
      </c>
      <c r="D6" s="25" t="s">
        <v>103</v>
      </c>
      <c r="E6" s="28"/>
      <c r="F6" s="27"/>
      <c r="G6" s="27"/>
      <c r="H6" s="28"/>
      <c r="I6" s="26"/>
      <c r="J6" s="16"/>
    </row>
    <row r="7" spans="3:10" ht="15.75" thickBot="1" x14ac:dyDescent="0.3">
      <c r="C7" s="36">
        <v>1</v>
      </c>
      <c r="D7" s="37" t="s">
        <v>105</v>
      </c>
      <c r="E7" s="38" t="s">
        <v>13</v>
      </c>
      <c r="F7" s="39"/>
      <c r="G7" s="104">
        <f>'Ethylene-Propylene COP'!BB95</f>
        <v>85083.250377777775</v>
      </c>
      <c r="H7" s="42">
        <v>350000</v>
      </c>
      <c r="I7" s="105">
        <f>H7*G7/$J$7</f>
        <v>2977.9137632222223</v>
      </c>
      <c r="J7" s="35">
        <v>10000000</v>
      </c>
    </row>
    <row r="8" spans="3:10" x14ac:dyDescent="0.25">
      <c r="C8" s="36">
        <v>2</v>
      </c>
      <c r="D8" s="37" t="s">
        <v>115</v>
      </c>
      <c r="E8" s="38" t="s">
        <v>13</v>
      </c>
      <c r="F8" s="39"/>
      <c r="G8" s="104">
        <f>'Ethylene-Propylene COP'!BB101</f>
        <v>90437.777777777781</v>
      </c>
      <c r="H8" s="42">
        <v>200000</v>
      </c>
      <c r="I8" s="44">
        <f>+H8*G8/$J$7</f>
        <v>1808.7555555555557</v>
      </c>
      <c r="J8" s="16"/>
    </row>
    <row r="9" spans="3:10" x14ac:dyDescent="0.25">
      <c r="C9" s="36">
        <v>3</v>
      </c>
      <c r="D9" s="37" t="s">
        <v>116</v>
      </c>
      <c r="E9" s="38" t="s">
        <v>13</v>
      </c>
      <c r="F9" s="39"/>
      <c r="G9" s="104">
        <f>'Ethylene-Propylene COP'!BB99</f>
        <v>66662.888888888891</v>
      </c>
      <c r="H9" s="42">
        <v>123000</v>
      </c>
      <c r="I9" s="44">
        <f t="shared" ref="I9:I14" si="0">+H9*G9/$J$7</f>
        <v>819.95353333333344</v>
      </c>
      <c r="J9" s="16"/>
    </row>
    <row r="10" spans="3:10" x14ac:dyDescent="0.25">
      <c r="C10" s="36">
        <v>4</v>
      </c>
      <c r="D10" s="37" t="s">
        <v>117</v>
      </c>
      <c r="E10" s="38" t="s">
        <v>13</v>
      </c>
      <c r="F10" s="32"/>
      <c r="G10" s="104">
        <f>'Ethylene-Propylene COP'!BB15</f>
        <v>74754.311111111107</v>
      </c>
      <c r="H10" s="42">
        <f>1000*'Products Output'!F33</f>
        <v>-257.78975000001481</v>
      </c>
      <c r="I10" s="44">
        <f t="shared" si="0"/>
        <v>-1.9270895172756661</v>
      </c>
      <c r="J10" s="16"/>
    </row>
    <row r="11" spans="3:10" x14ac:dyDescent="0.25">
      <c r="C11" s="36">
        <v>5</v>
      </c>
      <c r="D11" s="37" t="s">
        <v>118</v>
      </c>
      <c r="E11" s="38" t="s">
        <v>13</v>
      </c>
      <c r="F11" s="32"/>
      <c r="G11" s="104">
        <f>'Ethylene-Propylene COP'!BB16</f>
        <v>42831.666666666664</v>
      </c>
      <c r="H11" s="42">
        <f>1000*'Products Output'!G33</f>
        <v>902.13749999998072</v>
      </c>
      <c r="I11" s="44">
        <f t="shared" si="0"/>
        <v>3.8640052687499171</v>
      </c>
      <c r="J11" s="16"/>
    </row>
    <row r="12" spans="3:10" x14ac:dyDescent="0.25">
      <c r="C12" s="36">
        <v>6</v>
      </c>
      <c r="D12" s="37" t="s">
        <v>119</v>
      </c>
      <c r="E12" s="38" t="s">
        <v>13</v>
      </c>
      <c r="F12" s="32"/>
      <c r="G12" s="104">
        <f>'Ethylene-Propylene COP'!BB17</f>
        <v>24622.37777777778</v>
      </c>
      <c r="H12" s="42">
        <f>1000*'Products Output'!D33</f>
        <v>3540.0000000000132</v>
      </c>
      <c r="I12" s="44">
        <f t="shared" si="0"/>
        <v>8.7163217333333662</v>
      </c>
      <c r="J12" s="16"/>
    </row>
    <row r="13" spans="3:10" x14ac:dyDescent="0.25">
      <c r="C13" s="36">
        <v>7</v>
      </c>
      <c r="D13" s="37" t="s">
        <v>120</v>
      </c>
      <c r="E13" s="38" t="s">
        <v>13</v>
      </c>
      <c r="F13" s="32"/>
      <c r="G13" s="104">
        <f>'Ethylene-Propylene COP'!AW18</f>
        <v>39727.844444444447</v>
      </c>
      <c r="H13" s="42">
        <f>1000*'Products Output'!J33</f>
        <v>270.64124999999706</v>
      </c>
      <c r="I13" s="44">
        <f t="shared" si="0"/>
        <v>1.0751993480249884</v>
      </c>
      <c r="J13" s="16"/>
    </row>
    <row r="14" spans="3:10" x14ac:dyDescent="0.25">
      <c r="C14" s="36">
        <v>8</v>
      </c>
      <c r="D14" s="37" t="s">
        <v>612</v>
      </c>
      <c r="E14" s="31" t="s">
        <v>13</v>
      </c>
      <c r="F14" s="32"/>
      <c r="G14" s="104">
        <f>'Ethylene-Propylene COP'!BB125</f>
        <v>76290.20185185186</v>
      </c>
      <c r="H14" s="42">
        <f>1000*'Products Output'!B33</f>
        <v>-21279.999999999971</v>
      </c>
      <c r="I14" s="44">
        <f t="shared" si="0"/>
        <v>-162.34554954074054</v>
      </c>
      <c r="J14" s="16"/>
    </row>
    <row r="15" spans="3:10" x14ac:dyDescent="0.25">
      <c r="C15" s="36">
        <v>9</v>
      </c>
      <c r="D15" s="37" t="s">
        <v>287</v>
      </c>
      <c r="E15" s="31" t="s">
        <v>13</v>
      </c>
      <c r="F15" s="32"/>
      <c r="G15" s="104">
        <f>'Ethylene-Propylene COP'!BB147</f>
        <v>86465.759678357994</v>
      </c>
      <c r="H15" s="42">
        <f>1000*'Products Output'!C33</f>
        <v>13484.749999999964</v>
      </c>
      <c r="I15" s="44">
        <f>+H15*G15/$J$7</f>
        <v>116.59691528227349</v>
      </c>
      <c r="J15" s="16"/>
    </row>
    <row r="16" spans="3:10" x14ac:dyDescent="0.25">
      <c r="C16" s="36"/>
      <c r="D16" s="107"/>
      <c r="E16" s="31"/>
      <c r="F16" s="32"/>
      <c r="G16" s="108"/>
      <c r="H16" s="106"/>
      <c r="I16" s="109"/>
      <c r="J16" s="16"/>
    </row>
    <row r="17" spans="3:10" x14ac:dyDescent="0.25">
      <c r="C17" s="36"/>
      <c r="D17" s="107"/>
      <c r="E17" s="31"/>
      <c r="F17" s="32"/>
      <c r="G17" s="108"/>
      <c r="H17" s="106"/>
      <c r="I17" s="109"/>
      <c r="J17" s="16"/>
    </row>
    <row r="18" spans="3:10" x14ac:dyDescent="0.25">
      <c r="C18" s="36"/>
      <c r="D18" s="107"/>
      <c r="E18" s="31"/>
      <c r="F18" s="32"/>
      <c r="G18" s="108"/>
      <c r="H18" s="106"/>
      <c r="I18" s="109"/>
      <c r="J18" s="16"/>
    </row>
    <row r="19" spans="3:10" x14ac:dyDescent="0.25">
      <c r="C19" s="36"/>
      <c r="D19" s="107"/>
      <c r="E19" s="31"/>
      <c r="F19" s="32"/>
      <c r="G19" s="108"/>
      <c r="H19" s="106"/>
      <c r="I19" s="109"/>
      <c r="J19" s="16"/>
    </row>
    <row r="20" spans="3:10" ht="15.75" thickBot="1" x14ac:dyDescent="0.3">
      <c r="C20" s="110"/>
      <c r="D20" s="111"/>
      <c r="E20" s="112"/>
      <c r="F20" s="113"/>
      <c r="G20" s="113"/>
      <c r="H20" s="112"/>
      <c r="I20" s="112"/>
      <c r="J20" s="16"/>
    </row>
    <row r="21" spans="3:10" ht="19.5" thickTop="1" thickBot="1" x14ac:dyDescent="0.3">
      <c r="C21" s="114"/>
      <c r="D21" s="115" t="s">
        <v>104</v>
      </c>
      <c r="E21" s="116"/>
      <c r="F21" s="116"/>
      <c r="G21" s="117"/>
      <c r="H21" s="118"/>
      <c r="I21" s="119">
        <f>SUM(I7:I20)</f>
        <v>5572.6026546854773</v>
      </c>
    </row>
    <row r="22" spans="3:10" ht="15.75" thickTop="1" x14ac:dyDescent="0.25">
      <c r="C22" s="99"/>
      <c r="D22" s="100"/>
      <c r="E22" s="18"/>
      <c r="F22" s="18"/>
      <c r="G22" s="18"/>
      <c r="H22" s="18"/>
      <c r="I22" s="18"/>
      <c r="J22" s="18"/>
    </row>
    <row r="23" spans="3:10" x14ac:dyDescent="0.25">
      <c r="D23" s="17"/>
    </row>
    <row r="24" spans="3:10" x14ac:dyDescent="0.25">
      <c r="C24" s="19"/>
      <c r="D24" s="17"/>
    </row>
  </sheetData>
  <mergeCells count="9">
    <mergeCell ref="C2:I2"/>
    <mergeCell ref="C3:C5"/>
    <mergeCell ref="D3:D5"/>
    <mergeCell ref="E3:E5"/>
    <mergeCell ref="F3:G3"/>
    <mergeCell ref="H3:I3"/>
    <mergeCell ref="F4:F5"/>
    <mergeCell ref="G4:G5"/>
    <mergeCell ref="H4:H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J36"/>
  <sheetViews>
    <sheetView showGridLines="0" topLeftCell="A13" workbookViewId="0">
      <selection activeCell="I7" sqref="I7"/>
    </sheetView>
  </sheetViews>
  <sheetFormatPr defaultRowHeight="15" x14ac:dyDescent="0.25"/>
  <cols>
    <col min="2" max="2" width="8" style="102" customWidth="1"/>
    <col min="3" max="3" width="37.42578125" customWidth="1"/>
    <col min="4" max="4" width="14.7109375" customWidth="1"/>
    <col min="5" max="5" width="12.85546875" customWidth="1"/>
    <col min="6" max="6" width="26" bestFit="1" customWidth="1"/>
    <col min="7" max="7" width="15.140625" customWidth="1"/>
    <col min="8" max="8" width="15" customWidth="1"/>
    <col min="9" max="9" width="14" bestFit="1" customWidth="1"/>
    <col min="11" max="11" width="10.140625" bestFit="1" customWidth="1"/>
  </cols>
  <sheetData>
    <row r="1" spans="2:10" ht="24" thickBot="1" x14ac:dyDescent="0.3">
      <c r="B1" s="20"/>
      <c r="C1" s="165" t="s">
        <v>97</v>
      </c>
      <c r="D1" s="103">
        <v>350</v>
      </c>
      <c r="E1" s="103" t="s">
        <v>30</v>
      </c>
      <c r="F1" s="165" t="s">
        <v>133</v>
      </c>
      <c r="G1" s="103">
        <v>200</v>
      </c>
      <c r="H1" s="103" t="s">
        <v>30</v>
      </c>
      <c r="I1" s="21"/>
      <c r="J1" s="21"/>
    </row>
    <row r="2" spans="2:10" ht="19.5" thickTop="1" thickBot="1" x14ac:dyDescent="0.3">
      <c r="B2" s="957" t="s">
        <v>78</v>
      </c>
      <c r="C2" s="958"/>
      <c r="D2" s="958"/>
      <c r="E2" s="958"/>
      <c r="F2" s="958"/>
      <c r="G2" s="958"/>
      <c r="H2" s="959"/>
    </row>
    <row r="3" spans="2:10" ht="15.75" thickTop="1" x14ac:dyDescent="0.25">
      <c r="B3" s="960" t="s">
        <v>79</v>
      </c>
      <c r="C3" s="960" t="s">
        <v>58</v>
      </c>
      <c r="D3" s="960" t="s">
        <v>80</v>
      </c>
      <c r="E3" s="963" t="s">
        <v>81</v>
      </c>
      <c r="F3" s="964"/>
      <c r="G3" s="965" t="s">
        <v>82</v>
      </c>
      <c r="H3" s="966"/>
    </row>
    <row r="4" spans="2:10" x14ac:dyDescent="0.25">
      <c r="B4" s="961"/>
      <c r="C4" s="961"/>
      <c r="D4" s="961"/>
      <c r="E4" s="969" t="s">
        <v>98</v>
      </c>
      <c r="F4" s="961" t="s">
        <v>83</v>
      </c>
      <c r="G4" s="967" t="s">
        <v>84</v>
      </c>
      <c r="H4" s="22" t="s">
        <v>85</v>
      </c>
    </row>
    <row r="5" spans="2:10" ht="58.5" customHeight="1" thickBot="1" x14ac:dyDescent="0.3">
      <c r="B5" s="962"/>
      <c r="C5" s="962"/>
      <c r="D5" s="962"/>
      <c r="E5" s="968"/>
      <c r="F5" s="962"/>
      <c r="G5" s="968"/>
      <c r="H5" s="23" t="s">
        <v>86</v>
      </c>
    </row>
    <row r="6" spans="2:10" ht="17.25" thickTop="1" thickBot="1" x14ac:dyDescent="0.3">
      <c r="B6" s="24" t="s">
        <v>60</v>
      </c>
      <c r="C6" s="25" t="s">
        <v>87</v>
      </c>
      <c r="D6" s="26"/>
      <c r="E6" s="27"/>
      <c r="F6" s="27"/>
      <c r="G6" s="28"/>
      <c r="H6" s="26"/>
      <c r="I6" s="16"/>
      <c r="J6" s="16"/>
    </row>
    <row r="7" spans="2:10" ht="15.75" thickBot="1" x14ac:dyDescent="0.3">
      <c r="B7" s="29">
        <v>1</v>
      </c>
      <c r="C7" s="30" t="s">
        <v>88</v>
      </c>
      <c r="D7" s="31"/>
      <c r="E7" s="32"/>
      <c r="F7" s="32"/>
      <c r="G7" s="33"/>
      <c r="H7" s="34"/>
      <c r="I7" s="35">
        <v>10000000</v>
      </c>
      <c r="J7" s="16"/>
    </row>
    <row r="8" spans="2:10" x14ac:dyDescent="0.25">
      <c r="B8" s="36">
        <v>1.1000000000000001</v>
      </c>
      <c r="C8" s="37" t="s">
        <v>149</v>
      </c>
      <c r="D8" s="38" t="s">
        <v>13</v>
      </c>
      <c r="E8" s="39">
        <f>'Ethylene-Propylene COP'!BB113</f>
        <v>42932.877729713808</v>
      </c>
      <c r="F8" s="40">
        <f>E8</f>
        <v>42932.877729713808</v>
      </c>
      <c r="G8" s="41">
        <f>0.448*$D$1*1000</f>
        <v>156800</v>
      </c>
      <c r="H8" s="197">
        <f>+F8*G8/$I$7</f>
        <v>673.18752280191245</v>
      </c>
      <c r="I8" s="16"/>
      <c r="J8" s="16"/>
    </row>
    <row r="9" spans="2:10" x14ac:dyDescent="0.25">
      <c r="B9" s="36">
        <v>1.2</v>
      </c>
      <c r="C9" s="37" t="s">
        <v>12</v>
      </c>
      <c r="D9" s="38" t="s">
        <v>13</v>
      </c>
      <c r="E9" s="39">
        <v>5000</v>
      </c>
      <c r="F9" s="40">
        <f>E9</f>
        <v>5000</v>
      </c>
      <c r="G9" s="42">
        <f>0.59*$D$1*1000</f>
        <v>206500</v>
      </c>
      <c r="H9" s="197">
        <f>+F9*G9/$I$7</f>
        <v>103.25</v>
      </c>
      <c r="I9" s="16"/>
      <c r="J9" s="16"/>
    </row>
    <row r="10" spans="2:10" x14ac:dyDescent="0.25">
      <c r="B10" s="36">
        <v>1.3</v>
      </c>
      <c r="C10" s="37" t="s">
        <v>147</v>
      </c>
      <c r="D10" s="38" t="s">
        <v>13</v>
      </c>
      <c r="E10" s="39">
        <f>'Ethylene-Propylene COP'!AZ14</f>
        <v>50478.533333333333</v>
      </c>
      <c r="F10" s="177">
        <f>E10</f>
        <v>50478.533333333333</v>
      </c>
      <c r="G10" s="41">
        <f>G1*0.87*1000</f>
        <v>174000</v>
      </c>
      <c r="H10" s="197">
        <f>+F10*G10/$I$7</f>
        <v>878.32647999999995</v>
      </c>
      <c r="I10" s="16"/>
      <c r="J10" s="16"/>
    </row>
    <row r="11" spans="2:10" x14ac:dyDescent="0.25">
      <c r="B11" s="36">
        <v>1.4</v>
      </c>
      <c r="C11" s="37" t="s">
        <v>148</v>
      </c>
      <c r="D11" s="38" t="s">
        <v>13</v>
      </c>
      <c r="E11" s="38">
        <f>'Ethylene-Propylene COP'!BB114</f>
        <v>51269.249344457094</v>
      </c>
      <c r="F11" s="39">
        <f>E11</f>
        <v>51269.249344457094</v>
      </c>
      <c r="G11" s="41">
        <f>0.47*G1*1000</f>
        <v>94000</v>
      </c>
      <c r="H11" s="197">
        <f>+F11*G11/$I$7</f>
        <v>481.93094383789662</v>
      </c>
      <c r="I11" s="16"/>
      <c r="J11" s="16"/>
    </row>
    <row r="12" spans="2:10" x14ac:dyDescent="0.25">
      <c r="B12" s="36">
        <v>1.5</v>
      </c>
      <c r="C12" s="37" t="s">
        <v>154</v>
      </c>
      <c r="D12" s="38" t="s">
        <v>13</v>
      </c>
      <c r="E12" s="43">
        <f>'Prices and COP model'!AW50*1000/1.25</f>
        <v>2158.9333333333329</v>
      </c>
      <c r="F12" s="39">
        <f>E12</f>
        <v>2158.9333333333329</v>
      </c>
      <c r="G12" s="41">
        <f>0.14*D1*1000</f>
        <v>49000.000000000007</v>
      </c>
      <c r="H12" s="197">
        <f>+F12*G12/$I$7</f>
        <v>10.578773333333332</v>
      </c>
      <c r="I12" s="16"/>
      <c r="J12" s="16"/>
    </row>
    <row r="13" spans="2:10" ht="15.75" thickBot="1" x14ac:dyDescent="0.3">
      <c r="B13" s="45"/>
      <c r="C13" s="46" t="s">
        <v>89</v>
      </c>
      <c r="D13" s="47"/>
      <c r="E13" s="48"/>
      <c r="F13" s="48"/>
      <c r="G13" s="49"/>
      <c r="H13" s="198">
        <f>SUM(H8:H12)</f>
        <v>2147.2737199731423</v>
      </c>
      <c r="I13" s="16"/>
      <c r="J13" s="16"/>
    </row>
    <row r="14" spans="2:10" x14ac:dyDescent="0.25">
      <c r="B14" s="50">
        <v>2</v>
      </c>
      <c r="C14" s="51" t="s">
        <v>90</v>
      </c>
      <c r="D14" s="52"/>
      <c r="E14" s="53"/>
      <c r="F14" s="53"/>
      <c r="G14" s="52"/>
      <c r="H14" s="54"/>
      <c r="I14" s="16"/>
      <c r="J14" s="16"/>
    </row>
    <row r="15" spans="2:10" x14ac:dyDescent="0.25">
      <c r="B15" s="36">
        <v>2.1</v>
      </c>
      <c r="C15" s="37" t="s">
        <v>123</v>
      </c>
      <c r="D15" s="38" t="s">
        <v>91</v>
      </c>
      <c r="E15" s="39"/>
      <c r="F15" s="40">
        <f>'Prices and COP model'!AW47</f>
        <v>6.0197072336418813</v>
      </c>
      <c r="G15" s="42">
        <f>270*D1*1000</f>
        <v>94500000</v>
      </c>
      <c r="H15" s="44">
        <f>F15*G15/$I$7</f>
        <v>56.886233357915785</v>
      </c>
      <c r="I15" s="16"/>
      <c r="J15" s="16"/>
    </row>
    <row r="16" spans="2:10" x14ac:dyDescent="0.25">
      <c r="B16" s="36">
        <v>2.2000000000000002</v>
      </c>
      <c r="C16" s="37" t="s">
        <v>124</v>
      </c>
      <c r="D16" s="38" t="s">
        <v>13</v>
      </c>
      <c r="E16" s="55"/>
      <c r="F16" s="55">
        <f>'Prices and COP model'!AW48</f>
        <v>2365.8008396414175</v>
      </c>
      <c r="G16" s="42">
        <f>1.6*$D$1*1000</f>
        <v>560000</v>
      </c>
      <c r="H16" s="44">
        <f>+F16*G16/$I$7</f>
        <v>132.48484701991939</v>
      </c>
      <c r="I16" s="181"/>
      <c r="J16" s="16"/>
    </row>
    <row r="17" spans="2:10" x14ac:dyDescent="0.25">
      <c r="B17" s="36">
        <v>2.2999999999999998</v>
      </c>
      <c r="C17" s="37" t="s">
        <v>125</v>
      </c>
      <c r="D17" s="38"/>
      <c r="E17" s="39"/>
      <c r="F17" s="39">
        <v>8400</v>
      </c>
      <c r="G17" s="42">
        <v>200000</v>
      </c>
      <c r="H17" s="44">
        <f>+F17*G17/$I$7</f>
        <v>168</v>
      </c>
      <c r="I17" s="16"/>
      <c r="J17" s="16"/>
    </row>
    <row r="18" spans="2:10" x14ac:dyDescent="0.25">
      <c r="B18" s="36">
        <v>2.5</v>
      </c>
      <c r="C18" s="37" t="s">
        <v>153</v>
      </c>
      <c r="D18" s="38" t="s">
        <v>14</v>
      </c>
      <c r="E18" s="55"/>
      <c r="F18" s="56">
        <f>'Prices and COP model'!AW49</f>
        <v>76.634888888888895</v>
      </c>
      <c r="G18" s="42">
        <f>1.5*$D$1*1000</f>
        <v>525000</v>
      </c>
      <c r="H18" s="44">
        <f>+F18*G18/$I$7</f>
        <v>4.0233316666666674</v>
      </c>
      <c r="I18" s="16"/>
      <c r="J18" s="16"/>
    </row>
    <row r="19" spans="2:10" x14ac:dyDescent="0.25">
      <c r="B19" s="57"/>
      <c r="C19" s="58"/>
      <c r="D19" s="59"/>
      <c r="E19" s="60"/>
      <c r="F19" s="60"/>
      <c r="G19" s="59"/>
      <c r="H19" s="61"/>
      <c r="I19" s="16"/>
      <c r="J19" s="16"/>
    </row>
    <row r="20" spans="2:10" ht="15.75" thickBot="1" x14ac:dyDescent="0.3">
      <c r="B20" s="45"/>
      <c r="C20" s="46" t="s">
        <v>92</v>
      </c>
      <c r="D20" s="47"/>
      <c r="E20" s="48"/>
      <c r="F20" s="48"/>
      <c r="G20" s="47"/>
      <c r="H20" s="198">
        <f>SUM(H15:H19)</f>
        <v>361.39441204450179</v>
      </c>
      <c r="I20" s="16"/>
      <c r="J20" s="16"/>
    </row>
    <row r="21" spans="2:10" x14ac:dyDescent="0.25">
      <c r="B21" s="36">
        <v>3</v>
      </c>
      <c r="C21" s="163" t="s">
        <v>131</v>
      </c>
      <c r="D21" s="38"/>
      <c r="E21" s="80"/>
      <c r="F21" s="80"/>
      <c r="G21" s="81"/>
      <c r="H21" s="82"/>
      <c r="I21" s="16"/>
      <c r="J21" s="16"/>
    </row>
    <row r="22" spans="2:10" x14ac:dyDescent="0.25">
      <c r="B22" s="36">
        <v>3.1</v>
      </c>
      <c r="C22" s="164" t="s">
        <v>129</v>
      </c>
      <c r="D22" s="38" t="s">
        <v>13</v>
      </c>
      <c r="E22" s="80">
        <f>0.55*1000</f>
        <v>550</v>
      </c>
      <c r="F22" s="80">
        <f>E22</f>
        <v>550</v>
      </c>
      <c r="G22" s="81">
        <f>D1*1000</f>
        <v>350000</v>
      </c>
      <c r="H22" s="199">
        <f>F22*G22/$I$7</f>
        <v>19.25</v>
      </c>
      <c r="I22" s="16"/>
      <c r="J22" s="16"/>
    </row>
    <row r="23" spans="2:10" x14ac:dyDescent="0.25">
      <c r="B23" s="36">
        <v>3.2</v>
      </c>
      <c r="C23" s="164" t="s">
        <v>127</v>
      </c>
      <c r="D23" s="38" t="s">
        <v>13</v>
      </c>
      <c r="E23" s="80">
        <v>750</v>
      </c>
      <c r="F23" s="80">
        <f>E23</f>
        <v>750</v>
      </c>
      <c r="G23" s="81">
        <f>G1*1000</f>
        <v>200000</v>
      </c>
      <c r="H23" s="199">
        <f>F23*G23/$I$7</f>
        <v>15</v>
      </c>
      <c r="I23" s="16"/>
      <c r="J23" s="16"/>
    </row>
    <row r="24" spans="2:10" s="361" customFormat="1" x14ac:dyDescent="0.25">
      <c r="B24" s="57">
        <v>3.3</v>
      </c>
      <c r="C24" s="377" t="s">
        <v>347</v>
      </c>
      <c r="D24" s="378" t="s">
        <v>13</v>
      </c>
      <c r="E24" s="379"/>
      <c r="F24" s="379">
        <v>24000</v>
      </c>
      <c r="G24" s="380"/>
      <c r="H24" s="381">
        <f>0.01*$G$1*1000*F24/I7</f>
        <v>4.8</v>
      </c>
      <c r="I24" s="16"/>
      <c r="J24" s="16"/>
    </row>
    <row r="25" spans="2:10" ht="15.75" thickBot="1" x14ac:dyDescent="0.3">
      <c r="B25" s="62"/>
      <c r="C25" s="63" t="s">
        <v>93</v>
      </c>
      <c r="D25" s="64"/>
      <c r="E25" s="65"/>
      <c r="F25" s="66"/>
      <c r="G25" s="67"/>
      <c r="H25" s="68">
        <f>SUM(H22:H24)</f>
        <v>39.049999999999997</v>
      </c>
      <c r="I25" s="16"/>
      <c r="J25" s="16"/>
    </row>
    <row r="26" spans="2:10" ht="15.75" thickBot="1" x14ac:dyDescent="0.3">
      <c r="B26" s="50"/>
      <c r="C26" s="51"/>
      <c r="D26" s="69"/>
      <c r="E26" s="70"/>
      <c r="F26" s="71"/>
      <c r="G26" s="72"/>
      <c r="H26" s="656">
        <f>H13+H20+H25</f>
        <v>2547.7181320176442</v>
      </c>
      <c r="I26" s="16"/>
      <c r="J26" s="16"/>
    </row>
    <row r="27" spans="2:10" ht="15.75" x14ac:dyDescent="0.25">
      <c r="B27" s="73" t="s">
        <v>70</v>
      </c>
      <c r="C27" s="74" t="s">
        <v>94</v>
      </c>
      <c r="D27" s="75"/>
      <c r="E27" s="76"/>
      <c r="F27" s="76"/>
      <c r="G27" s="75"/>
      <c r="H27" s="77"/>
      <c r="I27" s="16"/>
      <c r="J27" s="16"/>
    </row>
    <row r="28" spans="2:10" x14ac:dyDescent="0.25">
      <c r="B28" s="78">
        <v>1</v>
      </c>
      <c r="C28" s="79" t="s">
        <v>128</v>
      </c>
      <c r="D28" s="38" t="s">
        <v>336</v>
      </c>
      <c r="E28" s="80"/>
      <c r="F28" s="80"/>
      <c r="G28" s="81">
        <f>0.015*SUM('CASHFLOW-IRR-PAYBACK'!D12:G12)</f>
        <v>58.5</v>
      </c>
      <c r="H28" s="199">
        <f>+G28</f>
        <v>58.5</v>
      </c>
      <c r="I28" s="16"/>
      <c r="J28" s="16"/>
    </row>
    <row r="29" spans="2:10" x14ac:dyDescent="0.25">
      <c r="B29" s="83">
        <v>2</v>
      </c>
      <c r="C29" s="79" t="s">
        <v>155</v>
      </c>
      <c r="D29" s="38" t="s">
        <v>336</v>
      </c>
      <c r="E29" s="80"/>
      <c r="F29" s="80"/>
      <c r="G29" s="81">
        <f>0.015*SUM('CASHFLOW-IRR-PAYBACK'!D13:G13)</f>
        <v>24.75</v>
      </c>
      <c r="H29" s="199">
        <f>+G29</f>
        <v>24.75</v>
      </c>
      <c r="I29" s="16"/>
      <c r="J29" s="16"/>
    </row>
    <row r="30" spans="2:10" x14ac:dyDescent="0.25">
      <c r="B30" s="78">
        <v>3</v>
      </c>
      <c r="C30" s="79" t="s">
        <v>163</v>
      </c>
      <c r="D30" s="38" t="s">
        <v>336</v>
      </c>
      <c r="E30" s="80"/>
      <c r="F30" s="80"/>
      <c r="G30" s="81">
        <f>0.015*SUM('CASHFLOW-IRR-PAYBACK'!D14:G14)</f>
        <v>35.49</v>
      </c>
      <c r="H30" s="199">
        <f>+G30</f>
        <v>35.49</v>
      </c>
      <c r="I30" s="16"/>
      <c r="J30" s="16"/>
    </row>
    <row r="31" spans="2:10" ht="15.75" thickBot="1" x14ac:dyDescent="0.3">
      <c r="B31" s="84"/>
      <c r="C31" s="63" t="s">
        <v>95</v>
      </c>
      <c r="D31" s="67"/>
      <c r="E31" s="85"/>
      <c r="F31" s="85"/>
      <c r="G31" s="67"/>
      <c r="H31" s="200">
        <f>SUM(H28:H30)</f>
        <v>118.74000000000001</v>
      </c>
      <c r="I31" s="16"/>
      <c r="J31" s="16"/>
    </row>
    <row r="32" spans="2:10" ht="15.75" thickBot="1" x14ac:dyDescent="0.3">
      <c r="B32" s="86"/>
      <c r="C32" s="87"/>
      <c r="D32" s="88"/>
      <c r="E32" s="89"/>
      <c r="F32" s="90"/>
      <c r="G32" s="91"/>
      <c r="H32" s="92"/>
      <c r="I32" s="16"/>
      <c r="J32" s="16"/>
    </row>
    <row r="33" spans="2:10" ht="16.5" thickTop="1" thickBot="1" x14ac:dyDescent="0.3">
      <c r="B33" s="93"/>
      <c r="C33" s="94" t="s">
        <v>96</v>
      </c>
      <c r="D33" s="95"/>
      <c r="E33" s="96"/>
      <c r="F33" s="97"/>
      <c r="G33" s="98"/>
      <c r="H33" s="201">
        <f>+H26+H31</f>
        <v>2666.4581320176439</v>
      </c>
    </row>
    <row r="34" spans="2:10" ht="15.75" thickTop="1" x14ac:dyDescent="0.25">
      <c r="B34" s="99"/>
      <c r="C34" s="100"/>
      <c r="D34" s="18"/>
      <c r="E34" s="18"/>
      <c r="F34" s="18"/>
      <c r="G34" s="18"/>
      <c r="H34" s="18"/>
      <c r="I34" s="18"/>
      <c r="J34" s="18"/>
    </row>
    <row r="35" spans="2:10" x14ac:dyDescent="0.25">
      <c r="B35" s="101"/>
      <c r="C35" s="19"/>
    </row>
    <row r="36" spans="2:10" x14ac:dyDescent="0.25">
      <c r="B36" s="101"/>
      <c r="C36" s="19"/>
    </row>
  </sheetData>
  <mergeCells count="9">
    <mergeCell ref="B2:H2"/>
    <mergeCell ref="B3:B5"/>
    <mergeCell ref="C3:C5"/>
    <mergeCell ref="D3:D5"/>
    <mergeCell ref="E3:F3"/>
    <mergeCell ref="G3:H3"/>
    <mergeCell ref="E4:E5"/>
    <mergeCell ref="F4:F5"/>
    <mergeCell ref="G4:G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G155"/>
  <sheetViews>
    <sheetView showGridLines="0" topLeftCell="AI116" zoomScale="96" zoomScaleNormal="96" workbookViewId="0">
      <selection activeCell="AR152" sqref="AR152"/>
    </sheetView>
  </sheetViews>
  <sheetFormatPr defaultRowHeight="15" x14ac:dyDescent="0.25"/>
  <cols>
    <col min="1" max="2" width="9.140625" style="361"/>
    <col min="3" max="3" width="70" style="361" bestFit="1" customWidth="1"/>
    <col min="4" max="4" width="18.28515625" style="361" bestFit="1" customWidth="1"/>
    <col min="5" max="48" width="14.85546875" style="361" bestFit="1" customWidth="1"/>
    <col min="49" max="49" width="17.140625" style="361" bestFit="1" customWidth="1"/>
    <col min="50" max="50" width="9.140625" style="361"/>
    <col min="51" max="51" width="70" style="367" bestFit="1" customWidth="1"/>
    <col min="52" max="52" width="19.28515625" style="361" bestFit="1" customWidth="1"/>
    <col min="53" max="53" width="2.140625" style="361" customWidth="1"/>
    <col min="54" max="54" width="18.28515625" style="361" bestFit="1" customWidth="1"/>
    <col min="55" max="55" width="2.140625" style="361" customWidth="1"/>
    <col min="56" max="56" width="18.28515625" style="361" bestFit="1" customWidth="1"/>
    <col min="57" max="57" width="15.42578125" style="361" bestFit="1" customWidth="1"/>
    <col min="58" max="16384" width="9.140625" style="361"/>
  </cols>
  <sheetData>
    <row r="1" spans="3:59" x14ac:dyDescent="0.25">
      <c r="C1" s="6" t="s">
        <v>295</v>
      </c>
      <c r="D1" s="408" t="s">
        <v>356</v>
      </c>
      <c r="E1" s="408" t="s">
        <v>357</v>
      </c>
      <c r="F1" s="408" t="s">
        <v>358</v>
      </c>
      <c r="G1" s="408" t="s">
        <v>221</v>
      </c>
    </row>
    <row r="2" spans="3:59" x14ac:dyDescent="0.25">
      <c r="C2" s="6" t="s">
        <v>354</v>
      </c>
      <c r="D2" s="6">
        <f>'DFCU Yields as per PwC'!B32</f>
        <v>0.98795180722891562</v>
      </c>
      <c r="E2" s="6">
        <f>'DFCU Yields as per PwC'!C32</f>
        <v>0.65714285714285725</v>
      </c>
      <c r="F2" s="6">
        <f>'DFCU Yields as per PwC'!D32</f>
        <v>0.57894736842105254</v>
      </c>
      <c r="G2" s="6">
        <f>'DFCU Yields as per PwC'!E32</f>
        <v>0.62378167641325533</v>
      </c>
    </row>
    <row r="3" spans="3:59" x14ac:dyDescent="0.25">
      <c r="C3" s="6" t="s">
        <v>355</v>
      </c>
      <c r="D3" s="6">
        <f>'DFCU Yields as per PwC'!B33</f>
        <v>1.2048192771084376E-2</v>
      </c>
      <c r="E3" s="6">
        <f>'DFCU Yields as per PwC'!C33</f>
        <v>0.34285714285714275</v>
      </c>
      <c r="F3" s="6">
        <f>'DFCU Yields as per PwC'!D33</f>
        <v>0.42105263157894746</v>
      </c>
      <c r="G3" s="6">
        <f>'DFCU Yields as per PwC'!E33</f>
        <v>0.37621832358674467</v>
      </c>
    </row>
    <row r="4" spans="3:59" x14ac:dyDescent="0.25">
      <c r="C4" s="6"/>
      <c r="D4" s="8">
        <v>52.32</v>
      </c>
      <c r="E4" s="6"/>
      <c r="F4" s="6"/>
      <c r="G4" s="6"/>
    </row>
    <row r="5" spans="3:59" x14ac:dyDescent="0.25">
      <c r="C5" s="623" t="s">
        <v>348</v>
      </c>
      <c r="D5" s="392">
        <v>43101</v>
      </c>
      <c r="E5" s="392">
        <v>43132</v>
      </c>
      <c r="F5" s="392">
        <v>43160</v>
      </c>
      <c r="G5" s="392">
        <v>43191</v>
      </c>
      <c r="H5" s="392">
        <v>43221</v>
      </c>
      <c r="I5" s="392">
        <v>43252</v>
      </c>
      <c r="J5" s="392">
        <v>43282</v>
      </c>
      <c r="K5" s="392">
        <v>43313</v>
      </c>
      <c r="L5" s="392">
        <v>43344</v>
      </c>
      <c r="M5" s="392">
        <v>43374</v>
      </c>
      <c r="N5" s="392">
        <v>43405</v>
      </c>
      <c r="O5" s="392">
        <v>43435</v>
      </c>
      <c r="P5" s="392">
        <v>43466</v>
      </c>
      <c r="Q5" s="392">
        <v>43497</v>
      </c>
      <c r="R5" s="392">
        <v>43525</v>
      </c>
      <c r="S5" s="392">
        <v>43556</v>
      </c>
      <c r="T5" s="392">
        <v>43586</v>
      </c>
      <c r="U5" s="392">
        <v>43617</v>
      </c>
      <c r="V5" s="392">
        <v>43647</v>
      </c>
      <c r="W5" s="392">
        <v>43678</v>
      </c>
      <c r="X5" s="392">
        <v>43709</v>
      </c>
      <c r="Y5" s="392">
        <v>43739</v>
      </c>
      <c r="Z5" s="392">
        <v>43770</v>
      </c>
      <c r="AA5" s="392">
        <v>43800</v>
      </c>
      <c r="AB5" s="392">
        <v>43831</v>
      </c>
      <c r="AC5" s="392">
        <v>43862</v>
      </c>
      <c r="AD5" s="392">
        <v>43891</v>
      </c>
      <c r="AE5" s="392">
        <v>43922</v>
      </c>
      <c r="AF5" s="392">
        <v>43952</v>
      </c>
      <c r="AG5" s="392">
        <v>43983</v>
      </c>
      <c r="AH5" s="392">
        <v>44013</v>
      </c>
      <c r="AI5" s="392">
        <v>44044</v>
      </c>
      <c r="AJ5" s="392">
        <v>44075</v>
      </c>
      <c r="AK5" s="392">
        <v>44105</v>
      </c>
      <c r="AL5" s="392">
        <v>44136</v>
      </c>
      <c r="AM5" s="392">
        <v>44166</v>
      </c>
      <c r="AN5" s="392">
        <v>44197</v>
      </c>
      <c r="AO5" s="392">
        <v>44228</v>
      </c>
      <c r="AP5" s="392">
        <v>44256</v>
      </c>
      <c r="AQ5" s="392">
        <v>44287</v>
      </c>
      <c r="AR5" s="392">
        <v>44317</v>
      </c>
      <c r="AS5" s="392">
        <v>44348</v>
      </c>
      <c r="AT5" s="392">
        <v>44378</v>
      </c>
      <c r="AU5" s="392">
        <v>44409</v>
      </c>
      <c r="AV5" s="392">
        <v>44440</v>
      </c>
      <c r="AW5" s="389" t="s">
        <v>145</v>
      </c>
      <c r="AY5" s="365" t="str">
        <f t="shared" ref="AY5:AY11" si="0">C5</f>
        <v>FEED PRICES</v>
      </c>
      <c r="AZ5" s="633" t="s">
        <v>608</v>
      </c>
      <c r="BA5" s="970"/>
      <c r="BB5" s="650" t="s">
        <v>609</v>
      </c>
      <c r="BC5" s="970"/>
      <c r="BD5" s="650" t="s">
        <v>611</v>
      </c>
    </row>
    <row r="6" spans="3:59" x14ac:dyDescent="0.25">
      <c r="C6" s="390" t="s">
        <v>515</v>
      </c>
      <c r="D6" s="216">
        <v>588.71747803983283</v>
      </c>
      <c r="E6" s="216">
        <v>590.5166939044143</v>
      </c>
      <c r="F6" s="216">
        <v>697.78287680121571</v>
      </c>
      <c r="G6" s="216">
        <v>681.42454890166846</v>
      </c>
      <c r="H6" s="216">
        <v>532.3526503234558</v>
      </c>
      <c r="I6" s="216">
        <v>730.85571449593704</v>
      </c>
      <c r="J6" s="216">
        <v>820.83952969259474</v>
      </c>
      <c r="K6" s="216">
        <v>848.76389635213764</v>
      </c>
      <c r="L6" s="216">
        <v>855.08139761372263</v>
      </c>
      <c r="M6" s="216">
        <v>527.8315687615243</v>
      </c>
      <c r="N6" s="216">
        <v>471.73000011868834</v>
      </c>
      <c r="O6" s="216">
        <v>472.32823204179397</v>
      </c>
      <c r="P6" s="216">
        <v>485.42626573181502</v>
      </c>
      <c r="Q6" s="216">
        <v>473.45156542531328</v>
      </c>
      <c r="R6" s="216">
        <v>474.77449331991664</v>
      </c>
      <c r="S6" s="216">
        <v>500.52275091136357</v>
      </c>
      <c r="T6" s="216">
        <v>498.62795398097768</v>
      </c>
      <c r="U6" s="216">
        <v>504.14172973696628</v>
      </c>
      <c r="V6" s="216">
        <v>508.72936665809738</v>
      </c>
      <c r="W6" s="216">
        <v>523.61636871898418</v>
      </c>
      <c r="X6" s="216">
        <v>500.36000004283744</v>
      </c>
      <c r="Y6" s="216">
        <v>466.0347425271932</v>
      </c>
      <c r="Z6" s="216">
        <v>465.93751661043797</v>
      </c>
      <c r="AA6" s="216">
        <v>473.43695153748098</v>
      </c>
      <c r="AB6" s="216">
        <v>485.07790171480923</v>
      </c>
      <c r="AC6" s="216">
        <v>491.94148646081072</v>
      </c>
      <c r="AD6" s="216">
        <v>478.00000032326852</v>
      </c>
      <c r="AE6" s="216">
        <v>419.17000060293611</v>
      </c>
      <c r="AF6" s="216">
        <v>424.15999967242971</v>
      </c>
      <c r="AG6" s="216">
        <v>433.9918654607971</v>
      </c>
      <c r="AH6" s="216">
        <v>422.8099998265464</v>
      </c>
      <c r="AI6" s="216">
        <v>431.71774172522294</v>
      </c>
      <c r="AJ6" s="216">
        <v>446.67492597593485</v>
      </c>
      <c r="AK6" s="216">
        <v>387.22429350629227</v>
      </c>
      <c r="AL6" s="216">
        <v>373.93378285309001</v>
      </c>
      <c r="AM6" s="216">
        <v>398.59872219785996</v>
      </c>
      <c r="AN6" s="216">
        <v>382.97957857159861</v>
      </c>
      <c r="AO6" s="216">
        <v>394.25686870691135</v>
      </c>
      <c r="AP6" s="216">
        <v>397.41889127123829</v>
      </c>
      <c r="AQ6" s="216">
        <v>389.46177620250131</v>
      </c>
      <c r="AR6" s="216">
        <v>394.68561667610368</v>
      </c>
      <c r="AS6" s="216">
        <v>392.87951437789502</v>
      </c>
      <c r="AT6" s="216">
        <v>397.67757430152795</v>
      </c>
      <c r="AU6" s="216">
        <v>383.1864303433241</v>
      </c>
      <c r="AV6" s="216">
        <v>384.75592293798354</v>
      </c>
      <c r="AW6" s="179">
        <f t="shared" ref="AW6:AW11" si="1">AVERAGE(D6:AV6)</f>
        <v>497.86415968794341</v>
      </c>
      <c r="AY6" s="364" t="str">
        <f t="shared" si="0"/>
        <v>Ethane Weighted Average Prices (INR/MMBTU)</v>
      </c>
      <c r="AZ6" s="634"/>
      <c r="BA6" s="970"/>
      <c r="BB6" s="651"/>
      <c r="BC6" s="970"/>
      <c r="BD6" s="651"/>
    </row>
    <row r="7" spans="3:59" x14ac:dyDescent="0.25">
      <c r="C7" s="390" t="s">
        <v>516</v>
      </c>
      <c r="D7" s="216">
        <v>28994.924777010401</v>
      </c>
      <c r="E7" s="216">
        <v>29083.53795837006</v>
      </c>
      <c r="F7" s="216">
        <v>34366.504780699324</v>
      </c>
      <c r="G7" s="216">
        <v>33560.84076592559</v>
      </c>
      <c r="H7" s="216">
        <v>26218.900621677058</v>
      </c>
      <c r="I7" s="216">
        <v>35995.3751249493</v>
      </c>
      <c r="J7" s="216">
        <v>40427.168047868036</v>
      </c>
      <c r="K7" s="216">
        <v>41802.471042837584</v>
      </c>
      <c r="L7" s="216">
        <v>42113.614300327099</v>
      </c>
      <c r="M7" s="216">
        <v>25996.232831627069</v>
      </c>
      <c r="N7" s="216">
        <v>23233.174449043679</v>
      </c>
      <c r="O7" s="216">
        <v>23262.637969758925</v>
      </c>
      <c r="P7" s="216">
        <v>23907.7292329458</v>
      </c>
      <c r="Q7" s="216">
        <v>23317.963262738322</v>
      </c>
      <c r="R7" s="216">
        <v>23383.118785073329</v>
      </c>
      <c r="S7" s="216">
        <v>24651.246231346595</v>
      </c>
      <c r="T7" s="216">
        <v>24557.925586871806</v>
      </c>
      <c r="U7" s="216">
        <v>24829.484559121953</v>
      </c>
      <c r="V7" s="216">
        <v>25055.43026719796</v>
      </c>
      <c r="W7" s="216">
        <v>25788.630012426867</v>
      </c>
      <c r="X7" s="216">
        <v>24643.230588247261</v>
      </c>
      <c r="Y7" s="216">
        <v>22952.67731483098</v>
      </c>
      <c r="Z7" s="216">
        <v>22947.88884116093</v>
      </c>
      <c r="AA7" s="216">
        <v>23317.24351414209</v>
      </c>
      <c r="AB7" s="216">
        <v>23890.571956586806</v>
      </c>
      <c r="AC7" s="216">
        <v>24228.610372014118</v>
      </c>
      <c r="AD7" s="216">
        <v>23541.978231953181</v>
      </c>
      <c r="AE7" s="216">
        <v>20644.541889138898</v>
      </c>
      <c r="AF7" s="216">
        <v>20890.304335565754</v>
      </c>
      <c r="AG7" s="216">
        <v>21374.533561952143</v>
      </c>
      <c r="AH7" s="216">
        <v>20823.815492546022</v>
      </c>
      <c r="AI7" s="216">
        <v>21262.530692823591</v>
      </c>
      <c r="AJ7" s="216">
        <v>21999.186981115297</v>
      </c>
      <c r="AK7" s="216">
        <v>19071.183854484243</v>
      </c>
      <c r="AL7" s="216">
        <v>18416.612908296738</v>
      </c>
      <c r="AM7" s="216">
        <v>19631.38584711331</v>
      </c>
      <c r="AN7" s="216">
        <v>18862.12739731725</v>
      </c>
      <c r="AO7" s="216">
        <v>19417.545218868301</v>
      </c>
      <c r="AP7" s="216">
        <v>19573.277993613043</v>
      </c>
      <c r="AQ7" s="216">
        <v>19181.382115766464</v>
      </c>
      <c r="AR7" s="216">
        <v>19438.661485292767</v>
      </c>
      <c r="AS7" s="216">
        <v>19349.709140187424</v>
      </c>
      <c r="AT7" s="216">
        <v>19586.01839165475</v>
      </c>
      <c r="AU7" s="216">
        <v>18872.315054019989</v>
      </c>
      <c r="AV7" s="216">
        <v>18949.614134508891</v>
      </c>
      <c r="AW7" s="179">
        <f t="shared" si="1"/>
        <v>24520.30795380038</v>
      </c>
      <c r="AY7" s="364" t="str">
        <f t="shared" si="0"/>
        <v>Ethane Weighted Average Prices (INR/MT)</v>
      </c>
      <c r="AZ7" s="634">
        <v>28761.683472222219</v>
      </c>
      <c r="BA7" s="970"/>
      <c r="BB7" s="651">
        <v>28795.462882249562</v>
      </c>
      <c r="BC7" s="970"/>
      <c r="BD7" s="651">
        <v>28800</v>
      </c>
      <c r="BG7" s="362"/>
    </row>
    <row r="8" spans="3:59" x14ac:dyDescent="0.25">
      <c r="C8" s="390" t="s">
        <v>517</v>
      </c>
      <c r="D8" s="216">
        <v>39267.73976152447</v>
      </c>
      <c r="E8" s="216">
        <v>35320.99284552411</v>
      </c>
      <c r="F8" s="216">
        <v>32642.643561859699</v>
      </c>
      <c r="G8" s="216">
        <v>32591.713857151481</v>
      </c>
      <c r="H8" s="216">
        <v>35322.25032773053</v>
      </c>
      <c r="I8" s="216">
        <v>39703.969071957552</v>
      </c>
      <c r="J8" s="216">
        <v>39873.279388030664</v>
      </c>
      <c r="K8" s="216">
        <v>42186.838343884381</v>
      </c>
      <c r="L8" s="216">
        <v>45353.692547267237</v>
      </c>
      <c r="M8" s="216">
        <v>50421.563709397698</v>
      </c>
      <c r="N8" s="216">
        <v>40583.378652357023</v>
      </c>
      <c r="O8" s="216">
        <v>32948.17063043618</v>
      </c>
      <c r="P8" s="216">
        <v>31831.243798285665</v>
      </c>
      <c r="Q8" s="216">
        <v>32775.625890130817</v>
      </c>
      <c r="R8" s="216">
        <v>35603.026406517805</v>
      </c>
      <c r="S8" s="216">
        <v>37413.346401247443</v>
      </c>
      <c r="T8" s="216">
        <v>38313.43145419551</v>
      </c>
      <c r="U8" s="216">
        <v>31229.255203616198</v>
      </c>
      <c r="V8" s="216">
        <v>26987.793742556612</v>
      </c>
      <c r="W8" s="216">
        <v>27502.94958707604</v>
      </c>
      <c r="X8" s="216">
        <v>26129.656129075174</v>
      </c>
      <c r="Y8" s="216">
        <v>31204.144072500429</v>
      </c>
      <c r="Z8" s="216">
        <v>32130.775456387943</v>
      </c>
      <c r="AA8" s="216">
        <v>32763.935287141259</v>
      </c>
      <c r="AB8" s="216">
        <v>42146.917092812088</v>
      </c>
      <c r="AC8" s="216">
        <v>37776.741118253449</v>
      </c>
      <c r="AD8" s="216">
        <v>33392.157412302018</v>
      </c>
      <c r="AE8" s="216">
        <v>18333.270191784217</v>
      </c>
      <c r="AF8" s="216">
        <v>26907.499996889728</v>
      </c>
      <c r="AG8" s="216">
        <v>27733.582571128205</v>
      </c>
      <c r="AH8" s="216">
        <v>28238.348704213</v>
      </c>
      <c r="AI8" s="216">
        <v>28510.385603307008</v>
      </c>
      <c r="AJ8" s="216">
        <v>28060.277302456198</v>
      </c>
      <c r="AK8" s="216">
        <v>28820.536895295158</v>
      </c>
      <c r="AL8" s="216">
        <v>33404.388819080297</v>
      </c>
      <c r="AM8" s="216">
        <v>34644.168688458158</v>
      </c>
      <c r="AN8" s="216">
        <v>42078.873462612726</v>
      </c>
      <c r="AO8" s="216">
        <v>46073.542822435593</v>
      </c>
      <c r="AP8" s="216">
        <v>47621.606524213996</v>
      </c>
      <c r="AQ8" s="216">
        <v>43640.112363280605</v>
      </c>
      <c r="AR8" s="216">
        <v>37985.33224426135</v>
      </c>
      <c r="AS8" s="216">
        <v>40810.0621081149</v>
      </c>
      <c r="AT8" s="216">
        <v>48277.341437526047</v>
      </c>
      <c r="AU8" s="216">
        <v>51157.210854820602</v>
      </c>
      <c r="AV8" s="216">
        <v>51107.125769928265</v>
      </c>
      <c r="AW8" s="179">
        <f t="shared" si="1"/>
        <v>36151.575513533899</v>
      </c>
      <c r="AY8" s="364" t="str">
        <f t="shared" si="0"/>
        <v>Propane Weighted Average Prices (INR/MT)</v>
      </c>
      <c r="AZ8" s="634">
        <v>34425</v>
      </c>
      <c r="BA8" s="970"/>
      <c r="BB8" s="651">
        <v>34425</v>
      </c>
      <c r="BC8" s="970"/>
      <c r="BD8" s="651">
        <v>34425</v>
      </c>
    </row>
    <row r="9" spans="3:59" x14ac:dyDescent="0.25">
      <c r="C9" s="390" t="s">
        <v>518</v>
      </c>
      <c r="D9" s="216">
        <v>37934.865946679616</v>
      </c>
      <c r="E9" s="216">
        <v>33977.640442957862</v>
      </c>
      <c r="F9" s="216">
        <v>31621.932879798373</v>
      </c>
      <c r="G9" s="216">
        <v>32245.619069523007</v>
      </c>
      <c r="H9" s="216">
        <v>35684.70245863789</v>
      </c>
      <c r="I9" s="216">
        <v>39729.847125147098</v>
      </c>
      <c r="J9" s="216">
        <v>40952.16644234657</v>
      </c>
      <c r="K9" s="216">
        <v>43265.008516764698</v>
      </c>
      <c r="L9" s="216">
        <v>47988.175639430039</v>
      </c>
      <c r="M9" s="216">
        <v>50433.177687914897</v>
      </c>
      <c r="N9" s="216">
        <v>39526.941750297483</v>
      </c>
      <c r="O9" s="216">
        <v>30706.727022092222</v>
      </c>
      <c r="P9" s="216">
        <v>31116.496307792124</v>
      </c>
      <c r="Q9" s="216">
        <v>35009.966798561858</v>
      </c>
      <c r="R9" s="216">
        <v>37788.034281404027</v>
      </c>
      <c r="S9" s="216">
        <v>38867.056236388496</v>
      </c>
      <c r="T9" s="216">
        <v>38678.266268318395</v>
      </c>
      <c r="U9" s="216">
        <v>30138.909034848981</v>
      </c>
      <c r="V9" s="216">
        <v>25548.609383721534</v>
      </c>
      <c r="W9" s="216">
        <v>26760.845915432019</v>
      </c>
      <c r="X9" s="216">
        <v>26872.996097798805</v>
      </c>
      <c r="Y9" s="216">
        <v>32318.693176917925</v>
      </c>
      <c r="Z9" s="216">
        <v>33253.389942674119</v>
      </c>
      <c r="AA9" s="216">
        <v>33880.879188109247</v>
      </c>
      <c r="AB9" s="216">
        <v>44015.264630194491</v>
      </c>
      <c r="AC9" s="216">
        <v>40776.774414982094</v>
      </c>
      <c r="AD9" s="216">
        <v>37265.269327664537</v>
      </c>
      <c r="AE9" s="216">
        <v>19125.668604651164</v>
      </c>
      <c r="AF9" s="216">
        <v>26903.941500000001</v>
      </c>
      <c r="AG9" s="216">
        <v>26159.661614028053</v>
      </c>
      <c r="AH9" s="216">
        <v>26674.737698603414</v>
      </c>
      <c r="AI9" s="216">
        <v>26951.072804257299</v>
      </c>
      <c r="AJ9" s="216">
        <v>27292.749632570878</v>
      </c>
      <c r="AK9" s="216">
        <v>29207.059319259082</v>
      </c>
      <c r="AL9" s="216">
        <v>34185.03825123742</v>
      </c>
      <c r="AM9" s="216">
        <v>35409.408776058146</v>
      </c>
      <c r="AN9" s="216">
        <v>40548.590675430503</v>
      </c>
      <c r="AO9" s="216">
        <v>44551.491526971819</v>
      </c>
      <c r="AP9" s="216">
        <v>45328.551547510528</v>
      </c>
      <c r="AQ9" s="216">
        <v>41304.84915769448</v>
      </c>
      <c r="AR9" s="216">
        <v>36449.953636561011</v>
      </c>
      <c r="AS9" s="216">
        <v>40423.343654069329</v>
      </c>
      <c r="AT9" s="216">
        <v>48277.23010084885</v>
      </c>
      <c r="AU9" s="216">
        <v>50779.51102849115</v>
      </c>
      <c r="AV9" s="216">
        <v>51112.515377978409</v>
      </c>
      <c r="AW9" s="179">
        <f t="shared" si="1"/>
        <v>36156.525130947113</v>
      </c>
      <c r="AY9" s="364" t="str">
        <f t="shared" si="0"/>
        <v>Butane Weighted Average Prices (INR/MT)</v>
      </c>
      <c r="AZ9" s="634">
        <v>35625</v>
      </c>
      <c r="BA9" s="970"/>
      <c r="BB9" s="651">
        <v>35625</v>
      </c>
      <c r="BC9" s="970"/>
      <c r="BD9" s="651">
        <v>35625</v>
      </c>
    </row>
    <row r="10" spans="3:59" x14ac:dyDescent="0.25">
      <c r="C10" s="390" t="s">
        <v>519</v>
      </c>
      <c r="D10" s="216">
        <v>37468.917824886834</v>
      </c>
      <c r="E10" s="216">
        <v>34979.7952647251</v>
      </c>
      <c r="F10" s="216">
        <v>36995.226789598193</v>
      </c>
      <c r="G10" s="216">
        <v>38411.434700802383</v>
      </c>
      <c r="H10" s="216">
        <v>43077.696672195132</v>
      </c>
      <c r="I10" s="216">
        <v>42339.113972658684</v>
      </c>
      <c r="J10" s="216">
        <v>44176.800315880733</v>
      </c>
      <c r="K10" s="216">
        <v>45449.873001355765</v>
      </c>
      <c r="L10" s="216">
        <v>48374.835244225556</v>
      </c>
      <c r="M10" s="216">
        <v>49736.488507928807</v>
      </c>
      <c r="N10" s="216">
        <v>36558.702058330193</v>
      </c>
      <c r="O10" s="216">
        <v>31387.522192377604</v>
      </c>
      <c r="P10" s="216">
        <v>31954.700264411553</v>
      </c>
      <c r="Q10" s="216">
        <v>35488.590056570771</v>
      </c>
      <c r="R10" s="216">
        <v>37151.720463657031</v>
      </c>
      <c r="S10" s="216">
        <v>40224.487971509581</v>
      </c>
      <c r="T10" s="216">
        <v>39776.808056372938</v>
      </c>
      <c r="U10" s="216">
        <v>32806.091323106572</v>
      </c>
      <c r="V10" s="216">
        <v>34852.034397102398</v>
      </c>
      <c r="W10" s="216">
        <v>32743.412011815777</v>
      </c>
      <c r="X10" s="216">
        <v>33941.49447086802</v>
      </c>
      <c r="Y10" s="216">
        <v>36161.070807658274</v>
      </c>
      <c r="Z10" s="216">
        <v>36208.29768815585</v>
      </c>
      <c r="AA10" s="216">
        <v>39212.402929615775</v>
      </c>
      <c r="AB10" s="216">
        <v>38005.50999905145</v>
      </c>
      <c r="AC10" s="216">
        <v>33948.919195272174</v>
      </c>
      <c r="AD10" s="216">
        <v>21830.230520384102</v>
      </c>
      <c r="AE10" s="216">
        <v>41618.000025444984</v>
      </c>
      <c r="AF10" s="216">
        <v>36293.110003071568</v>
      </c>
      <c r="AG10" s="216">
        <v>40230.560009202418</v>
      </c>
      <c r="AH10" s="216">
        <v>28984.506728422391</v>
      </c>
      <c r="AI10" s="216">
        <v>29296.224637839514</v>
      </c>
      <c r="AJ10" s="216">
        <v>28071.268352741423</v>
      </c>
      <c r="AK10" s="216">
        <v>23219.340304109319</v>
      </c>
      <c r="AL10" s="216">
        <v>27680.138169883663</v>
      </c>
      <c r="AM10" s="216">
        <v>31896.526510107997</v>
      </c>
      <c r="AN10" s="216">
        <v>36352.617012931434</v>
      </c>
      <c r="AO10" s="216">
        <v>40134.773482798308</v>
      </c>
      <c r="AP10" s="216">
        <v>42943.647213612938</v>
      </c>
      <c r="AQ10" s="216">
        <v>41061.486307385807</v>
      </c>
      <c r="AR10" s="216">
        <v>43266.069260132143</v>
      </c>
      <c r="AS10" s="216">
        <v>46764.427300723</v>
      </c>
      <c r="AT10" s="216">
        <v>49848.163616800543</v>
      </c>
      <c r="AU10" s="216">
        <v>47958.871071535585</v>
      </c>
      <c r="AV10" s="216">
        <v>49198.016422217115</v>
      </c>
      <c r="AW10" s="179">
        <f t="shared" si="1"/>
        <v>37735.109402877279</v>
      </c>
      <c r="AY10" s="364" t="str">
        <f t="shared" si="0"/>
        <v>Naphtha Weighted Average Prices (INR/MT)</v>
      </c>
      <c r="AZ10" s="634">
        <v>37275</v>
      </c>
      <c r="BA10" s="970"/>
      <c r="BB10" s="651">
        <v>37275</v>
      </c>
      <c r="BC10" s="970"/>
      <c r="BD10" s="651">
        <v>37275</v>
      </c>
    </row>
    <row r="11" spans="3:59" x14ac:dyDescent="0.25">
      <c r="C11" s="391" t="s">
        <v>349</v>
      </c>
      <c r="D11" s="216">
        <v>527</v>
      </c>
      <c r="E11" s="216">
        <v>725</v>
      </c>
      <c r="F11" s="216">
        <v>731</v>
      </c>
      <c r="G11" s="216">
        <v>683.35192411641094</v>
      </c>
      <c r="H11" s="216">
        <v>727.45879248730159</v>
      </c>
      <c r="I11" s="216">
        <v>790.46535767833188</v>
      </c>
      <c r="J11" s="216">
        <v>835.82228336641663</v>
      </c>
      <c r="K11" s="216">
        <v>855.64779771974872</v>
      </c>
      <c r="L11" s="216">
        <v>831.01152604586082</v>
      </c>
      <c r="M11" s="216">
        <v>894.32305357357711</v>
      </c>
      <c r="N11" s="216">
        <v>848.00352710543211</v>
      </c>
      <c r="O11" s="216">
        <v>762.53950609685091</v>
      </c>
      <c r="P11" s="216">
        <v>747.97322905859232</v>
      </c>
      <c r="Q11" s="216">
        <v>816.24945468112071</v>
      </c>
      <c r="R11" s="216">
        <v>713.84568622483982</v>
      </c>
      <c r="S11" s="216">
        <v>547.77</v>
      </c>
      <c r="T11" s="216">
        <v>505.25</v>
      </c>
      <c r="U11" s="216">
        <v>522.21</v>
      </c>
      <c r="V11" s="216">
        <v>559.08000000000004</v>
      </c>
      <c r="W11" s="216">
        <v>496.47</v>
      </c>
      <c r="X11" s="216">
        <v>463.19</v>
      </c>
      <c r="Y11" s="216">
        <v>620.35</v>
      </c>
      <c r="Z11" s="216">
        <v>540.62</v>
      </c>
      <c r="AA11" s="216">
        <v>605.28</v>
      </c>
      <c r="AB11" s="216">
        <v>485.79</v>
      </c>
      <c r="AC11" s="216">
        <v>478.65</v>
      </c>
      <c r="AD11" s="216">
        <v>313.06</v>
      </c>
      <c r="AE11" s="216">
        <v>546.95000000000005</v>
      </c>
      <c r="AF11" s="216">
        <v>498.46</v>
      </c>
      <c r="AG11" s="216">
        <v>285.66000000000003</v>
      </c>
      <c r="AH11" s="216">
        <v>264.85000000000002</v>
      </c>
      <c r="AI11" s="216">
        <v>334.58</v>
      </c>
      <c r="AJ11" s="216">
        <v>410.09</v>
      </c>
      <c r="AK11" s="216">
        <v>471.71</v>
      </c>
      <c r="AL11" s="216">
        <v>532.29999999999995</v>
      </c>
      <c r="AM11" s="216">
        <v>588.39</v>
      </c>
      <c r="AN11" s="216">
        <v>675.69</v>
      </c>
      <c r="AO11" s="216">
        <v>872.05</v>
      </c>
      <c r="AP11" s="216">
        <v>766.06</v>
      </c>
      <c r="AQ11" s="216">
        <v>565.04999999999995</v>
      </c>
      <c r="AR11" s="216">
        <v>567.25</v>
      </c>
      <c r="AS11" s="216">
        <v>619.33000000000004</v>
      </c>
      <c r="AT11" s="216">
        <v>708.17</v>
      </c>
      <c r="AU11" s="216">
        <v>868.98</v>
      </c>
      <c r="AV11" s="216">
        <v>938.53</v>
      </c>
      <c r="AW11" s="179">
        <f t="shared" si="1"/>
        <v>625.36693640343299</v>
      </c>
      <c r="AY11" s="364" t="str">
        <f t="shared" si="0"/>
        <v>LNGas Cost Rs/MMBTU)</v>
      </c>
      <c r="AZ11" s="634">
        <f>AW11</f>
        <v>625.36693640343299</v>
      </c>
      <c r="BA11" s="970"/>
      <c r="BB11" s="651">
        <f>AZ11</f>
        <v>625.36693640343299</v>
      </c>
      <c r="BC11" s="970"/>
      <c r="BD11" s="651">
        <f>BB11</f>
        <v>625.36693640343299</v>
      </c>
    </row>
    <row r="12" spans="3:59" x14ac:dyDescent="0.25">
      <c r="C12" s="623" t="s">
        <v>146</v>
      </c>
      <c r="D12" s="392"/>
      <c r="E12" s="392"/>
      <c r="F12" s="392"/>
      <c r="G12" s="392"/>
      <c r="H12" s="392"/>
      <c r="I12" s="392"/>
      <c r="J12" s="392"/>
      <c r="K12" s="392"/>
      <c r="L12" s="392"/>
      <c r="M12" s="392"/>
      <c r="N12" s="392"/>
      <c r="O12" s="392"/>
      <c r="P12" s="392"/>
      <c r="Q12" s="392"/>
      <c r="R12" s="392"/>
      <c r="S12" s="392"/>
      <c r="T12" s="392"/>
      <c r="U12" s="392"/>
      <c r="V12" s="392"/>
      <c r="W12" s="392"/>
      <c r="X12" s="392"/>
      <c r="Y12" s="392"/>
      <c r="Z12" s="392"/>
      <c r="AA12" s="392"/>
      <c r="AB12" s="392"/>
      <c r="AC12" s="392"/>
      <c r="AD12" s="392"/>
      <c r="AE12" s="392"/>
      <c r="AF12" s="392"/>
      <c r="AG12" s="392"/>
      <c r="AH12" s="392"/>
      <c r="AI12" s="392"/>
      <c r="AJ12" s="392"/>
      <c r="AK12" s="392"/>
      <c r="AL12" s="392"/>
      <c r="AM12" s="392"/>
      <c r="AN12" s="392"/>
      <c r="AO12" s="392"/>
      <c r="AP12" s="392"/>
      <c r="AQ12" s="392"/>
      <c r="AR12" s="392"/>
      <c r="AS12" s="392"/>
      <c r="AT12" s="392"/>
      <c r="AU12" s="392"/>
      <c r="AV12" s="392"/>
      <c r="AW12" s="389"/>
      <c r="AY12" s="364"/>
      <c r="AZ12" s="635"/>
      <c r="BA12" s="970"/>
      <c r="BB12" s="607"/>
      <c r="BC12" s="970"/>
      <c r="BD12" s="607"/>
    </row>
    <row r="13" spans="3:59" x14ac:dyDescent="0.25">
      <c r="C13" s="166" t="s">
        <v>138</v>
      </c>
      <c r="D13" s="167">
        <v>43101</v>
      </c>
      <c r="E13" s="167">
        <v>43132</v>
      </c>
      <c r="F13" s="167">
        <v>43160</v>
      </c>
      <c r="G13" s="167">
        <v>43191</v>
      </c>
      <c r="H13" s="167">
        <v>43221</v>
      </c>
      <c r="I13" s="167">
        <v>43252</v>
      </c>
      <c r="J13" s="167">
        <v>43282</v>
      </c>
      <c r="K13" s="167">
        <v>43313</v>
      </c>
      <c r="L13" s="167">
        <v>43344</v>
      </c>
      <c r="M13" s="167">
        <v>43374</v>
      </c>
      <c r="N13" s="167">
        <v>43405</v>
      </c>
      <c r="O13" s="167">
        <v>43435</v>
      </c>
      <c r="P13" s="167">
        <v>43466</v>
      </c>
      <c r="Q13" s="167">
        <v>43497</v>
      </c>
      <c r="R13" s="167">
        <v>43525</v>
      </c>
      <c r="S13" s="167">
        <v>43556</v>
      </c>
      <c r="T13" s="167">
        <v>43586</v>
      </c>
      <c r="U13" s="167">
        <v>43617</v>
      </c>
      <c r="V13" s="167">
        <v>43647</v>
      </c>
      <c r="W13" s="167">
        <v>43678</v>
      </c>
      <c r="X13" s="167">
        <v>43709</v>
      </c>
      <c r="Y13" s="167">
        <v>43739</v>
      </c>
      <c r="Z13" s="167">
        <v>43770</v>
      </c>
      <c r="AA13" s="167">
        <v>43800</v>
      </c>
      <c r="AB13" s="167">
        <v>43831</v>
      </c>
      <c r="AC13" s="167">
        <v>43862</v>
      </c>
      <c r="AD13" s="167">
        <v>43891</v>
      </c>
      <c r="AE13" s="167">
        <v>43922</v>
      </c>
      <c r="AF13" s="167">
        <v>43952</v>
      </c>
      <c r="AG13" s="167">
        <v>43983</v>
      </c>
      <c r="AH13" s="167">
        <v>44013</v>
      </c>
      <c r="AI13" s="167">
        <v>44044</v>
      </c>
      <c r="AJ13" s="167">
        <v>44075</v>
      </c>
      <c r="AK13" s="167">
        <v>44105</v>
      </c>
      <c r="AL13" s="167">
        <v>44136</v>
      </c>
      <c r="AM13" s="167">
        <v>44166</v>
      </c>
      <c r="AN13" s="167">
        <v>44197</v>
      </c>
      <c r="AO13" s="167">
        <v>44228</v>
      </c>
      <c r="AP13" s="167">
        <v>44256</v>
      </c>
      <c r="AQ13" s="167">
        <v>44287</v>
      </c>
      <c r="AR13" s="167">
        <v>44317</v>
      </c>
      <c r="AS13" s="167">
        <v>44348</v>
      </c>
      <c r="AT13" s="167">
        <v>44378</v>
      </c>
      <c r="AU13" s="167">
        <v>44409</v>
      </c>
      <c r="AV13" s="167">
        <v>44440</v>
      </c>
      <c r="AW13" s="171" t="s">
        <v>145</v>
      </c>
      <c r="AY13" s="365" t="str">
        <f t="shared" ref="AY13:AY32" si="2">C13</f>
        <v>Chemical product Price (Rs/MT)</v>
      </c>
      <c r="AZ13" s="636" t="s">
        <v>145</v>
      </c>
      <c r="BA13" s="970"/>
      <c r="BB13" s="595">
        <v>44440</v>
      </c>
      <c r="BC13" s="970"/>
      <c r="BD13" s="595">
        <v>44440</v>
      </c>
    </row>
    <row r="14" spans="3:59" x14ac:dyDescent="0.25">
      <c r="C14" s="168" t="s">
        <v>139</v>
      </c>
      <c r="D14" s="168">
        <v>57152</v>
      </c>
      <c r="E14" s="168">
        <v>58526</v>
      </c>
      <c r="F14" s="168">
        <v>58277</v>
      </c>
      <c r="G14" s="168">
        <v>55909</v>
      </c>
      <c r="H14" s="168">
        <v>55303</v>
      </c>
      <c r="I14" s="168">
        <v>58424</v>
      </c>
      <c r="J14" s="168">
        <v>56706</v>
      </c>
      <c r="K14" s="168">
        <v>57565</v>
      </c>
      <c r="L14" s="168">
        <v>61481</v>
      </c>
      <c r="M14" s="168">
        <v>61877</v>
      </c>
      <c r="N14" s="168">
        <v>61367</v>
      </c>
      <c r="O14" s="168">
        <v>49658</v>
      </c>
      <c r="P14" s="168">
        <v>41296</v>
      </c>
      <c r="Q14" s="168">
        <v>39412</v>
      </c>
      <c r="R14" s="168">
        <v>42670</v>
      </c>
      <c r="S14" s="168">
        <v>42621</v>
      </c>
      <c r="T14" s="168">
        <v>43930</v>
      </c>
      <c r="U14" s="168">
        <v>44300</v>
      </c>
      <c r="V14" s="168">
        <v>44000</v>
      </c>
      <c r="W14" s="168">
        <v>46900</v>
      </c>
      <c r="X14" s="168">
        <v>48100</v>
      </c>
      <c r="Y14" s="168">
        <v>52100</v>
      </c>
      <c r="Z14" s="168">
        <v>48600</v>
      </c>
      <c r="AA14" s="168">
        <v>47000</v>
      </c>
      <c r="AB14" s="168">
        <v>52400</v>
      </c>
      <c r="AC14" s="168">
        <v>52900</v>
      </c>
      <c r="AD14" s="168">
        <v>48400</v>
      </c>
      <c r="AE14" s="178">
        <v>37400</v>
      </c>
      <c r="AF14" s="178">
        <v>24900</v>
      </c>
      <c r="AG14" s="178">
        <v>30300</v>
      </c>
      <c r="AH14" s="178">
        <v>33900</v>
      </c>
      <c r="AI14" s="178">
        <v>33100</v>
      </c>
      <c r="AJ14" s="178">
        <v>34400</v>
      </c>
      <c r="AK14" s="178">
        <v>32600</v>
      </c>
      <c r="AL14" s="178">
        <v>32500</v>
      </c>
      <c r="AM14" s="178">
        <v>40800</v>
      </c>
      <c r="AN14" s="178">
        <v>47900</v>
      </c>
      <c r="AO14" s="178">
        <v>48900</v>
      </c>
      <c r="AP14" s="178">
        <v>57200</v>
      </c>
      <c r="AQ14" s="178">
        <v>62200</v>
      </c>
      <c r="AR14" s="178">
        <v>70100</v>
      </c>
      <c r="AS14" s="178">
        <v>75100</v>
      </c>
      <c r="AT14" s="178">
        <v>71430</v>
      </c>
      <c r="AU14" s="178">
        <v>78990</v>
      </c>
      <c r="AV14" s="178">
        <v>72940</v>
      </c>
      <c r="AW14" s="179">
        <f>AVERAGE(D14:AV14)</f>
        <v>50478.533333333333</v>
      </c>
      <c r="AY14" s="364" t="str">
        <f t="shared" si="2"/>
        <v xml:space="preserve">Benzene </v>
      </c>
      <c r="AZ14" s="637">
        <f>AW14</f>
        <v>50478.533333333333</v>
      </c>
      <c r="BA14" s="970"/>
      <c r="BB14" s="596">
        <f>AZ14</f>
        <v>50478.533333333333</v>
      </c>
      <c r="BC14" s="970"/>
      <c r="BD14" s="596">
        <f>BB14</f>
        <v>50478.533333333333</v>
      </c>
    </row>
    <row r="15" spans="3:59" x14ac:dyDescent="0.25">
      <c r="C15" s="168" t="s">
        <v>140</v>
      </c>
      <c r="D15" s="168">
        <v>69058</v>
      </c>
      <c r="E15" s="168">
        <v>79391</v>
      </c>
      <c r="F15" s="168">
        <v>87624</v>
      </c>
      <c r="G15" s="168">
        <v>91678</v>
      </c>
      <c r="H15" s="168">
        <v>90255</v>
      </c>
      <c r="I15" s="168">
        <v>110428</v>
      </c>
      <c r="J15" s="168">
        <v>113142</v>
      </c>
      <c r="K15" s="168">
        <v>109389</v>
      </c>
      <c r="L15" s="168">
        <v>117818</v>
      </c>
      <c r="M15" s="168">
        <v>104990</v>
      </c>
      <c r="N15" s="168">
        <v>79612</v>
      </c>
      <c r="O15" s="168">
        <v>76089</v>
      </c>
      <c r="P15" s="168">
        <v>79660</v>
      </c>
      <c r="Q15" s="168">
        <v>80367</v>
      </c>
      <c r="R15" s="168">
        <v>75404</v>
      </c>
      <c r="S15" s="168">
        <v>71634</v>
      </c>
      <c r="T15" s="168">
        <v>63615</v>
      </c>
      <c r="U15" s="168">
        <v>66900</v>
      </c>
      <c r="V15" s="168">
        <v>74300</v>
      </c>
      <c r="W15" s="168">
        <v>76800</v>
      </c>
      <c r="X15" s="168">
        <v>85000</v>
      </c>
      <c r="Y15" s="168">
        <v>87600</v>
      </c>
      <c r="Z15" s="168">
        <v>81700</v>
      </c>
      <c r="AA15" s="168">
        <v>62200</v>
      </c>
      <c r="AB15" s="168">
        <v>63400</v>
      </c>
      <c r="AC15" s="168">
        <v>65100</v>
      </c>
      <c r="AD15" s="168">
        <v>56000</v>
      </c>
      <c r="AE15" s="178">
        <v>50100</v>
      </c>
      <c r="AF15" s="178">
        <v>28400</v>
      </c>
      <c r="AG15" s="178">
        <v>21600</v>
      </c>
      <c r="AH15" s="178">
        <v>22700</v>
      </c>
      <c r="AI15" s="178">
        <v>28600</v>
      </c>
      <c r="AJ15" s="178">
        <v>40200</v>
      </c>
      <c r="AK15" s="178">
        <v>50700</v>
      </c>
      <c r="AL15" s="178">
        <v>66900</v>
      </c>
      <c r="AM15" s="178">
        <v>94800</v>
      </c>
      <c r="AN15" s="178">
        <v>86100</v>
      </c>
      <c r="AO15" s="178">
        <v>58900</v>
      </c>
      <c r="AP15" s="178">
        <v>57400</v>
      </c>
      <c r="AQ15" s="178">
        <v>80900</v>
      </c>
      <c r="AR15" s="178">
        <v>72100</v>
      </c>
      <c r="AS15" s="178">
        <v>73600</v>
      </c>
      <c r="AT15" s="178">
        <v>88040</v>
      </c>
      <c r="AU15" s="178">
        <v>107190</v>
      </c>
      <c r="AV15" s="178">
        <v>116560</v>
      </c>
      <c r="AW15" s="179">
        <f>AVERAGE(D15:AV15)</f>
        <v>74754.311111111107</v>
      </c>
      <c r="AY15" s="364" t="str">
        <f t="shared" si="2"/>
        <v xml:space="preserve"> 1,3Butadiene </v>
      </c>
      <c r="AZ15" s="637">
        <f>AW15</f>
        <v>74754.311111111107</v>
      </c>
      <c r="BA15" s="970"/>
      <c r="BB15" s="596">
        <f>AZ15</f>
        <v>74754.311111111107</v>
      </c>
      <c r="BC15" s="970"/>
      <c r="BD15" s="596">
        <f>BB15</f>
        <v>74754.311111111107</v>
      </c>
    </row>
    <row r="16" spans="3:59" x14ac:dyDescent="0.25">
      <c r="C16" s="168" t="s">
        <v>141</v>
      </c>
      <c r="D16" s="168">
        <v>40278</v>
      </c>
      <c r="E16" s="168">
        <v>40825</v>
      </c>
      <c r="F16" s="168">
        <v>39651</v>
      </c>
      <c r="G16" s="168">
        <v>40745</v>
      </c>
      <c r="H16" s="168">
        <v>43210</v>
      </c>
      <c r="I16" s="168">
        <v>49220</v>
      </c>
      <c r="J16" s="168">
        <v>47166</v>
      </c>
      <c r="K16" s="168">
        <v>48765</v>
      </c>
      <c r="L16" s="168">
        <v>49461</v>
      </c>
      <c r="M16" s="168">
        <v>53775</v>
      </c>
      <c r="N16" s="168">
        <v>54370</v>
      </c>
      <c r="O16" s="168">
        <v>41640</v>
      </c>
      <c r="P16" s="168">
        <v>37117</v>
      </c>
      <c r="Q16" s="168">
        <v>37203</v>
      </c>
      <c r="R16" s="168">
        <v>40633</v>
      </c>
      <c r="S16" s="168">
        <v>41946</v>
      </c>
      <c r="T16" s="168">
        <v>44260</v>
      </c>
      <c r="U16" s="168">
        <v>46500</v>
      </c>
      <c r="V16" s="168">
        <v>40900</v>
      </c>
      <c r="W16" s="168">
        <v>43100</v>
      </c>
      <c r="X16" s="168">
        <v>41200</v>
      </c>
      <c r="Y16" s="168">
        <v>43200</v>
      </c>
      <c r="Z16" s="168">
        <v>43200</v>
      </c>
      <c r="AA16" s="168">
        <v>45400</v>
      </c>
      <c r="AB16" s="168">
        <v>48300</v>
      </c>
      <c r="AC16" s="168">
        <v>47500</v>
      </c>
      <c r="AD16" s="168">
        <v>43200</v>
      </c>
      <c r="AE16" s="178">
        <v>30300</v>
      </c>
      <c r="AF16" s="178">
        <v>20000</v>
      </c>
      <c r="AG16" s="178">
        <v>25600</v>
      </c>
      <c r="AH16" s="178">
        <v>36800</v>
      </c>
      <c r="AI16" s="178">
        <v>39400</v>
      </c>
      <c r="AJ16" s="178">
        <v>39300</v>
      </c>
      <c r="AK16" s="178">
        <v>38800</v>
      </c>
      <c r="AL16" s="178">
        <v>38500</v>
      </c>
      <c r="AM16" s="178">
        <v>34300</v>
      </c>
      <c r="AN16" s="178">
        <v>37200</v>
      </c>
      <c r="AO16" s="178">
        <v>42600</v>
      </c>
      <c r="AP16" s="178">
        <v>46400</v>
      </c>
      <c r="AQ16" s="178">
        <v>47800</v>
      </c>
      <c r="AR16" s="178">
        <v>47000</v>
      </c>
      <c r="AS16" s="178">
        <v>49100</v>
      </c>
      <c r="AT16" s="178">
        <v>52210</v>
      </c>
      <c r="AU16" s="178">
        <v>56230</v>
      </c>
      <c r="AV16" s="178">
        <v>53120</v>
      </c>
      <c r="AW16" s="179">
        <f>AVERAGE(D16:AV16)</f>
        <v>42831.666666666664</v>
      </c>
      <c r="AY16" s="364" t="str">
        <f t="shared" si="2"/>
        <v xml:space="preserve"> Hydrogenated Pygas (HPG) </v>
      </c>
      <c r="AZ16" s="637">
        <f>AW16</f>
        <v>42831.666666666664</v>
      </c>
      <c r="BA16" s="970"/>
      <c r="BB16" s="596">
        <f>AZ16</f>
        <v>42831.666666666664</v>
      </c>
      <c r="BC16" s="970"/>
      <c r="BD16" s="596">
        <f>BB16</f>
        <v>42831.666666666664</v>
      </c>
    </row>
    <row r="17" spans="3:56" x14ac:dyDescent="0.25">
      <c r="C17" s="168" t="s">
        <v>142</v>
      </c>
      <c r="D17" s="168">
        <v>22284</v>
      </c>
      <c r="E17" s="168">
        <v>23133</v>
      </c>
      <c r="F17" s="168">
        <v>21818</v>
      </c>
      <c r="G17" s="168">
        <v>22281</v>
      </c>
      <c r="H17" s="168">
        <v>24177</v>
      </c>
      <c r="I17" s="168">
        <v>28071</v>
      </c>
      <c r="J17" s="168">
        <v>28045</v>
      </c>
      <c r="K17" s="168">
        <v>29524</v>
      </c>
      <c r="L17" s="168">
        <v>28439</v>
      </c>
      <c r="M17" s="168">
        <v>30668</v>
      </c>
      <c r="N17" s="168">
        <v>33226</v>
      </c>
      <c r="O17" s="168">
        <v>28437</v>
      </c>
      <c r="P17" s="168">
        <v>23915</v>
      </c>
      <c r="Q17" s="168">
        <v>25268</v>
      </c>
      <c r="R17" s="168">
        <v>28957</v>
      </c>
      <c r="S17" s="168">
        <v>29150</v>
      </c>
      <c r="T17" s="168">
        <v>30044</v>
      </c>
      <c r="U17" s="168">
        <v>28400</v>
      </c>
      <c r="V17" s="168">
        <v>25400</v>
      </c>
      <c r="W17" s="168">
        <v>26700</v>
      </c>
      <c r="X17" s="168">
        <v>22400</v>
      </c>
      <c r="Y17" s="168">
        <v>24500</v>
      </c>
      <c r="Z17" s="168">
        <v>21200</v>
      </c>
      <c r="AA17" s="168">
        <v>18600</v>
      </c>
      <c r="AB17" s="168">
        <v>21400</v>
      </c>
      <c r="AC17" s="168">
        <v>22400</v>
      </c>
      <c r="AD17" s="168">
        <v>23100</v>
      </c>
      <c r="AE17" s="178">
        <v>14400</v>
      </c>
      <c r="AF17" s="178">
        <v>10800</v>
      </c>
      <c r="AG17" s="178">
        <v>14100</v>
      </c>
      <c r="AH17" s="178">
        <v>18300</v>
      </c>
      <c r="AI17" s="178">
        <v>20100</v>
      </c>
      <c r="AJ17" s="178">
        <v>21300</v>
      </c>
      <c r="AK17" s="178">
        <v>20000</v>
      </c>
      <c r="AL17" s="178">
        <v>20600</v>
      </c>
      <c r="AM17" s="178">
        <v>21500</v>
      </c>
      <c r="AN17" s="178">
        <v>23400</v>
      </c>
      <c r="AO17" s="178">
        <v>24700</v>
      </c>
      <c r="AP17" s="178">
        <v>27200</v>
      </c>
      <c r="AQ17" s="178">
        <v>28300</v>
      </c>
      <c r="AR17" s="178">
        <v>29000</v>
      </c>
      <c r="AS17" s="178">
        <v>29700</v>
      </c>
      <c r="AT17" s="178">
        <v>31350</v>
      </c>
      <c r="AU17" s="178">
        <v>30470</v>
      </c>
      <c r="AV17" s="178">
        <v>31250</v>
      </c>
      <c r="AW17" s="179">
        <f>AVERAGE(D17:AV17)</f>
        <v>24622.37777777778</v>
      </c>
      <c r="AY17" s="364" t="str">
        <f t="shared" si="2"/>
        <v xml:space="preserve"> CBFS </v>
      </c>
      <c r="AZ17" s="637">
        <f>AW17</f>
        <v>24622.37777777778</v>
      </c>
      <c r="BA17" s="970"/>
      <c r="BB17" s="596">
        <f>AZ17</f>
        <v>24622.37777777778</v>
      </c>
      <c r="BC17" s="970"/>
      <c r="BD17" s="596">
        <f>BB17</f>
        <v>24622.37777777778</v>
      </c>
    </row>
    <row r="18" spans="3:56" x14ac:dyDescent="0.25">
      <c r="C18" s="168" t="s">
        <v>143</v>
      </c>
      <c r="D18" s="168">
        <v>35090</v>
      </c>
      <c r="E18" s="168">
        <v>35648</v>
      </c>
      <c r="F18" s="168">
        <v>34823</v>
      </c>
      <c r="G18" s="168">
        <v>35869</v>
      </c>
      <c r="H18" s="168">
        <v>38900</v>
      </c>
      <c r="I18" s="168">
        <v>48637</v>
      </c>
      <c r="J18" s="168">
        <v>46484</v>
      </c>
      <c r="K18" s="168">
        <v>48182</v>
      </c>
      <c r="L18" s="168">
        <v>48880</v>
      </c>
      <c r="M18" s="168">
        <v>53437</v>
      </c>
      <c r="N18" s="168">
        <v>53976</v>
      </c>
      <c r="O18" s="168">
        <v>40000</v>
      </c>
      <c r="P18" s="168">
        <v>35076</v>
      </c>
      <c r="Q18" s="168">
        <v>35172</v>
      </c>
      <c r="R18" s="168">
        <v>38937</v>
      </c>
      <c r="S18" s="168">
        <v>40545</v>
      </c>
      <c r="T18" s="168">
        <v>43117</v>
      </c>
      <c r="U18" s="168">
        <v>41200</v>
      </c>
      <c r="V18" s="168">
        <v>35000</v>
      </c>
      <c r="W18" s="168">
        <v>37500</v>
      </c>
      <c r="X18" s="168">
        <v>35100</v>
      </c>
      <c r="Y18" s="168">
        <v>37300</v>
      </c>
      <c r="Z18" s="168">
        <v>37300</v>
      </c>
      <c r="AA18" s="168">
        <v>39700</v>
      </c>
      <c r="AB18" s="168">
        <v>41700</v>
      </c>
      <c r="AC18" s="168">
        <v>40900</v>
      </c>
      <c r="AD18" s="168">
        <v>38000</v>
      </c>
      <c r="AE18" s="178">
        <v>25000</v>
      </c>
      <c r="AF18" s="178">
        <v>19100</v>
      </c>
      <c r="AG18" s="178">
        <v>25000</v>
      </c>
      <c r="AH18" s="178">
        <v>31800</v>
      </c>
      <c r="AI18" s="178">
        <v>33800</v>
      </c>
      <c r="AJ18" s="178">
        <v>35100</v>
      </c>
      <c r="AK18" s="178">
        <v>36000</v>
      </c>
      <c r="AL18" s="178">
        <v>35700</v>
      </c>
      <c r="AM18" s="178">
        <v>35700</v>
      </c>
      <c r="AN18" s="178">
        <v>39300</v>
      </c>
      <c r="AO18" s="178">
        <v>42500</v>
      </c>
      <c r="AP18" s="178">
        <v>46600</v>
      </c>
      <c r="AQ18" s="178">
        <v>48300</v>
      </c>
      <c r="AR18" s="178">
        <v>44700</v>
      </c>
      <c r="AS18" s="178">
        <v>47100</v>
      </c>
      <c r="AT18" s="178">
        <v>50610</v>
      </c>
      <c r="AU18" s="178">
        <v>50620</v>
      </c>
      <c r="AV18" s="178">
        <v>44350</v>
      </c>
      <c r="AW18" s="179">
        <f>AVERAGE(D18:AV18)</f>
        <v>39727.844444444447</v>
      </c>
      <c r="AY18" s="364" t="str">
        <f t="shared" si="2"/>
        <v xml:space="preserve"> C9+   </v>
      </c>
      <c r="AZ18" s="637">
        <f>AW18</f>
        <v>39727.844444444447</v>
      </c>
      <c r="BA18" s="970"/>
      <c r="BB18" s="596">
        <f>AZ18</f>
        <v>39727.844444444447</v>
      </c>
      <c r="BC18" s="970"/>
      <c r="BD18" s="596">
        <f>BB18</f>
        <v>39727.844444444447</v>
      </c>
    </row>
    <row r="19" spans="3:56" x14ac:dyDescent="0.25">
      <c r="C19" s="168" t="s">
        <v>144</v>
      </c>
      <c r="D19" s="168"/>
      <c r="E19" s="168"/>
      <c r="F19" s="168"/>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9">
        <v>21900</v>
      </c>
      <c r="AF19" s="169">
        <v>17400</v>
      </c>
      <c r="AG19" s="169">
        <v>32300</v>
      </c>
      <c r="AH19" s="169">
        <v>31500</v>
      </c>
      <c r="AI19" s="169">
        <v>31000</v>
      </c>
      <c r="AJ19" s="169">
        <v>30000</v>
      </c>
      <c r="AK19" s="169">
        <v>27000</v>
      </c>
      <c r="AL19" s="169">
        <v>31000</v>
      </c>
      <c r="AM19" s="169">
        <v>32000</v>
      </c>
      <c r="AY19" s="364" t="str">
        <f t="shared" si="2"/>
        <v xml:space="preserve"> MFO </v>
      </c>
      <c r="AZ19" s="6"/>
      <c r="BA19" s="970"/>
      <c r="BB19" s="605"/>
      <c r="BC19" s="970"/>
      <c r="BD19" s="605"/>
    </row>
    <row r="20" spans="3:56" x14ac:dyDescent="0.25">
      <c r="C20" s="399"/>
      <c r="D20" s="396"/>
      <c r="E20" s="396"/>
      <c r="F20" s="396"/>
      <c r="G20" s="396"/>
      <c r="H20" s="396"/>
      <c r="I20" s="396"/>
      <c r="J20" s="396"/>
      <c r="K20" s="396"/>
      <c r="L20" s="396"/>
      <c r="M20" s="396"/>
      <c r="N20" s="396"/>
      <c r="O20" s="396"/>
      <c r="P20" s="396"/>
      <c r="Q20" s="396"/>
      <c r="R20" s="396"/>
      <c r="S20" s="396"/>
      <c r="T20" s="396"/>
      <c r="U20" s="396"/>
      <c r="V20" s="396"/>
      <c r="W20" s="396"/>
      <c r="X20" s="396"/>
      <c r="Y20" s="396"/>
      <c r="Z20" s="396"/>
      <c r="AA20" s="396"/>
      <c r="AB20" s="396"/>
      <c r="AC20" s="396"/>
      <c r="AD20" s="396"/>
      <c r="AE20" s="397"/>
      <c r="AF20" s="398"/>
      <c r="AG20" s="398"/>
      <c r="AH20" s="398"/>
      <c r="AI20" s="398"/>
      <c r="AJ20" s="398"/>
      <c r="AK20" s="398"/>
      <c r="AL20" s="398"/>
      <c r="AM20" s="398"/>
      <c r="AY20" s="752">
        <f t="shared" si="2"/>
        <v>0</v>
      </c>
      <c r="BA20" s="970"/>
      <c r="BB20" s="605"/>
      <c r="BC20" s="970"/>
      <c r="BD20" s="605"/>
    </row>
    <row r="21" spans="3:56" x14ac:dyDescent="0.25">
      <c r="C21" s="168" t="s">
        <v>350</v>
      </c>
      <c r="D21" s="407">
        <f>D13</f>
        <v>43101</v>
      </c>
      <c r="E21" s="407">
        <f t="shared" ref="E21:AV21" si="3">E13</f>
        <v>43132</v>
      </c>
      <c r="F21" s="407">
        <f t="shared" si="3"/>
        <v>43160</v>
      </c>
      <c r="G21" s="407">
        <f t="shared" si="3"/>
        <v>43191</v>
      </c>
      <c r="H21" s="407">
        <f t="shared" si="3"/>
        <v>43221</v>
      </c>
      <c r="I21" s="407">
        <f t="shared" si="3"/>
        <v>43252</v>
      </c>
      <c r="J21" s="407">
        <f t="shared" si="3"/>
        <v>43282</v>
      </c>
      <c r="K21" s="407">
        <f t="shared" si="3"/>
        <v>43313</v>
      </c>
      <c r="L21" s="407">
        <f t="shared" si="3"/>
        <v>43344</v>
      </c>
      <c r="M21" s="407">
        <f t="shared" si="3"/>
        <v>43374</v>
      </c>
      <c r="N21" s="407">
        <f t="shared" si="3"/>
        <v>43405</v>
      </c>
      <c r="O21" s="407">
        <f t="shared" si="3"/>
        <v>43435</v>
      </c>
      <c r="P21" s="407">
        <f t="shared" si="3"/>
        <v>43466</v>
      </c>
      <c r="Q21" s="407">
        <f t="shared" si="3"/>
        <v>43497</v>
      </c>
      <c r="R21" s="407">
        <f t="shared" si="3"/>
        <v>43525</v>
      </c>
      <c r="S21" s="407">
        <f t="shared" si="3"/>
        <v>43556</v>
      </c>
      <c r="T21" s="407">
        <f t="shared" si="3"/>
        <v>43586</v>
      </c>
      <c r="U21" s="407">
        <f t="shared" si="3"/>
        <v>43617</v>
      </c>
      <c r="V21" s="407">
        <f t="shared" si="3"/>
        <v>43647</v>
      </c>
      <c r="W21" s="407">
        <f t="shared" si="3"/>
        <v>43678</v>
      </c>
      <c r="X21" s="407">
        <f t="shared" si="3"/>
        <v>43709</v>
      </c>
      <c r="Y21" s="407">
        <f t="shared" si="3"/>
        <v>43739</v>
      </c>
      <c r="Z21" s="407">
        <f t="shared" si="3"/>
        <v>43770</v>
      </c>
      <c r="AA21" s="407">
        <f t="shared" si="3"/>
        <v>43800</v>
      </c>
      <c r="AB21" s="407">
        <f t="shared" si="3"/>
        <v>43831</v>
      </c>
      <c r="AC21" s="407">
        <f t="shared" si="3"/>
        <v>43862</v>
      </c>
      <c r="AD21" s="407">
        <f t="shared" si="3"/>
        <v>43891</v>
      </c>
      <c r="AE21" s="407">
        <f t="shared" si="3"/>
        <v>43922</v>
      </c>
      <c r="AF21" s="407">
        <f t="shared" si="3"/>
        <v>43952</v>
      </c>
      <c r="AG21" s="407">
        <f t="shared" si="3"/>
        <v>43983</v>
      </c>
      <c r="AH21" s="407">
        <f t="shared" si="3"/>
        <v>44013</v>
      </c>
      <c r="AI21" s="407">
        <f t="shared" si="3"/>
        <v>44044</v>
      </c>
      <c r="AJ21" s="407">
        <f t="shared" si="3"/>
        <v>44075</v>
      </c>
      <c r="AK21" s="407">
        <f t="shared" si="3"/>
        <v>44105</v>
      </c>
      <c r="AL21" s="407">
        <f t="shared" si="3"/>
        <v>44136</v>
      </c>
      <c r="AM21" s="407">
        <f t="shared" si="3"/>
        <v>44166</v>
      </c>
      <c r="AN21" s="407">
        <f t="shared" si="3"/>
        <v>44197</v>
      </c>
      <c r="AO21" s="407">
        <f t="shared" si="3"/>
        <v>44228</v>
      </c>
      <c r="AP21" s="407">
        <f t="shared" si="3"/>
        <v>44256</v>
      </c>
      <c r="AQ21" s="407">
        <f t="shared" si="3"/>
        <v>44287</v>
      </c>
      <c r="AR21" s="407">
        <f t="shared" si="3"/>
        <v>44317</v>
      </c>
      <c r="AS21" s="407">
        <f t="shared" si="3"/>
        <v>44348</v>
      </c>
      <c r="AT21" s="407">
        <f t="shared" si="3"/>
        <v>44378</v>
      </c>
      <c r="AU21" s="407">
        <f t="shared" si="3"/>
        <v>44409</v>
      </c>
      <c r="AV21" s="407">
        <f t="shared" si="3"/>
        <v>44440</v>
      </c>
      <c r="AW21" s="171" t="s">
        <v>145</v>
      </c>
      <c r="AY21" s="365" t="str">
        <f t="shared" si="2"/>
        <v>Monthly Consumption/Production data</v>
      </c>
      <c r="AZ21" s="638" t="str">
        <f>AZ13</f>
        <v>Average</v>
      </c>
      <c r="BA21" s="970"/>
      <c r="BB21" s="652" t="s">
        <v>145</v>
      </c>
      <c r="BC21" s="970"/>
      <c r="BD21" s="652" t="s">
        <v>145</v>
      </c>
    </row>
    <row r="22" spans="3:56" x14ac:dyDescent="0.25">
      <c r="C22" s="402" t="s">
        <v>224</v>
      </c>
      <c r="D22" s="404">
        <v>23525.93</v>
      </c>
      <c r="E22" s="404">
        <v>28545</v>
      </c>
      <c r="F22" s="404">
        <v>38874.800000000003</v>
      </c>
      <c r="G22" s="404">
        <v>16285.68</v>
      </c>
      <c r="H22" s="404">
        <v>20395.14</v>
      </c>
      <c r="I22" s="404">
        <v>43208.38</v>
      </c>
      <c r="J22" s="404">
        <v>44409.9</v>
      </c>
      <c r="K22" s="404">
        <v>42545.9</v>
      </c>
      <c r="L22" s="404">
        <v>47261.48</v>
      </c>
      <c r="M22" s="404">
        <v>39072.364999999998</v>
      </c>
      <c r="N22" s="404">
        <v>32280.661</v>
      </c>
      <c r="O22" s="404">
        <v>45854.82</v>
      </c>
      <c r="P22" s="404">
        <v>45239.063999999998</v>
      </c>
      <c r="Q22" s="404">
        <v>45106.99</v>
      </c>
      <c r="R22" s="404">
        <v>52441.29</v>
      </c>
      <c r="S22" s="404">
        <v>56569.88</v>
      </c>
      <c r="T22" s="404">
        <v>53440.942000000003</v>
      </c>
      <c r="U22" s="404">
        <v>53526.178999999996</v>
      </c>
      <c r="V22" s="404">
        <v>54475</v>
      </c>
      <c r="W22" s="404">
        <v>42102</v>
      </c>
      <c r="X22" s="404">
        <v>42870</v>
      </c>
      <c r="Y22" s="404">
        <v>45396</v>
      </c>
      <c r="Z22" s="404">
        <v>46793</v>
      </c>
      <c r="AA22" s="404">
        <v>54388</v>
      </c>
      <c r="AB22" s="404">
        <v>48060</v>
      </c>
      <c r="AC22" s="404">
        <v>49587</v>
      </c>
      <c r="AD22" s="404">
        <v>40624</v>
      </c>
      <c r="AE22" s="404">
        <v>19956</v>
      </c>
      <c r="AF22" s="404">
        <v>24065.138999999999</v>
      </c>
      <c r="AG22" s="404">
        <v>42358</v>
      </c>
      <c r="AH22" s="404">
        <v>50087</v>
      </c>
      <c r="AI22" s="404">
        <v>47948.29</v>
      </c>
      <c r="AJ22" s="404">
        <v>44762.42</v>
      </c>
      <c r="AK22" s="404">
        <v>39579.769999999997</v>
      </c>
      <c r="AL22" s="404">
        <v>48482.49</v>
      </c>
      <c r="AM22" s="404">
        <v>45232.368000000002</v>
      </c>
      <c r="AN22" s="404">
        <v>44290.69</v>
      </c>
      <c r="AO22" s="404">
        <v>43735.178</v>
      </c>
      <c r="AP22" s="404">
        <v>48151.229999999996</v>
      </c>
      <c r="AQ22" s="404">
        <v>45518.543999999994</v>
      </c>
      <c r="AR22" s="404">
        <v>47129.62</v>
      </c>
      <c r="AS22" s="404">
        <v>45501.251000000004</v>
      </c>
      <c r="AT22" s="404">
        <v>41968.390999999996</v>
      </c>
      <c r="AU22" s="404">
        <v>45444.69</v>
      </c>
      <c r="AV22" s="404">
        <v>42818.97</v>
      </c>
      <c r="AW22" s="404">
        <f t="shared" ref="AW22:AW32" si="4">AVERAGE(D22:AV22)</f>
        <v>42664.654266666665</v>
      </c>
      <c r="AY22" s="364" t="str">
        <f t="shared" si="2"/>
        <v>C2</v>
      </c>
      <c r="AZ22" s="639">
        <v>1080000</v>
      </c>
      <c r="BA22" s="970"/>
      <c r="BB22" s="611">
        <v>569000</v>
      </c>
      <c r="BC22" s="970"/>
      <c r="BD22" s="611">
        <v>614000</v>
      </c>
    </row>
    <row r="23" spans="3:56" x14ac:dyDescent="0.25">
      <c r="C23" s="403" t="s">
        <v>223</v>
      </c>
      <c r="D23" s="404">
        <v>18367.57</v>
      </c>
      <c r="E23" s="404">
        <v>13860.61</v>
      </c>
      <c r="F23" s="404">
        <v>20763.759999999998</v>
      </c>
      <c r="G23" s="404">
        <v>16230.2</v>
      </c>
      <c r="H23" s="404">
        <v>16864.77</v>
      </c>
      <c r="I23" s="404">
        <v>19236.62</v>
      </c>
      <c r="J23" s="404">
        <v>19855.57</v>
      </c>
      <c r="K23" s="404">
        <v>19351.97</v>
      </c>
      <c r="L23" s="404">
        <v>17279.439999999999</v>
      </c>
      <c r="M23" s="404">
        <v>14949</v>
      </c>
      <c r="N23" s="404">
        <v>15001.558000000001</v>
      </c>
      <c r="O23" s="404">
        <v>13870.38</v>
      </c>
      <c r="P23" s="404">
        <v>15068.453</v>
      </c>
      <c r="Q23" s="404">
        <v>16253.66</v>
      </c>
      <c r="R23" s="404">
        <v>19710.8</v>
      </c>
      <c r="S23" s="404">
        <v>19193.288</v>
      </c>
      <c r="T23" s="404">
        <v>18458</v>
      </c>
      <c r="U23" s="404">
        <v>19455.91</v>
      </c>
      <c r="V23" s="404">
        <v>18190</v>
      </c>
      <c r="W23" s="404">
        <v>15509</v>
      </c>
      <c r="X23" s="404">
        <v>17019</v>
      </c>
      <c r="Y23" s="404">
        <v>16747</v>
      </c>
      <c r="Z23" s="404">
        <v>17061</v>
      </c>
      <c r="AA23" s="404">
        <v>19643</v>
      </c>
      <c r="AB23" s="404">
        <v>15246</v>
      </c>
      <c r="AC23" s="404">
        <v>16469</v>
      </c>
      <c r="AD23" s="404">
        <v>16045</v>
      </c>
      <c r="AE23" s="404">
        <v>7420</v>
      </c>
      <c r="AF23" s="404">
        <v>7935</v>
      </c>
      <c r="AG23" s="404">
        <v>13536</v>
      </c>
      <c r="AH23" s="404">
        <v>19162</v>
      </c>
      <c r="AI23" s="404">
        <v>18640.189999999999</v>
      </c>
      <c r="AJ23" s="404">
        <v>17283.261999999999</v>
      </c>
      <c r="AK23" s="404">
        <v>16038.02</v>
      </c>
      <c r="AL23" s="404">
        <v>15930.655000000001</v>
      </c>
      <c r="AM23" s="404">
        <v>8084.7250000000004</v>
      </c>
      <c r="AN23" s="404">
        <v>14349.45</v>
      </c>
      <c r="AO23" s="404">
        <v>13640.329999999998</v>
      </c>
      <c r="AP23" s="404">
        <v>19082.227999999999</v>
      </c>
      <c r="AQ23" s="404">
        <v>17572.519999999997</v>
      </c>
      <c r="AR23" s="404">
        <v>12938.579999999998</v>
      </c>
      <c r="AS23" s="404">
        <v>18246.82</v>
      </c>
      <c r="AT23" s="404">
        <v>16723.643000000004</v>
      </c>
      <c r="AU23" s="404">
        <v>18214.75</v>
      </c>
      <c r="AV23" s="404">
        <v>18015.900000000001</v>
      </c>
      <c r="AW23" s="404">
        <f t="shared" si="4"/>
        <v>16411.436266666664</v>
      </c>
      <c r="AY23" s="364" t="str">
        <f t="shared" si="2"/>
        <v>C3</v>
      </c>
      <c r="AZ23" s="639">
        <v>245000</v>
      </c>
      <c r="BA23" s="970"/>
      <c r="BB23" s="611">
        <v>697000</v>
      </c>
      <c r="BC23" s="970"/>
      <c r="BD23" s="611">
        <v>291000</v>
      </c>
    </row>
    <row r="24" spans="3:56" x14ac:dyDescent="0.25">
      <c r="C24" s="403" t="s">
        <v>222</v>
      </c>
      <c r="D24" s="404">
        <v>10395.65</v>
      </c>
      <c r="E24" s="404">
        <v>7149.89</v>
      </c>
      <c r="F24" s="404">
        <v>11145.19</v>
      </c>
      <c r="G24" s="404">
        <v>7763.33</v>
      </c>
      <c r="H24" s="404">
        <v>8489.0499999999993</v>
      </c>
      <c r="I24" s="404">
        <v>10800.97</v>
      </c>
      <c r="J24" s="404">
        <v>11699.65</v>
      </c>
      <c r="K24" s="404">
        <v>10335.11</v>
      </c>
      <c r="L24" s="404">
        <v>9914.52</v>
      </c>
      <c r="M24" s="404">
        <v>7980.12</v>
      </c>
      <c r="N24" s="404">
        <v>6901.9</v>
      </c>
      <c r="O24" s="404">
        <v>8782.73</v>
      </c>
      <c r="P24" s="404">
        <v>9804.3739999999998</v>
      </c>
      <c r="Q24" s="404">
        <v>9965.2199999999993</v>
      </c>
      <c r="R24" s="404">
        <v>11451.85</v>
      </c>
      <c r="S24" s="404">
        <v>11282.893</v>
      </c>
      <c r="T24" s="404">
        <v>9577</v>
      </c>
      <c r="U24" s="404">
        <v>11655.96</v>
      </c>
      <c r="V24" s="404">
        <v>11658</v>
      </c>
      <c r="W24" s="404">
        <v>9781</v>
      </c>
      <c r="X24" s="404">
        <v>10719.91</v>
      </c>
      <c r="Y24" s="404">
        <v>10303</v>
      </c>
      <c r="Z24" s="404">
        <v>10979</v>
      </c>
      <c r="AA24" s="404">
        <v>12235</v>
      </c>
      <c r="AB24" s="404">
        <v>8260</v>
      </c>
      <c r="AC24" s="404">
        <v>8918</v>
      </c>
      <c r="AD24" s="404">
        <v>9463</v>
      </c>
      <c r="AE24" s="404">
        <v>1085</v>
      </c>
      <c r="AF24" s="404">
        <v>1977</v>
      </c>
      <c r="AG24" s="404">
        <v>6975</v>
      </c>
      <c r="AH24" s="404">
        <v>11799</v>
      </c>
      <c r="AI24" s="404">
        <v>11043.08</v>
      </c>
      <c r="AJ24" s="404">
        <v>11346.87</v>
      </c>
      <c r="AK24" s="404">
        <v>11421.22</v>
      </c>
      <c r="AL24" s="404">
        <v>9782.6039999999994</v>
      </c>
      <c r="AM24" s="404">
        <v>4147.5529999999999</v>
      </c>
      <c r="AN24" s="404">
        <v>9419.93</v>
      </c>
      <c r="AO24" s="404">
        <v>6841.451</v>
      </c>
      <c r="AP24" s="404">
        <v>11985.442999999999</v>
      </c>
      <c r="AQ24" s="404">
        <v>8750.902</v>
      </c>
      <c r="AR24" s="404">
        <v>8252.0600000000013</v>
      </c>
      <c r="AS24" s="404">
        <v>10883.52</v>
      </c>
      <c r="AT24" s="404">
        <v>11120.630000000001</v>
      </c>
      <c r="AU24" s="404">
        <v>9495.33</v>
      </c>
      <c r="AV24" s="404">
        <v>12022.88</v>
      </c>
      <c r="AW24" s="404">
        <f t="shared" si="4"/>
        <v>9461.3731111111119</v>
      </c>
      <c r="AY24" s="364" t="str">
        <f t="shared" si="2"/>
        <v>C4</v>
      </c>
      <c r="AZ24" s="639">
        <v>136000</v>
      </c>
      <c r="BA24" s="970"/>
      <c r="BB24" s="611">
        <f>AZ24</f>
        <v>136000</v>
      </c>
      <c r="BC24" s="970"/>
      <c r="BD24" s="611">
        <v>179000</v>
      </c>
    </row>
    <row r="25" spans="3:56" x14ac:dyDescent="0.25">
      <c r="C25" s="403" t="s">
        <v>221</v>
      </c>
      <c r="D25" s="404">
        <v>65158</v>
      </c>
      <c r="E25" s="404">
        <v>78287</v>
      </c>
      <c r="F25" s="404">
        <v>71765</v>
      </c>
      <c r="G25" s="404">
        <v>45011</v>
      </c>
      <c r="H25" s="404">
        <v>74276.800000000003</v>
      </c>
      <c r="I25" s="404">
        <v>67051</v>
      </c>
      <c r="J25" s="404">
        <v>63581</v>
      </c>
      <c r="K25" s="404">
        <v>83798.498000000007</v>
      </c>
      <c r="L25" s="404">
        <v>67515.259999999995</v>
      </c>
      <c r="M25" s="404">
        <v>72203.460000000006</v>
      </c>
      <c r="N25" s="404">
        <v>60431.343999999997</v>
      </c>
      <c r="O25" s="404">
        <v>66799.551999999996</v>
      </c>
      <c r="P25" s="404">
        <v>86332.34</v>
      </c>
      <c r="Q25" s="404">
        <v>79566.964000000007</v>
      </c>
      <c r="R25" s="404">
        <v>102630.795</v>
      </c>
      <c r="S25" s="404">
        <v>85984.406000000003</v>
      </c>
      <c r="T25" s="404">
        <v>88111</v>
      </c>
      <c r="U25" s="404">
        <v>86502.692999999999</v>
      </c>
      <c r="V25" s="404">
        <v>113007</v>
      </c>
      <c r="W25" s="404">
        <v>83457</v>
      </c>
      <c r="X25" s="404">
        <v>88572</v>
      </c>
      <c r="Y25" s="404">
        <v>68240</v>
      </c>
      <c r="Z25" s="404">
        <v>117140</v>
      </c>
      <c r="AA25" s="404">
        <v>128916</v>
      </c>
      <c r="AB25" s="404">
        <v>140248</v>
      </c>
      <c r="AC25" s="404">
        <v>111138</v>
      </c>
      <c r="AD25" s="404">
        <v>106022</v>
      </c>
      <c r="AE25" s="404">
        <v>50931</v>
      </c>
      <c r="AF25" s="404">
        <v>84239</v>
      </c>
      <c r="AG25" s="404">
        <v>110478</v>
      </c>
      <c r="AH25" s="404">
        <v>132100</v>
      </c>
      <c r="AI25" s="404">
        <v>122243.48299999999</v>
      </c>
      <c r="AJ25" s="404">
        <v>119222.27</v>
      </c>
      <c r="AK25" s="404">
        <v>142428.861</v>
      </c>
      <c r="AL25" s="404">
        <v>118705.94</v>
      </c>
      <c r="AM25" s="404">
        <v>96474.813999999998</v>
      </c>
      <c r="AN25" s="404">
        <v>130783.25</v>
      </c>
      <c r="AO25" s="404">
        <v>119759.092</v>
      </c>
      <c r="AP25" s="404">
        <v>141030.43099999998</v>
      </c>
      <c r="AQ25" s="404">
        <v>109834.647</v>
      </c>
      <c r="AR25" s="404">
        <v>82181.577000000005</v>
      </c>
      <c r="AS25" s="404">
        <v>112421.04699999999</v>
      </c>
      <c r="AT25" s="404">
        <v>87199.964999999997</v>
      </c>
      <c r="AU25" s="404">
        <v>118859.33</v>
      </c>
      <c r="AV25" s="404">
        <v>137352.23499999999</v>
      </c>
      <c r="AW25" s="404">
        <f t="shared" si="4"/>
        <v>95955.356755555549</v>
      </c>
      <c r="AY25" s="364" t="str">
        <f t="shared" si="2"/>
        <v>Naphtha</v>
      </c>
      <c r="AZ25" s="639">
        <v>1071000</v>
      </c>
      <c r="BA25" s="970"/>
      <c r="BB25" s="611">
        <v>1611000</v>
      </c>
      <c r="BC25" s="970"/>
      <c r="BD25" s="611">
        <v>1611000</v>
      </c>
    </row>
    <row r="26" spans="3:56" x14ac:dyDescent="0.25">
      <c r="C26" s="168" t="s">
        <v>11</v>
      </c>
      <c r="D26" s="404">
        <v>49945.58</v>
      </c>
      <c r="E26" s="404">
        <v>52637.67</v>
      </c>
      <c r="F26" s="404">
        <v>65919.247000000003</v>
      </c>
      <c r="G26" s="404">
        <v>34622.629999999997</v>
      </c>
      <c r="H26" s="404">
        <v>48015.74</v>
      </c>
      <c r="I26" s="404">
        <v>67053.240000000005</v>
      </c>
      <c r="J26" s="404">
        <v>65779.199999999997</v>
      </c>
      <c r="K26" s="404">
        <v>74044.19</v>
      </c>
      <c r="L26" s="404">
        <v>70742.36</v>
      </c>
      <c r="M26" s="404">
        <v>63107.13</v>
      </c>
      <c r="N26" s="404">
        <v>54091.8</v>
      </c>
      <c r="O26" s="404">
        <v>62989.86</v>
      </c>
      <c r="P26" s="404">
        <v>72073.342000000004</v>
      </c>
      <c r="Q26" s="404">
        <v>72902.240000000005</v>
      </c>
      <c r="R26" s="404">
        <v>88796.94</v>
      </c>
      <c r="S26" s="404">
        <v>85756.76</v>
      </c>
      <c r="T26" s="404">
        <v>84081</v>
      </c>
      <c r="U26" s="404">
        <v>85182</v>
      </c>
      <c r="V26" s="404">
        <v>92854</v>
      </c>
      <c r="W26" s="404">
        <v>66915</v>
      </c>
      <c r="X26" s="404">
        <v>74976</v>
      </c>
      <c r="Y26" s="404">
        <v>70163</v>
      </c>
      <c r="Z26" s="404">
        <v>86680</v>
      </c>
      <c r="AA26" s="404">
        <v>98609.9</v>
      </c>
      <c r="AB26" s="404">
        <v>95426.14</v>
      </c>
      <c r="AC26" s="404">
        <v>87937</v>
      </c>
      <c r="AD26" s="404">
        <v>78875</v>
      </c>
      <c r="AE26" s="404">
        <v>34969</v>
      </c>
      <c r="AF26" s="404">
        <v>51949</v>
      </c>
      <c r="AG26" s="404">
        <v>79130</v>
      </c>
      <c r="AH26" s="404">
        <v>96432</v>
      </c>
      <c r="AI26" s="404">
        <v>92929.02</v>
      </c>
      <c r="AJ26" s="404">
        <v>88036.82</v>
      </c>
      <c r="AK26" s="404">
        <v>91118.51</v>
      </c>
      <c r="AL26" s="404">
        <v>90135.27</v>
      </c>
      <c r="AM26" s="404">
        <v>73083.929999999993</v>
      </c>
      <c r="AN26" s="404">
        <v>90574.5</v>
      </c>
      <c r="AO26" s="404">
        <v>84312.5</v>
      </c>
      <c r="AP26" s="404">
        <v>101478.07</v>
      </c>
      <c r="AQ26" s="404">
        <v>86143.58</v>
      </c>
      <c r="AR26" s="404">
        <v>74580.561810412168</v>
      </c>
      <c r="AS26" s="404">
        <v>88314.981495050743</v>
      </c>
      <c r="AT26" s="404">
        <v>75907.87</v>
      </c>
      <c r="AU26" s="404">
        <v>89508.39</v>
      </c>
      <c r="AV26" s="404">
        <v>94324.09</v>
      </c>
      <c r="AW26" s="404">
        <f t="shared" si="4"/>
        <v>76291.223606788044</v>
      </c>
      <c r="AY26" s="364" t="str">
        <f t="shared" si="2"/>
        <v>Ethylene</v>
      </c>
      <c r="AZ26" s="640">
        <f>AZ22*'DFCU Yields as per PwC'!$B$20+'DFCU Yields as per PwC'!$C$20*'Ethylene-Propylene COP'!AZ23+'Ethylene-Propylene COP'!AZ24*'DFCU Yields as per PwC'!$D$20+'DFCU Yields as per PwC'!$E$20*'Ethylene-Propylene COP'!AZ25</f>
        <v>1385900</v>
      </c>
      <c r="BA26" s="970"/>
      <c r="BB26" s="598">
        <f>BB22*'DFCU Yields as per PwC'!$B$20+'DFCU Yields as per PwC'!$C$20*'Ethylene-Propylene COP'!BB23+'Ethylene-Propylene COP'!BB24*'DFCU Yields as per PwC'!$D$20+'DFCU Yields as per PwC'!$E$20*'Ethylene-Propylene COP'!BB25</f>
        <v>1347600</v>
      </c>
      <c r="BC26" s="970"/>
      <c r="BD26" s="598">
        <f>BD22*'DFCU Yields as per PwC'!$B$20+'DFCU Yields as per PwC'!$C$20*'Ethylene-Propylene COP'!BD23+'Ethylene-Propylene COP'!BD24*'DFCU Yields as per PwC'!$D$20+'DFCU Yields as per PwC'!$E$20*'Ethylene-Propylene COP'!BD25</f>
        <v>1211930</v>
      </c>
    </row>
    <row r="27" spans="3:56" x14ac:dyDescent="0.25">
      <c r="C27" s="168" t="s">
        <v>126</v>
      </c>
      <c r="D27" s="404">
        <v>22030</v>
      </c>
      <c r="E27" s="404">
        <v>21936.330999999998</v>
      </c>
      <c r="F27" s="404">
        <v>23416.42</v>
      </c>
      <c r="G27" s="404">
        <v>16977.759999999998</v>
      </c>
      <c r="H27" s="404">
        <v>21718.51</v>
      </c>
      <c r="I27" s="404">
        <v>22324.95</v>
      </c>
      <c r="J27" s="404">
        <v>21364.45</v>
      </c>
      <c r="K27" s="404">
        <v>25382.14</v>
      </c>
      <c r="L27" s="404">
        <v>21445</v>
      </c>
      <c r="M27" s="404">
        <v>21636.89</v>
      </c>
      <c r="N27" s="404">
        <v>19075.793000000001</v>
      </c>
      <c r="O27" s="404">
        <v>19312.111000000001</v>
      </c>
      <c r="P27" s="404">
        <v>25051.735000000001</v>
      </c>
      <c r="Q27" s="404">
        <v>24768.079000000002</v>
      </c>
      <c r="R27" s="404">
        <v>29516.187000000002</v>
      </c>
      <c r="S27" s="404">
        <v>26614.23</v>
      </c>
      <c r="T27" s="404">
        <v>25667</v>
      </c>
      <c r="U27" s="404">
        <v>26694</v>
      </c>
      <c r="V27" s="404">
        <v>32013</v>
      </c>
      <c r="W27" s="404">
        <v>22985</v>
      </c>
      <c r="X27" s="404">
        <v>27249</v>
      </c>
      <c r="Y27" s="404">
        <v>22097</v>
      </c>
      <c r="Z27" s="404">
        <v>31429</v>
      </c>
      <c r="AA27" s="404">
        <v>34826.088000000003</v>
      </c>
      <c r="AB27" s="404">
        <v>34737</v>
      </c>
      <c r="AC27" s="404">
        <v>29810</v>
      </c>
      <c r="AD27" s="404">
        <v>28810</v>
      </c>
      <c r="AE27" s="404">
        <v>13222</v>
      </c>
      <c r="AF27" s="404">
        <v>21880</v>
      </c>
      <c r="AG27" s="404">
        <v>28622</v>
      </c>
      <c r="AH27" s="404">
        <v>35924</v>
      </c>
      <c r="AI27" s="404">
        <v>34676.300000000003</v>
      </c>
      <c r="AJ27" s="404">
        <v>31682.02</v>
      </c>
      <c r="AK27" s="404">
        <v>36641.25</v>
      </c>
      <c r="AL27" s="404">
        <v>31566.42</v>
      </c>
      <c r="AM27" s="404">
        <v>23445.39</v>
      </c>
      <c r="AN27" s="404">
        <v>34923.97</v>
      </c>
      <c r="AO27" s="404">
        <v>31332.57</v>
      </c>
      <c r="AP27" s="404">
        <v>38430.959999999999</v>
      </c>
      <c r="AQ27" s="404">
        <v>30936.880000000001</v>
      </c>
      <c r="AR27" s="404">
        <v>23936.43</v>
      </c>
      <c r="AS27" s="404">
        <v>32251.64</v>
      </c>
      <c r="AT27" s="404">
        <v>26003.07</v>
      </c>
      <c r="AU27" s="404">
        <v>32838.07</v>
      </c>
      <c r="AV27" s="404">
        <v>36896</v>
      </c>
      <c r="AW27" s="404">
        <f t="shared" si="4"/>
        <v>27202.147644444442</v>
      </c>
      <c r="AY27" s="364" t="str">
        <f t="shared" si="2"/>
        <v>Propylene</v>
      </c>
      <c r="AZ27" s="640">
        <f>AZ22*'DFCU Yields as per PwC'!$B$21+'DFCU Yields as per PwC'!$C$21*'Ethylene-Propylene COP'!AZ23+'Ethylene-Propylene COP'!AZ24*'DFCU Yields as per PwC'!$D$21+'DFCU Yields as per PwC'!$E$21*'Ethylene-Propylene COP'!AZ25</f>
        <v>308943</v>
      </c>
      <c r="BA27" s="970"/>
      <c r="BB27" s="598">
        <f>BB22*'DFCU Yields as per PwC'!$B$21+'DFCU Yields as per PwC'!$C$21*'Ethylene-Propylene COP'!BB23+'Ethylene-Propylene COP'!BB24*'DFCU Yields as per PwC'!$D$21+'DFCU Yields as per PwC'!$E$21*'Ethylene-Propylene COP'!BB25</f>
        <v>516533</v>
      </c>
      <c r="BC27" s="970"/>
      <c r="BD27" s="598">
        <f>BD22*'DFCU Yields as per PwC'!$B$21+'DFCU Yields as per PwC'!$C$21*'Ethylene-Propylene COP'!BD23+'Ethylene-Propylene COP'!BD24*'DFCU Yields as per PwC'!$D$21+'DFCU Yields as per PwC'!$E$21*'Ethylene-Propylene COP'!BD25</f>
        <v>429863</v>
      </c>
    </row>
    <row r="28" spans="3:56" x14ac:dyDescent="0.25">
      <c r="C28" s="168" t="str">
        <f>C14</f>
        <v xml:space="preserve">Benzene </v>
      </c>
      <c r="D28" s="404">
        <v>5738.73</v>
      </c>
      <c r="E28" s="404">
        <v>5546.23</v>
      </c>
      <c r="F28" s="404">
        <v>5553.58</v>
      </c>
      <c r="G28" s="404">
        <v>6388.57</v>
      </c>
      <c r="H28" s="404">
        <v>5088.51</v>
      </c>
      <c r="I28" s="404">
        <v>7207.11</v>
      </c>
      <c r="J28" s="404">
        <v>4960.7700000000004</v>
      </c>
      <c r="K28" s="404">
        <v>8255.3799999999992</v>
      </c>
      <c r="L28" s="404">
        <v>5650.77</v>
      </c>
      <c r="M28" s="404">
        <v>4951.7299999999996</v>
      </c>
      <c r="N28" s="404">
        <v>6463.37</v>
      </c>
      <c r="O28" s="404">
        <v>5602.18</v>
      </c>
      <c r="P28" s="404">
        <v>7519.01</v>
      </c>
      <c r="Q28" s="404">
        <v>7910.32</v>
      </c>
      <c r="R28" s="404">
        <v>9453.0400000000009</v>
      </c>
      <c r="S28" s="404">
        <v>7091.68</v>
      </c>
      <c r="T28" s="404">
        <v>8146</v>
      </c>
      <c r="U28" s="404">
        <v>8319</v>
      </c>
      <c r="V28" s="404">
        <v>10924</v>
      </c>
      <c r="W28" s="404">
        <v>5906</v>
      </c>
      <c r="X28" s="404">
        <v>10349</v>
      </c>
      <c r="Y28" s="404">
        <v>6062</v>
      </c>
      <c r="Z28" s="404">
        <v>10097</v>
      </c>
      <c r="AA28" s="404">
        <v>11747.16</v>
      </c>
      <c r="AB28" s="404">
        <v>13722.14</v>
      </c>
      <c r="AC28" s="404">
        <v>10402</v>
      </c>
      <c r="AD28" s="404">
        <v>9781</v>
      </c>
      <c r="AE28" s="404">
        <v>3128</v>
      </c>
      <c r="AF28" s="404">
        <v>8235.06</v>
      </c>
      <c r="AG28" s="404">
        <v>9599.3700000000008</v>
      </c>
      <c r="AH28" s="404">
        <v>11350.844999999999</v>
      </c>
      <c r="AI28" s="404">
        <v>13091.927</v>
      </c>
      <c r="AJ28" s="404">
        <v>10432.85</v>
      </c>
      <c r="AK28" s="404">
        <v>13142.431</v>
      </c>
      <c r="AL28" s="404">
        <v>12844.56</v>
      </c>
      <c r="AM28" s="404">
        <v>8019.9989999999998</v>
      </c>
      <c r="AN28" s="404">
        <v>12525.48</v>
      </c>
      <c r="AO28" s="404">
        <v>10450.965</v>
      </c>
      <c r="AP28" s="404">
        <v>12772.37</v>
      </c>
      <c r="AQ28" s="404">
        <v>10311.493</v>
      </c>
      <c r="AR28" s="404">
        <v>7345.4679999999998</v>
      </c>
      <c r="AS28" s="404">
        <v>10375.859999999999</v>
      </c>
      <c r="AT28" s="404">
        <v>8297.5470000000005</v>
      </c>
      <c r="AU28" s="404">
        <v>10690.93</v>
      </c>
      <c r="AV28" s="404">
        <v>12176.65</v>
      </c>
      <c r="AW28" s="404">
        <f t="shared" si="4"/>
        <v>8747.2907777777764</v>
      </c>
      <c r="AY28" s="364" t="str">
        <f t="shared" si="2"/>
        <v xml:space="preserve">Benzene </v>
      </c>
      <c r="AZ28" s="640">
        <f>AZ22*'DFCU Yields as per PwC'!$B$23+'DFCU Yields as per PwC'!$C$23*'Ethylene-Propylene COP'!AZ23+'Ethylene-Propylene COP'!AZ24*'DFCU Yields as per PwC'!$D$23+'DFCU Yields as per PwC'!$E$23*'Ethylene-Propylene COP'!AZ25</f>
        <v>96454.799999999988</v>
      </c>
      <c r="BA28" s="970"/>
      <c r="BB28" s="598">
        <f>BB22*'DFCU Yields as per PwC'!$B$23+'DFCU Yields as per PwC'!$C$23*'Ethylene-Propylene COP'!BB23+'Ethylene-Propylene COP'!BB24*'DFCU Yields as per PwC'!$D$23+'DFCU Yields as per PwC'!$E$23*'Ethylene-Propylene COP'!BB25</f>
        <v>141680.75999999998</v>
      </c>
      <c r="BC28" s="970"/>
      <c r="BD28" s="598">
        <f>BD22*'DFCU Yields as per PwC'!$B$23+'DFCU Yields as per PwC'!$C$23*'Ethylene-Propylene COP'!BD23+'Ethylene-Propylene COP'!BD24*'DFCU Yields as per PwC'!$D$23+'DFCU Yields as per PwC'!$E$23*'Ethylene-Propylene COP'!BD25</f>
        <v>140858.15999999997</v>
      </c>
    </row>
    <row r="29" spans="3:56" x14ac:dyDescent="0.25">
      <c r="C29" s="168" t="str">
        <f>C15</f>
        <v xml:space="preserve"> 1,3Butadiene </v>
      </c>
      <c r="D29" s="404">
        <v>5035.09</v>
      </c>
      <c r="E29" s="404">
        <v>5318.95</v>
      </c>
      <c r="F29" s="404">
        <v>5868.35</v>
      </c>
      <c r="G29" s="404">
        <v>3840.68</v>
      </c>
      <c r="H29" s="404">
        <v>5402.43</v>
      </c>
      <c r="I29" s="404">
        <v>5254.61</v>
      </c>
      <c r="J29" s="404">
        <v>4959.13</v>
      </c>
      <c r="K29" s="404">
        <v>6711.33</v>
      </c>
      <c r="L29" s="404">
        <v>5427.42</v>
      </c>
      <c r="M29" s="404">
        <v>5758.21</v>
      </c>
      <c r="N29" s="404">
        <v>4917.04</v>
      </c>
      <c r="O29" s="404">
        <v>5195.62</v>
      </c>
      <c r="P29" s="404">
        <v>6549.94</v>
      </c>
      <c r="Q29" s="404">
        <v>6626.56</v>
      </c>
      <c r="R29" s="404">
        <v>8241.35</v>
      </c>
      <c r="S29" s="404">
        <v>6997.62</v>
      </c>
      <c r="T29" s="404">
        <v>7041</v>
      </c>
      <c r="U29" s="404">
        <v>7021</v>
      </c>
      <c r="V29" s="404">
        <v>8358</v>
      </c>
      <c r="W29" s="404">
        <v>6091.23</v>
      </c>
      <c r="X29" s="404">
        <v>7441</v>
      </c>
      <c r="Y29" s="404">
        <v>5606</v>
      </c>
      <c r="Z29" s="404">
        <v>8771</v>
      </c>
      <c r="AA29" s="404">
        <v>9507.3799999999992</v>
      </c>
      <c r="AB29" s="404">
        <v>10231.67</v>
      </c>
      <c r="AC29" s="404">
        <v>7833</v>
      </c>
      <c r="AD29" s="404">
        <v>8015</v>
      </c>
      <c r="AE29" s="404">
        <v>3453</v>
      </c>
      <c r="AF29" s="404">
        <v>6192.43</v>
      </c>
      <c r="AG29" s="404">
        <v>7316.27</v>
      </c>
      <c r="AH29" s="404">
        <v>9601.6319999999996</v>
      </c>
      <c r="AI29" s="404">
        <v>8942.84</v>
      </c>
      <c r="AJ29" s="404">
        <v>8863.77</v>
      </c>
      <c r="AK29" s="404">
        <v>9913.7080000000005</v>
      </c>
      <c r="AL29" s="404">
        <v>8774.1029999999992</v>
      </c>
      <c r="AM29" s="404">
        <v>6341.2259999999997</v>
      </c>
      <c r="AN29" s="404">
        <v>9528.61</v>
      </c>
      <c r="AO29" s="404">
        <v>8494.66</v>
      </c>
      <c r="AP29" s="404">
        <v>10493.012000000002</v>
      </c>
      <c r="AQ29" s="404">
        <v>8309.4509999999991</v>
      </c>
      <c r="AR29" s="404">
        <v>6425.7750000000005</v>
      </c>
      <c r="AS29" s="404">
        <v>8139.817</v>
      </c>
      <c r="AT29" s="404">
        <v>6525.7</v>
      </c>
      <c r="AU29" s="404">
        <v>8576.91</v>
      </c>
      <c r="AV29" s="404">
        <v>9442.6</v>
      </c>
      <c r="AW29" s="404">
        <f t="shared" si="4"/>
        <v>7185.6916444444432</v>
      </c>
      <c r="AY29" s="364" t="str">
        <f t="shared" si="2"/>
        <v xml:space="preserve"> 1,3Butadiene </v>
      </c>
      <c r="AZ29" s="640">
        <f>AZ22*'DFCU Yields as per PwC'!$B$24+'DFCU Yields as per PwC'!$C$24*'Ethylene-Propylene COP'!AZ23+'Ethylene-Propylene COP'!AZ24*'DFCU Yields as per PwC'!$D$24+'DFCU Yields as per PwC'!$E$24*'Ethylene-Propylene COP'!AZ25</f>
        <v>94750.983999999997</v>
      </c>
      <c r="BA29" s="970"/>
      <c r="BB29" s="598">
        <f>BB22*'DFCU Yields as per PwC'!$B$24+'DFCU Yields as per PwC'!$C$24*'Ethylene-Propylene COP'!BB23+'Ethylene-Propylene COP'!BB24*'DFCU Yields as per PwC'!$D$24+'DFCU Yields as per PwC'!$E$24*'Ethylene-Propylene COP'!BB25</f>
        <v>124061.0815</v>
      </c>
      <c r="BC29" s="970"/>
      <c r="BD29" s="598">
        <f>BD22*'DFCU Yields as per PwC'!$B$24+'DFCU Yields as per PwC'!$C$24*'Ethylene-Propylene COP'!BD23+'Ethylene-Propylene COP'!BD24*'DFCU Yields as per PwC'!$D$24+'DFCU Yields as per PwC'!$E$24*'Ethylene-Propylene COP'!BD25</f>
        <v>124305.149</v>
      </c>
    </row>
    <row r="30" spans="3:56" x14ac:dyDescent="0.25">
      <c r="C30" s="168" t="str">
        <f>C16</f>
        <v xml:space="preserve"> Hydrogenated Pygas (HPG) </v>
      </c>
      <c r="D30" s="404">
        <v>7003.26</v>
      </c>
      <c r="E30" s="404">
        <v>7167.32</v>
      </c>
      <c r="F30" s="404">
        <v>5434.38</v>
      </c>
      <c r="G30" s="404">
        <v>7311.89</v>
      </c>
      <c r="H30" s="404">
        <v>6381.84</v>
      </c>
      <c r="I30" s="404">
        <v>6988.31</v>
      </c>
      <c r="J30" s="404">
        <v>6327.63</v>
      </c>
      <c r="K30" s="404">
        <v>8450.15</v>
      </c>
      <c r="L30" s="404">
        <v>6385.12</v>
      </c>
      <c r="M30" s="404">
        <v>5925.4</v>
      </c>
      <c r="N30" s="404">
        <v>7156.14</v>
      </c>
      <c r="O30" s="404">
        <v>6727.19</v>
      </c>
      <c r="P30" s="404">
        <v>9138.36</v>
      </c>
      <c r="Q30" s="404">
        <v>8492.11</v>
      </c>
      <c r="R30" s="404">
        <v>9850.5400000000009</v>
      </c>
      <c r="S30" s="404">
        <v>7936</v>
      </c>
      <c r="T30" s="404">
        <v>8416</v>
      </c>
      <c r="U30" s="404">
        <v>9125</v>
      </c>
      <c r="V30" s="404">
        <v>11478</v>
      </c>
      <c r="W30" s="404">
        <v>7130</v>
      </c>
      <c r="X30" s="404">
        <v>10779</v>
      </c>
      <c r="Y30" s="404">
        <v>6740</v>
      </c>
      <c r="Z30" s="404">
        <v>11310</v>
      </c>
      <c r="AA30" s="404">
        <v>12538.1</v>
      </c>
      <c r="AB30" s="404">
        <v>14581.54</v>
      </c>
      <c r="AC30" s="404">
        <v>9686</v>
      </c>
      <c r="AD30" s="404">
        <v>9226</v>
      </c>
      <c r="AE30" s="404">
        <v>3834</v>
      </c>
      <c r="AF30" s="404">
        <v>8534.58</v>
      </c>
      <c r="AG30" s="404">
        <v>8996.82</v>
      </c>
      <c r="AH30" s="404">
        <v>10406.323</v>
      </c>
      <c r="AI30" s="404">
        <v>12070.55</v>
      </c>
      <c r="AJ30" s="404">
        <v>12596.78</v>
      </c>
      <c r="AK30" s="404">
        <v>12632.834000000001</v>
      </c>
      <c r="AL30" s="404">
        <v>12131.97</v>
      </c>
      <c r="AM30" s="404">
        <v>8170.634</v>
      </c>
      <c r="AN30" s="404">
        <v>11747.32</v>
      </c>
      <c r="AO30" s="404">
        <v>10296.02</v>
      </c>
      <c r="AP30" s="404">
        <v>11820.69</v>
      </c>
      <c r="AQ30" s="404">
        <v>10496.224</v>
      </c>
      <c r="AR30" s="404">
        <v>8125.1449999999995</v>
      </c>
      <c r="AS30" s="404">
        <v>10128.516</v>
      </c>
      <c r="AT30" s="404">
        <v>7263.7079999999996</v>
      </c>
      <c r="AU30" s="404">
        <v>9459.25</v>
      </c>
      <c r="AV30" s="404">
        <v>11609.54</v>
      </c>
      <c r="AW30" s="404">
        <f t="shared" si="4"/>
        <v>9066.80408888889</v>
      </c>
      <c r="AY30" s="364" t="str">
        <f t="shared" si="2"/>
        <v xml:space="preserve"> Hydrogenated Pygas (HPG) </v>
      </c>
      <c r="AZ30" s="640">
        <f>AZ22*'DFCU Yields as per PwC'!$B$25+'DFCU Yields as per PwC'!$C$25*'Ethylene-Propylene COP'!AZ23+'Ethylene-Propylene COP'!AZ24*'DFCU Yields as per PwC'!$D$25+'DFCU Yields as per PwC'!$E$25*'Ethylene-Propylene COP'!AZ25</f>
        <v>108511.65</v>
      </c>
      <c r="BA30" s="970"/>
      <c r="BB30" s="598">
        <f>BB22*'DFCU Yields as per PwC'!$B$25+'DFCU Yields as per PwC'!$C$25*'Ethylene-Propylene COP'!BB23+'Ethylene-Propylene COP'!BB24*'DFCU Yields as per PwC'!$D$25+'DFCU Yields as per PwC'!$E$25*'Ethylene-Propylene COP'!BB25</f>
        <v>159390.85499999998</v>
      </c>
      <c r="BC30" s="970"/>
      <c r="BD30" s="598">
        <f>BD22*'DFCU Yields as per PwC'!$B$25+'DFCU Yields as per PwC'!$C$25*'Ethylene-Propylene COP'!BD23+'Ethylene-Propylene COP'!BD24*'DFCU Yields as per PwC'!$D$25+'DFCU Yields as per PwC'!$E$25*'Ethylene-Propylene COP'!BD25</f>
        <v>158465.43</v>
      </c>
    </row>
    <row r="31" spans="3:56" x14ac:dyDescent="0.25">
      <c r="C31" s="168" t="str">
        <f>C17</f>
        <v xml:space="preserve"> CBFS </v>
      </c>
      <c r="D31" s="404">
        <v>2288</v>
      </c>
      <c r="E31" s="404">
        <v>2282</v>
      </c>
      <c r="F31" s="404">
        <v>2420.8200000000002</v>
      </c>
      <c r="G31" s="404">
        <v>1680</v>
      </c>
      <c r="H31" s="404">
        <v>2487</v>
      </c>
      <c r="I31" s="404">
        <v>2995.93</v>
      </c>
      <c r="J31" s="404">
        <v>2652.07</v>
      </c>
      <c r="K31" s="404">
        <v>3750.9</v>
      </c>
      <c r="L31" s="404">
        <v>2821.94</v>
      </c>
      <c r="M31" s="404">
        <v>2783.7</v>
      </c>
      <c r="N31" s="404">
        <v>2230.58</v>
      </c>
      <c r="O31" s="404">
        <v>2831.89</v>
      </c>
      <c r="P31" s="404">
        <v>3192.87</v>
      </c>
      <c r="Q31" s="404">
        <v>2790.34</v>
      </c>
      <c r="R31" s="404">
        <v>3892.67</v>
      </c>
      <c r="S31" s="404">
        <v>3005.33</v>
      </c>
      <c r="T31" s="404">
        <v>3607</v>
      </c>
      <c r="U31" s="404">
        <v>3567</v>
      </c>
      <c r="V31" s="404">
        <v>4318</v>
      </c>
      <c r="W31" s="404">
        <v>3040</v>
      </c>
      <c r="X31" s="404">
        <v>3121</v>
      </c>
      <c r="Y31" s="404">
        <v>2451</v>
      </c>
      <c r="Z31" s="404">
        <v>4111</v>
      </c>
      <c r="AA31" s="404">
        <v>4572</v>
      </c>
      <c r="AB31" s="404">
        <v>5091</v>
      </c>
      <c r="AC31" s="404">
        <v>3886</v>
      </c>
      <c r="AD31" s="404">
        <v>4080</v>
      </c>
      <c r="AE31" s="404">
        <v>1803</v>
      </c>
      <c r="AF31" s="404">
        <v>2864.77</v>
      </c>
      <c r="AG31" s="404">
        <v>3627</v>
      </c>
      <c r="AH31" s="404">
        <v>4737</v>
      </c>
      <c r="AI31" s="404">
        <v>4625.93</v>
      </c>
      <c r="AJ31" s="404">
        <v>5242.67</v>
      </c>
      <c r="AK31" s="404">
        <v>5385.41</v>
      </c>
      <c r="AL31" s="404">
        <v>4755.1000000000004</v>
      </c>
      <c r="AM31" s="404">
        <v>3512.55</v>
      </c>
      <c r="AN31" s="404">
        <v>4747.9799999999996</v>
      </c>
      <c r="AO31" s="404">
        <v>4479.76</v>
      </c>
      <c r="AP31" s="404">
        <v>5413.0480000000007</v>
      </c>
      <c r="AQ31" s="404">
        <v>3936.0899999999997</v>
      </c>
      <c r="AR31" s="404">
        <v>3079.6699999999996</v>
      </c>
      <c r="AS31" s="404">
        <v>3853.76</v>
      </c>
      <c r="AT31" s="404">
        <v>3747.31</v>
      </c>
      <c r="AU31" s="404">
        <v>4174.95</v>
      </c>
      <c r="AV31" s="404">
        <v>4934.9399999999996</v>
      </c>
      <c r="AW31" s="404">
        <f t="shared" si="4"/>
        <v>3574.9106222222235</v>
      </c>
      <c r="AY31" s="364" t="str">
        <f t="shared" si="2"/>
        <v xml:space="preserve"> CBFS </v>
      </c>
      <c r="AZ31" s="640">
        <f>AZ22*'DFCU Yields as per PwC'!$B$22+'DFCU Yields as per PwC'!$C$22*'Ethylene-Propylene COP'!AZ23+'Ethylene-Propylene COP'!AZ24*'DFCU Yields as per PwC'!$D$22+'DFCU Yields as per PwC'!$E$22*'Ethylene-Propylene COP'!AZ25</f>
        <v>44310</v>
      </c>
      <c r="BA31" s="970"/>
      <c r="BB31" s="598">
        <f>BB22*'DFCU Yields as per PwC'!$B$22+'DFCU Yields as per PwC'!$C$22*'Ethylene-Propylene COP'!BB23+'Ethylene-Propylene COP'!BB24*'DFCU Yields as per PwC'!$D$22+'DFCU Yields as per PwC'!$E$22*'Ethylene-Propylene COP'!BB25</f>
        <v>67350.2</v>
      </c>
      <c r="BC31" s="970"/>
      <c r="BD31" s="598">
        <f>BD22*'DFCU Yields as per PwC'!$B$22+'DFCU Yields as per PwC'!$C$22*'Ethylene-Propylene COP'!BD23+'Ethylene-Propylene COP'!BD24*'DFCU Yields as per PwC'!$D$22+'DFCU Yields as per PwC'!$E$22*'Ethylene-Propylene COP'!BD25</f>
        <v>63801.19999999999</v>
      </c>
    </row>
    <row r="32" spans="3:56" x14ac:dyDescent="0.25">
      <c r="C32" s="168" t="str">
        <f>C18</f>
        <v xml:space="preserve"> C9+   </v>
      </c>
      <c r="D32" s="404">
        <v>3038.98</v>
      </c>
      <c r="E32" s="404">
        <v>2796.45</v>
      </c>
      <c r="F32" s="404">
        <v>2449.16</v>
      </c>
      <c r="G32" s="404">
        <v>3740.97</v>
      </c>
      <c r="H32" s="404">
        <v>2915</v>
      </c>
      <c r="I32" s="404">
        <v>3313.31</v>
      </c>
      <c r="J32" s="404">
        <v>2909.14</v>
      </c>
      <c r="K32" s="404">
        <v>3347.57</v>
      </c>
      <c r="L32" s="404">
        <v>2754.97</v>
      </c>
      <c r="M32" s="404">
        <v>2411.13</v>
      </c>
      <c r="N32" s="404">
        <v>2954.2</v>
      </c>
      <c r="O32" s="404">
        <v>2424</v>
      </c>
      <c r="P32" s="404">
        <v>3406.96</v>
      </c>
      <c r="Q32" s="404">
        <v>3337.5</v>
      </c>
      <c r="R32" s="404">
        <v>4029.99</v>
      </c>
      <c r="S32" s="404">
        <v>3508</v>
      </c>
      <c r="T32" s="404">
        <v>3465</v>
      </c>
      <c r="U32" s="404">
        <v>3330</v>
      </c>
      <c r="V32" s="404">
        <v>3846</v>
      </c>
      <c r="W32" s="404">
        <v>2811</v>
      </c>
      <c r="X32" s="404">
        <v>4116</v>
      </c>
      <c r="Y32" s="404">
        <v>2590</v>
      </c>
      <c r="Z32" s="404">
        <v>3718</v>
      </c>
      <c r="AA32" s="404">
        <v>4782</v>
      </c>
      <c r="AB32" s="404">
        <v>4613</v>
      </c>
      <c r="AC32" s="404">
        <v>3371</v>
      </c>
      <c r="AD32" s="404">
        <v>3548</v>
      </c>
      <c r="AE32" s="404">
        <v>1377</v>
      </c>
      <c r="AF32" s="404">
        <v>3163.48</v>
      </c>
      <c r="AG32" s="404">
        <v>3551.82</v>
      </c>
      <c r="AH32" s="404">
        <v>4656.0969999999998</v>
      </c>
      <c r="AI32" s="404">
        <v>4523.5879999999997</v>
      </c>
      <c r="AJ32" s="404">
        <v>4271.93</v>
      </c>
      <c r="AK32" s="404">
        <v>5041.34</v>
      </c>
      <c r="AL32" s="404">
        <v>4371.9129999999996</v>
      </c>
      <c r="AM32" s="404">
        <v>2556.2040000000002</v>
      </c>
      <c r="AN32" s="404">
        <v>3435.15</v>
      </c>
      <c r="AO32" s="404">
        <v>2901.2959999999998</v>
      </c>
      <c r="AP32" s="404">
        <v>3775.0142590775276</v>
      </c>
      <c r="AQ32" s="404">
        <v>3725.9984215727795</v>
      </c>
      <c r="AR32" s="404">
        <v>2772.6679999999997</v>
      </c>
      <c r="AS32" s="404">
        <v>3491.4396294150079</v>
      </c>
      <c r="AT32" s="404">
        <v>2706.4340000000002</v>
      </c>
      <c r="AU32" s="404">
        <v>3359.25</v>
      </c>
      <c r="AV32" s="404">
        <v>3871.83</v>
      </c>
      <c r="AW32" s="404">
        <f t="shared" si="4"/>
        <v>3401.7729402236737</v>
      </c>
      <c r="AY32" s="364" t="str">
        <f t="shared" si="2"/>
        <v xml:space="preserve"> C9+   </v>
      </c>
      <c r="AZ32" s="640">
        <f>AZ22*'DFCU Yields as per PwC'!$B$28+'DFCU Yields as per PwC'!$C$28*'Ethylene-Propylene COP'!AZ23+'Ethylene-Propylene COP'!AZ24*'DFCU Yields as per PwC'!$D$28+'DFCU Yields as per PwC'!$E$28*'Ethylene-Propylene COP'!AZ25</f>
        <v>32553.494999999999</v>
      </c>
      <c r="BA32" s="970"/>
      <c r="BB32" s="598">
        <f>BB22*'DFCU Yields as per PwC'!$B$28+'DFCU Yields as per PwC'!$C$28*'Ethylene-Propylene COP'!BB23+'Ethylene-Propylene COP'!BB24*'DFCU Yields as per PwC'!$D$28+'DFCU Yields as per PwC'!$E$28*'Ethylene-Propylene COP'!BB25</f>
        <v>47817.256499999996</v>
      </c>
      <c r="BC32" s="970"/>
      <c r="BD32" s="598">
        <f>BD22*'DFCU Yields as per PwC'!$B$28+'DFCU Yields as per PwC'!$C$28*'Ethylene-Propylene COP'!BD23+'Ethylene-Propylene COP'!BD24*'DFCU Yields as per PwC'!$D$28+'DFCU Yields as per PwC'!$E$28*'Ethylene-Propylene COP'!BD25</f>
        <v>47539.628999999994</v>
      </c>
    </row>
    <row r="33" spans="3:56" x14ac:dyDescent="0.25">
      <c r="C33" s="400"/>
      <c r="D33" s="626"/>
      <c r="E33" s="626"/>
      <c r="F33" s="626"/>
      <c r="G33" s="626"/>
      <c r="H33" s="626"/>
      <c r="I33" s="626"/>
      <c r="J33" s="626"/>
      <c r="K33" s="626"/>
      <c r="L33" s="626"/>
      <c r="M33" s="626"/>
      <c r="N33" s="626"/>
      <c r="O33" s="626"/>
      <c r="P33" s="626"/>
      <c r="Q33" s="626"/>
      <c r="R33" s="626"/>
      <c r="S33" s="626"/>
      <c r="T33" s="626"/>
      <c r="U33" s="626"/>
      <c r="V33" s="626"/>
      <c r="W33" s="626"/>
      <c r="X33" s="626"/>
      <c r="Y33" s="626"/>
      <c r="Z33" s="626"/>
      <c r="AA33" s="626"/>
      <c r="AB33" s="626"/>
      <c r="AC33" s="626"/>
      <c r="AD33" s="626"/>
      <c r="AE33" s="626"/>
      <c r="AF33" s="626"/>
      <c r="AG33" s="626"/>
      <c r="AH33" s="626"/>
      <c r="AI33" s="626"/>
      <c r="AJ33" s="626"/>
      <c r="AK33" s="626"/>
      <c r="AL33" s="626"/>
      <c r="AM33" s="626"/>
      <c r="AN33" s="626"/>
      <c r="AO33" s="626"/>
      <c r="AP33" s="626"/>
      <c r="AQ33" s="626"/>
      <c r="AR33" s="626"/>
      <c r="AS33" s="626"/>
      <c r="AT33" s="626"/>
      <c r="AU33" s="626"/>
      <c r="AV33" s="626"/>
      <c r="AW33" s="626"/>
      <c r="AY33" s="364"/>
      <c r="AZ33" s="351"/>
      <c r="BA33" s="970"/>
      <c r="BB33" s="351"/>
      <c r="BC33" s="970"/>
      <c r="BD33" s="351"/>
    </row>
    <row r="34" spans="3:56" x14ac:dyDescent="0.25">
      <c r="C34" s="623" t="s">
        <v>604</v>
      </c>
      <c r="D34" s="392">
        <f>D21</f>
        <v>43101</v>
      </c>
      <c r="E34" s="392">
        <f t="shared" ref="E34:AW34" si="5">E21</f>
        <v>43132</v>
      </c>
      <c r="F34" s="392">
        <f t="shared" si="5"/>
        <v>43160</v>
      </c>
      <c r="G34" s="392">
        <f t="shared" si="5"/>
        <v>43191</v>
      </c>
      <c r="H34" s="392">
        <f t="shared" si="5"/>
        <v>43221</v>
      </c>
      <c r="I34" s="392">
        <f t="shared" si="5"/>
        <v>43252</v>
      </c>
      <c r="J34" s="392">
        <f t="shared" si="5"/>
        <v>43282</v>
      </c>
      <c r="K34" s="392">
        <f t="shared" si="5"/>
        <v>43313</v>
      </c>
      <c r="L34" s="392">
        <f t="shared" si="5"/>
        <v>43344</v>
      </c>
      <c r="M34" s="392">
        <f t="shared" si="5"/>
        <v>43374</v>
      </c>
      <c r="N34" s="392">
        <f t="shared" si="5"/>
        <v>43405</v>
      </c>
      <c r="O34" s="392">
        <f t="shared" si="5"/>
        <v>43435</v>
      </c>
      <c r="P34" s="392">
        <f t="shared" si="5"/>
        <v>43466</v>
      </c>
      <c r="Q34" s="392">
        <f t="shared" si="5"/>
        <v>43497</v>
      </c>
      <c r="R34" s="392">
        <f t="shared" si="5"/>
        <v>43525</v>
      </c>
      <c r="S34" s="392">
        <f t="shared" si="5"/>
        <v>43556</v>
      </c>
      <c r="T34" s="392">
        <f t="shared" si="5"/>
        <v>43586</v>
      </c>
      <c r="U34" s="392">
        <f t="shared" si="5"/>
        <v>43617</v>
      </c>
      <c r="V34" s="392">
        <f t="shared" si="5"/>
        <v>43647</v>
      </c>
      <c r="W34" s="392">
        <f t="shared" si="5"/>
        <v>43678</v>
      </c>
      <c r="X34" s="392">
        <f t="shared" si="5"/>
        <v>43709</v>
      </c>
      <c r="Y34" s="392">
        <f t="shared" si="5"/>
        <v>43739</v>
      </c>
      <c r="Z34" s="392">
        <f t="shared" si="5"/>
        <v>43770</v>
      </c>
      <c r="AA34" s="392">
        <f t="shared" si="5"/>
        <v>43800</v>
      </c>
      <c r="AB34" s="392">
        <f t="shared" si="5"/>
        <v>43831</v>
      </c>
      <c r="AC34" s="392">
        <f t="shared" si="5"/>
        <v>43862</v>
      </c>
      <c r="AD34" s="392">
        <f t="shared" si="5"/>
        <v>43891</v>
      </c>
      <c r="AE34" s="392">
        <f t="shared" si="5"/>
        <v>43922</v>
      </c>
      <c r="AF34" s="392">
        <f t="shared" si="5"/>
        <v>43952</v>
      </c>
      <c r="AG34" s="392">
        <f t="shared" si="5"/>
        <v>43983</v>
      </c>
      <c r="AH34" s="392">
        <f t="shared" si="5"/>
        <v>44013</v>
      </c>
      <c r="AI34" s="392">
        <f t="shared" si="5"/>
        <v>44044</v>
      </c>
      <c r="AJ34" s="392">
        <f t="shared" si="5"/>
        <v>44075</v>
      </c>
      <c r="AK34" s="392">
        <f t="shared" si="5"/>
        <v>44105</v>
      </c>
      <c r="AL34" s="392">
        <f t="shared" si="5"/>
        <v>44136</v>
      </c>
      <c r="AM34" s="392">
        <f t="shared" si="5"/>
        <v>44166</v>
      </c>
      <c r="AN34" s="392">
        <f t="shared" si="5"/>
        <v>44197</v>
      </c>
      <c r="AO34" s="392">
        <f t="shared" si="5"/>
        <v>44228</v>
      </c>
      <c r="AP34" s="392">
        <f t="shared" si="5"/>
        <v>44256</v>
      </c>
      <c r="AQ34" s="392">
        <f t="shared" si="5"/>
        <v>44287</v>
      </c>
      <c r="AR34" s="392">
        <f t="shared" si="5"/>
        <v>44317</v>
      </c>
      <c r="AS34" s="392">
        <f t="shared" si="5"/>
        <v>44348</v>
      </c>
      <c r="AT34" s="392">
        <f t="shared" si="5"/>
        <v>44378</v>
      </c>
      <c r="AU34" s="392">
        <f t="shared" si="5"/>
        <v>44409</v>
      </c>
      <c r="AV34" s="392">
        <f t="shared" si="5"/>
        <v>44440</v>
      </c>
      <c r="AW34" s="392" t="str">
        <f t="shared" si="5"/>
        <v>Average</v>
      </c>
      <c r="AY34" s="623" t="s">
        <v>604</v>
      </c>
      <c r="AZ34" s="635"/>
      <c r="BA34" s="970"/>
      <c r="BB34" s="607"/>
      <c r="BC34" s="970"/>
      <c r="BD34" s="607"/>
    </row>
    <row r="35" spans="3:56" x14ac:dyDescent="0.25">
      <c r="C35" s="168" t="s">
        <v>653</v>
      </c>
      <c r="D35" s="598">
        <f t="shared" ref="D35:AV35" si="6">27.86*D26/1000</f>
        <v>1391.4838588</v>
      </c>
      <c r="E35" s="598">
        <f t="shared" si="6"/>
        <v>1466.4854862</v>
      </c>
      <c r="F35" s="598">
        <f t="shared" si="6"/>
        <v>1836.5102214200001</v>
      </c>
      <c r="G35" s="598">
        <f t="shared" si="6"/>
        <v>964.58647179999991</v>
      </c>
      <c r="H35" s="598">
        <f t="shared" si="6"/>
        <v>1337.7185163999998</v>
      </c>
      <c r="I35" s="598">
        <f t="shared" si="6"/>
        <v>1868.1032664000002</v>
      </c>
      <c r="J35" s="598">
        <f t="shared" si="6"/>
        <v>1832.6085119999998</v>
      </c>
      <c r="K35" s="598">
        <f t="shared" si="6"/>
        <v>2062.8711334</v>
      </c>
      <c r="L35" s="598">
        <f t="shared" si="6"/>
        <v>1970.8821495999998</v>
      </c>
      <c r="M35" s="598">
        <f t="shared" si="6"/>
        <v>1758.1646417999998</v>
      </c>
      <c r="N35" s="598">
        <f t="shared" si="6"/>
        <v>1506.9975480000001</v>
      </c>
      <c r="O35" s="598">
        <f t="shared" si="6"/>
        <v>1754.8974995999999</v>
      </c>
      <c r="P35" s="598">
        <f t="shared" si="6"/>
        <v>2007.9633081200002</v>
      </c>
      <c r="Q35" s="598">
        <f t="shared" si="6"/>
        <v>2031.0564064000002</v>
      </c>
      <c r="R35" s="598">
        <f t="shared" si="6"/>
        <v>2473.8827483999999</v>
      </c>
      <c r="S35" s="598">
        <f t="shared" si="6"/>
        <v>2389.1833336</v>
      </c>
      <c r="T35" s="598">
        <f t="shared" si="6"/>
        <v>2342.4966600000002</v>
      </c>
      <c r="U35" s="598">
        <f t="shared" si="6"/>
        <v>2373.1705200000001</v>
      </c>
      <c r="V35" s="598">
        <f t="shared" si="6"/>
        <v>2586.9124400000001</v>
      </c>
      <c r="W35" s="598">
        <f t="shared" si="6"/>
        <v>1864.2519</v>
      </c>
      <c r="X35" s="598">
        <f t="shared" si="6"/>
        <v>2088.8313599999997</v>
      </c>
      <c r="Y35" s="598">
        <f t="shared" si="6"/>
        <v>1954.74118</v>
      </c>
      <c r="Z35" s="598">
        <f t="shared" si="6"/>
        <v>2414.9047999999998</v>
      </c>
      <c r="AA35" s="598">
        <f t="shared" si="6"/>
        <v>2747.2718139999997</v>
      </c>
      <c r="AB35" s="598">
        <f t="shared" si="6"/>
        <v>2658.5722604000002</v>
      </c>
      <c r="AC35" s="598">
        <f t="shared" si="6"/>
        <v>2449.9248199999997</v>
      </c>
      <c r="AD35" s="598">
        <f t="shared" si="6"/>
        <v>2197.4575</v>
      </c>
      <c r="AE35" s="598">
        <f t="shared" si="6"/>
        <v>974.23633999999993</v>
      </c>
      <c r="AF35" s="598">
        <f t="shared" si="6"/>
        <v>1447.2991399999999</v>
      </c>
      <c r="AG35" s="598">
        <f t="shared" si="6"/>
        <v>2204.5617999999999</v>
      </c>
      <c r="AH35" s="598">
        <f t="shared" si="6"/>
        <v>2686.5955199999999</v>
      </c>
      <c r="AI35" s="598">
        <f t="shared" si="6"/>
        <v>2589.0024972000001</v>
      </c>
      <c r="AJ35" s="598">
        <f t="shared" si="6"/>
        <v>2452.7058052000002</v>
      </c>
      <c r="AK35" s="598">
        <f t="shared" si="6"/>
        <v>2538.5616885999998</v>
      </c>
      <c r="AL35" s="598">
        <f t="shared" si="6"/>
        <v>2511.1686222000003</v>
      </c>
      <c r="AM35" s="598">
        <f t="shared" si="6"/>
        <v>2036.1182897999997</v>
      </c>
      <c r="AN35" s="598">
        <f t="shared" si="6"/>
        <v>2523.4055699999999</v>
      </c>
      <c r="AO35" s="598">
        <f t="shared" si="6"/>
        <v>2348.94625</v>
      </c>
      <c r="AP35" s="598">
        <f t="shared" si="6"/>
        <v>2827.1790301999999</v>
      </c>
      <c r="AQ35" s="598">
        <f t="shared" si="6"/>
        <v>2399.9601387999996</v>
      </c>
      <c r="AR35" s="598">
        <f t="shared" si="6"/>
        <v>2077.8144520380829</v>
      </c>
      <c r="AS35" s="598">
        <f t="shared" si="6"/>
        <v>2460.4553844521133</v>
      </c>
      <c r="AT35" s="598">
        <f t="shared" si="6"/>
        <v>2114.7932581999999</v>
      </c>
      <c r="AU35" s="598">
        <f t="shared" si="6"/>
        <v>2493.7037454000001</v>
      </c>
      <c r="AV35" s="598">
        <f t="shared" si="6"/>
        <v>2627.8691473999997</v>
      </c>
      <c r="AW35" s="404">
        <f t="shared" ref="AW35:AW45" si="7">AVERAGE(D35:AV35)</f>
        <v>2125.4734896851155</v>
      </c>
      <c r="AY35" s="168" t="s">
        <v>653</v>
      </c>
      <c r="AZ35" s="598">
        <f>27.86*AZ26/1000</f>
        <v>38611.173999999999</v>
      </c>
      <c r="BA35" s="970"/>
      <c r="BB35" s="598">
        <f>27.86*BB26/1000</f>
        <v>37544.135999999999</v>
      </c>
      <c r="BC35" s="970"/>
      <c r="BD35" s="598">
        <f>27.86*BD26/1000</f>
        <v>33764.3698</v>
      </c>
    </row>
    <row r="36" spans="3:56" x14ac:dyDescent="0.25">
      <c r="C36" s="168" t="s">
        <v>654</v>
      </c>
      <c r="D36" s="598">
        <f>0.23*D23</f>
        <v>4224.5411000000004</v>
      </c>
      <c r="E36" s="598">
        <f t="shared" ref="E36:AV36" si="8">0.23*E23</f>
        <v>3187.9403000000002</v>
      </c>
      <c r="F36" s="598">
        <f t="shared" si="8"/>
        <v>4775.6647999999996</v>
      </c>
      <c r="G36" s="598">
        <f t="shared" si="8"/>
        <v>3732.9460000000004</v>
      </c>
      <c r="H36" s="598">
        <f t="shared" si="8"/>
        <v>3878.8971000000001</v>
      </c>
      <c r="I36" s="598">
        <f t="shared" si="8"/>
        <v>4424.4225999999999</v>
      </c>
      <c r="J36" s="598">
        <f t="shared" si="8"/>
        <v>4566.7811000000002</v>
      </c>
      <c r="K36" s="598">
        <f t="shared" si="8"/>
        <v>4450.9531000000006</v>
      </c>
      <c r="L36" s="598">
        <f t="shared" si="8"/>
        <v>3974.2711999999997</v>
      </c>
      <c r="M36" s="598">
        <f t="shared" si="8"/>
        <v>3438.27</v>
      </c>
      <c r="N36" s="598">
        <f t="shared" si="8"/>
        <v>3450.3583400000002</v>
      </c>
      <c r="O36" s="598">
        <f t="shared" si="8"/>
        <v>3190.1873999999998</v>
      </c>
      <c r="P36" s="598">
        <f t="shared" si="8"/>
        <v>3465.7441899999999</v>
      </c>
      <c r="Q36" s="598">
        <f t="shared" si="8"/>
        <v>3738.3418000000001</v>
      </c>
      <c r="R36" s="598">
        <f t="shared" si="8"/>
        <v>4533.4840000000004</v>
      </c>
      <c r="S36" s="598">
        <f t="shared" si="8"/>
        <v>4414.4562400000004</v>
      </c>
      <c r="T36" s="598">
        <f t="shared" si="8"/>
        <v>4245.34</v>
      </c>
      <c r="U36" s="598">
        <f t="shared" si="8"/>
        <v>4474.8593000000001</v>
      </c>
      <c r="V36" s="598">
        <f t="shared" si="8"/>
        <v>4183.7</v>
      </c>
      <c r="W36" s="598">
        <f t="shared" si="8"/>
        <v>3567.07</v>
      </c>
      <c r="X36" s="598">
        <f t="shared" si="8"/>
        <v>3914.3700000000003</v>
      </c>
      <c r="Y36" s="598">
        <f t="shared" si="8"/>
        <v>3851.81</v>
      </c>
      <c r="Z36" s="598">
        <f t="shared" si="8"/>
        <v>3924.03</v>
      </c>
      <c r="AA36" s="598">
        <f t="shared" si="8"/>
        <v>4517.8900000000003</v>
      </c>
      <c r="AB36" s="598">
        <f t="shared" si="8"/>
        <v>3506.58</v>
      </c>
      <c r="AC36" s="598">
        <f t="shared" si="8"/>
        <v>3787.8700000000003</v>
      </c>
      <c r="AD36" s="598">
        <f t="shared" si="8"/>
        <v>3690.3500000000004</v>
      </c>
      <c r="AE36" s="598">
        <f t="shared" si="8"/>
        <v>1706.6000000000001</v>
      </c>
      <c r="AF36" s="598">
        <f t="shared" si="8"/>
        <v>1825.0500000000002</v>
      </c>
      <c r="AG36" s="598">
        <f t="shared" si="8"/>
        <v>3113.28</v>
      </c>
      <c r="AH36" s="598">
        <f t="shared" si="8"/>
        <v>4407.26</v>
      </c>
      <c r="AI36" s="598">
        <f t="shared" si="8"/>
        <v>4287.2437</v>
      </c>
      <c r="AJ36" s="598">
        <f t="shared" si="8"/>
        <v>3975.1502599999999</v>
      </c>
      <c r="AK36" s="598">
        <f t="shared" si="8"/>
        <v>3688.7446000000004</v>
      </c>
      <c r="AL36" s="598">
        <f t="shared" si="8"/>
        <v>3664.0506500000001</v>
      </c>
      <c r="AM36" s="598">
        <f t="shared" si="8"/>
        <v>1859.4867500000003</v>
      </c>
      <c r="AN36" s="598">
        <f t="shared" si="8"/>
        <v>3300.3735000000001</v>
      </c>
      <c r="AO36" s="598">
        <f t="shared" si="8"/>
        <v>3137.2758999999996</v>
      </c>
      <c r="AP36" s="598">
        <f t="shared" si="8"/>
        <v>4388.9124400000001</v>
      </c>
      <c r="AQ36" s="598">
        <f t="shared" si="8"/>
        <v>4041.6795999999995</v>
      </c>
      <c r="AR36" s="598">
        <f t="shared" si="8"/>
        <v>2975.8733999999995</v>
      </c>
      <c r="AS36" s="598">
        <f t="shared" si="8"/>
        <v>4196.7686000000003</v>
      </c>
      <c r="AT36" s="598">
        <f t="shared" si="8"/>
        <v>3846.4378900000011</v>
      </c>
      <c r="AU36" s="598">
        <f t="shared" si="8"/>
        <v>4189.3924999999999</v>
      </c>
      <c r="AV36" s="598">
        <f t="shared" si="8"/>
        <v>4143.6570000000002</v>
      </c>
      <c r="AW36" s="404">
        <f t="shared" si="7"/>
        <v>3774.6303413333339</v>
      </c>
      <c r="AY36" s="168" t="s">
        <v>654</v>
      </c>
      <c r="AZ36" s="598">
        <f>0.23*AZ23</f>
        <v>56350</v>
      </c>
      <c r="BA36" s="970"/>
      <c r="BB36" s="598">
        <f>0.23*BB23</f>
        <v>160310</v>
      </c>
      <c r="BC36" s="970"/>
      <c r="BD36" s="598">
        <f>0.23*BD23</f>
        <v>66930</v>
      </c>
    </row>
    <row r="37" spans="3:56" x14ac:dyDescent="0.25">
      <c r="C37" s="168" t="s">
        <v>655</v>
      </c>
      <c r="D37" s="598">
        <f>0.265*D24</f>
        <v>2754.8472500000003</v>
      </c>
      <c r="E37" s="598">
        <f t="shared" ref="E37:AV37" si="9">0.265*E24</f>
        <v>1894.7208500000002</v>
      </c>
      <c r="F37" s="598">
        <f t="shared" si="9"/>
        <v>2953.4753500000002</v>
      </c>
      <c r="G37" s="598">
        <f t="shared" si="9"/>
        <v>2057.2824500000002</v>
      </c>
      <c r="H37" s="598">
        <f t="shared" si="9"/>
        <v>2249.59825</v>
      </c>
      <c r="I37" s="598">
        <f t="shared" si="9"/>
        <v>2862.2570500000002</v>
      </c>
      <c r="J37" s="598">
        <f t="shared" si="9"/>
        <v>3100.4072500000002</v>
      </c>
      <c r="K37" s="598">
        <f t="shared" si="9"/>
        <v>2738.8041500000004</v>
      </c>
      <c r="L37" s="598">
        <f t="shared" si="9"/>
        <v>2627.3478000000005</v>
      </c>
      <c r="M37" s="598">
        <f t="shared" si="9"/>
        <v>2114.7318</v>
      </c>
      <c r="N37" s="598">
        <f t="shared" si="9"/>
        <v>1829.0035</v>
      </c>
      <c r="O37" s="598">
        <f t="shared" si="9"/>
        <v>2327.4234499999998</v>
      </c>
      <c r="P37" s="598">
        <f t="shared" si="9"/>
        <v>2598.1591100000001</v>
      </c>
      <c r="Q37" s="598">
        <f t="shared" si="9"/>
        <v>2640.7833000000001</v>
      </c>
      <c r="R37" s="598">
        <f t="shared" si="9"/>
        <v>3034.7402500000003</v>
      </c>
      <c r="S37" s="598">
        <f t="shared" si="9"/>
        <v>2989.966645</v>
      </c>
      <c r="T37" s="598">
        <f t="shared" si="9"/>
        <v>2537.9050000000002</v>
      </c>
      <c r="U37" s="598">
        <f t="shared" si="9"/>
        <v>3088.8294000000001</v>
      </c>
      <c r="V37" s="598">
        <f t="shared" si="9"/>
        <v>3089.3700000000003</v>
      </c>
      <c r="W37" s="598">
        <f t="shared" si="9"/>
        <v>2591.9650000000001</v>
      </c>
      <c r="X37" s="598">
        <f t="shared" si="9"/>
        <v>2840.7761500000001</v>
      </c>
      <c r="Y37" s="598">
        <f t="shared" si="9"/>
        <v>2730.2950000000001</v>
      </c>
      <c r="Z37" s="598">
        <f t="shared" si="9"/>
        <v>2909.4349999999999</v>
      </c>
      <c r="AA37" s="598">
        <f t="shared" si="9"/>
        <v>3242.2750000000001</v>
      </c>
      <c r="AB37" s="598">
        <f t="shared" si="9"/>
        <v>2188.9</v>
      </c>
      <c r="AC37" s="598">
        <f t="shared" si="9"/>
        <v>2363.27</v>
      </c>
      <c r="AD37" s="598">
        <f t="shared" si="9"/>
        <v>2507.6950000000002</v>
      </c>
      <c r="AE37" s="598">
        <f t="shared" si="9"/>
        <v>287.52500000000003</v>
      </c>
      <c r="AF37" s="598">
        <f t="shared" si="9"/>
        <v>523.90499999999997</v>
      </c>
      <c r="AG37" s="598">
        <f t="shared" si="9"/>
        <v>1848.375</v>
      </c>
      <c r="AH37" s="598">
        <f t="shared" si="9"/>
        <v>3126.7350000000001</v>
      </c>
      <c r="AI37" s="598">
        <f t="shared" si="9"/>
        <v>2926.4162000000001</v>
      </c>
      <c r="AJ37" s="598">
        <f t="shared" si="9"/>
        <v>3006.9205500000003</v>
      </c>
      <c r="AK37" s="598">
        <f t="shared" si="9"/>
        <v>3026.6233000000002</v>
      </c>
      <c r="AL37" s="598">
        <f t="shared" si="9"/>
        <v>2592.3900600000002</v>
      </c>
      <c r="AM37" s="598">
        <f t="shared" si="9"/>
        <v>1099.101545</v>
      </c>
      <c r="AN37" s="598">
        <f t="shared" si="9"/>
        <v>2496.2814500000004</v>
      </c>
      <c r="AO37" s="598">
        <f t="shared" si="9"/>
        <v>1812.9845150000001</v>
      </c>
      <c r="AP37" s="598">
        <f t="shared" si="9"/>
        <v>3176.1423949999999</v>
      </c>
      <c r="AQ37" s="598">
        <f t="shared" si="9"/>
        <v>2318.9890300000002</v>
      </c>
      <c r="AR37" s="598">
        <f t="shared" si="9"/>
        <v>2186.7959000000005</v>
      </c>
      <c r="AS37" s="598">
        <f t="shared" si="9"/>
        <v>2884.1328000000003</v>
      </c>
      <c r="AT37" s="598">
        <f t="shared" si="9"/>
        <v>2946.9669500000005</v>
      </c>
      <c r="AU37" s="598">
        <f t="shared" si="9"/>
        <v>2516.2624500000002</v>
      </c>
      <c r="AV37" s="598">
        <f t="shared" si="9"/>
        <v>3186.0632000000001</v>
      </c>
      <c r="AW37" s="404">
        <f t="shared" si="7"/>
        <v>2507.2638744444448</v>
      </c>
      <c r="AY37" s="168" t="s">
        <v>655</v>
      </c>
      <c r="AZ37" s="598">
        <f>0.265*AZ24</f>
        <v>36040</v>
      </c>
      <c r="BA37" s="970"/>
      <c r="BB37" s="598">
        <f>0.265*BB24</f>
        <v>36040</v>
      </c>
      <c r="BC37" s="970"/>
      <c r="BD37" s="598">
        <f>0.265*BD24</f>
        <v>47435</v>
      </c>
    </row>
    <row r="38" spans="3:56" x14ac:dyDescent="0.25">
      <c r="C38" s="168" t="s">
        <v>656</v>
      </c>
      <c r="D38" s="598">
        <f>0.1805*D25</f>
        <v>11761.019</v>
      </c>
      <c r="E38" s="598">
        <f t="shared" ref="E38:AV38" si="10">0.1805*E25</f>
        <v>14130.8035</v>
      </c>
      <c r="F38" s="598">
        <f t="shared" si="10"/>
        <v>12953.5825</v>
      </c>
      <c r="G38" s="598">
        <f t="shared" si="10"/>
        <v>8124.4854999999998</v>
      </c>
      <c r="H38" s="598">
        <f t="shared" si="10"/>
        <v>13406.9624</v>
      </c>
      <c r="I38" s="598">
        <f t="shared" si="10"/>
        <v>12102.7055</v>
      </c>
      <c r="J38" s="598">
        <f t="shared" si="10"/>
        <v>11476.370499999999</v>
      </c>
      <c r="K38" s="598">
        <f t="shared" si="10"/>
        <v>15125.628889000001</v>
      </c>
      <c r="L38" s="598">
        <f t="shared" si="10"/>
        <v>12186.504429999999</v>
      </c>
      <c r="M38" s="598">
        <f t="shared" si="10"/>
        <v>13032.724530000001</v>
      </c>
      <c r="N38" s="598">
        <f t="shared" si="10"/>
        <v>10907.857591999998</v>
      </c>
      <c r="O38" s="598">
        <f t="shared" si="10"/>
        <v>12057.319135999998</v>
      </c>
      <c r="P38" s="598">
        <f t="shared" si="10"/>
        <v>15582.987369999999</v>
      </c>
      <c r="Q38" s="598">
        <f t="shared" si="10"/>
        <v>14361.837002</v>
      </c>
      <c r="R38" s="598">
        <f t="shared" si="10"/>
        <v>18524.858497499998</v>
      </c>
      <c r="S38" s="598">
        <f t="shared" si="10"/>
        <v>15520.185283000001</v>
      </c>
      <c r="T38" s="598">
        <f t="shared" si="10"/>
        <v>15904.0355</v>
      </c>
      <c r="U38" s="598">
        <f t="shared" si="10"/>
        <v>15613.736086499999</v>
      </c>
      <c r="V38" s="598">
        <f t="shared" si="10"/>
        <v>20397.763500000001</v>
      </c>
      <c r="W38" s="598">
        <f t="shared" si="10"/>
        <v>15063.988499999999</v>
      </c>
      <c r="X38" s="598">
        <f t="shared" si="10"/>
        <v>15987.245999999999</v>
      </c>
      <c r="Y38" s="598">
        <f t="shared" si="10"/>
        <v>12317.32</v>
      </c>
      <c r="Z38" s="598">
        <f t="shared" si="10"/>
        <v>21143.77</v>
      </c>
      <c r="AA38" s="598">
        <f t="shared" si="10"/>
        <v>23269.338</v>
      </c>
      <c r="AB38" s="598">
        <f t="shared" si="10"/>
        <v>25314.763999999999</v>
      </c>
      <c r="AC38" s="598">
        <f t="shared" si="10"/>
        <v>20060.409</v>
      </c>
      <c r="AD38" s="598">
        <f t="shared" si="10"/>
        <v>19136.970999999998</v>
      </c>
      <c r="AE38" s="598">
        <f t="shared" si="10"/>
        <v>9193.0455000000002</v>
      </c>
      <c r="AF38" s="598">
        <f t="shared" si="10"/>
        <v>15205.139499999999</v>
      </c>
      <c r="AG38" s="598">
        <f t="shared" si="10"/>
        <v>19941.278999999999</v>
      </c>
      <c r="AH38" s="598">
        <f t="shared" si="10"/>
        <v>23844.05</v>
      </c>
      <c r="AI38" s="598">
        <f t="shared" si="10"/>
        <v>22064.948681499998</v>
      </c>
      <c r="AJ38" s="598">
        <f t="shared" si="10"/>
        <v>21519.619735</v>
      </c>
      <c r="AK38" s="598">
        <f t="shared" si="10"/>
        <v>25708.4094105</v>
      </c>
      <c r="AL38" s="598">
        <f t="shared" si="10"/>
        <v>21426.422169999998</v>
      </c>
      <c r="AM38" s="598">
        <f t="shared" si="10"/>
        <v>17413.703926999999</v>
      </c>
      <c r="AN38" s="598">
        <f t="shared" si="10"/>
        <v>23606.376625000001</v>
      </c>
      <c r="AO38" s="598">
        <f t="shared" si="10"/>
        <v>21616.516105999999</v>
      </c>
      <c r="AP38" s="598">
        <f t="shared" si="10"/>
        <v>25455.992795499995</v>
      </c>
      <c r="AQ38" s="598">
        <f t="shared" si="10"/>
        <v>19825.153783499998</v>
      </c>
      <c r="AR38" s="598">
        <f t="shared" si="10"/>
        <v>14833.774648500001</v>
      </c>
      <c r="AS38" s="598">
        <f t="shared" si="10"/>
        <v>20291.998983499998</v>
      </c>
      <c r="AT38" s="598">
        <f t="shared" si="10"/>
        <v>15739.593682499999</v>
      </c>
      <c r="AU38" s="598">
        <f t="shared" si="10"/>
        <v>21454.109065000001</v>
      </c>
      <c r="AV38" s="598">
        <f t="shared" si="10"/>
        <v>24792.078417499997</v>
      </c>
      <c r="AW38" s="404">
        <f t="shared" si="7"/>
        <v>17319.941894377775</v>
      </c>
      <c r="AY38" s="168" t="s">
        <v>656</v>
      </c>
      <c r="AZ38" s="598">
        <f>0.1805*AZ25</f>
        <v>193315.5</v>
      </c>
      <c r="BA38" s="970"/>
      <c r="BB38" s="598">
        <f>0.1805*BB25</f>
        <v>290785.5</v>
      </c>
      <c r="BC38" s="970"/>
      <c r="BD38" s="598">
        <f>0.1805*BD25</f>
        <v>290785.5</v>
      </c>
    </row>
    <row r="39" spans="3:56" x14ac:dyDescent="0.25">
      <c r="C39" s="168" t="s">
        <v>605</v>
      </c>
      <c r="D39" s="762">
        <f>1.8104*D26</f>
        <v>90421.478031999999</v>
      </c>
      <c r="E39" s="762">
        <f t="shared" ref="E39:AV39" si="11">1.8104*E26</f>
        <v>95295.237767999992</v>
      </c>
      <c r="F39" s="762">
        <f t="shared" si="11"/>
        <v>119340.2047688</v>
      </c>
      <c r="G39" s="762">
        <f t="shared" si="11"/>
        <v>62680.809351999997</v>
      </c>
      <c r="H39" s="762">
        <f t="shared" si="11"/>
        <v>86927.695695999995</v>
      </c>
      <c r="I39" s="762">
        <f t="shared" si="11"/>
        <v>121393.18569600002</v>
      </c>
      <c r="J39" s="762">
        <f t="shared" si="11"/>
        <v>119086.66368</v>
      </c>
      <c r="K39" s="762">
        <f t="shared" si="11"/>
        <v>134049.60157600002</v>
      </c>
      <c r="L39" s="762">
        <f t="shared" si="11"/>
        <v>128071.968544</v>
      </c>
      <c r="M39" s="762">
        <f t="shared" si="11"/>
        <v>114249.14815199999</v>
      </c>
      <c r="N39" s="762">
        <f t="shared" si="11"/>
        <v>97927.794720000005</v>
      </c>
      <c r="O39" s="762">
        <f t="shared" si="11"/>
        <v>114036.842544</v>
      </c>
      <c r="P39" s="762">
        <f t="shared" si="11"/>
        <v>130481.5783568</v>
      </c>
      <c r="Q39" s="762">
        <f t="shared" si="11"/>
        <v>131982.21529600001</v>
      </c>
      <c r="R39" s="762">
        <f t="shared" si="11"/>
        <v>160757.98017600001</v>
      </c>
      <c r="S39" s="762">
        <f t="shared" si="11"/>
        <v>155254.03830399999</v>
      </c>
      <c r="T39" s="762">
        <f t="shared" si="11"/>
        <v>152220.24239999999</v>
      </c>
      <c r="U39" s="762">
        <f t="shared" si="11"/>
        <v>154213.49280000001</v>
      </c>
      <c r="V39" s="762">
        <f t="shared" si="11"/>
        <v>168102.88159999999</v>
      </c>
      <c r="W39" s="762">
        <f t="shared" si="11"/>
        <v>121142.916</v>
      </c>
      <c r="X39" s="762">
        <f t="shared" si="11"/>
        <v>135736.55040000001</v>
      </c>
      <c r="Y39" s="762">
        <f t="shared" si="11"/>
        <v>127023.0952</v>
      </c>
      <c r="Z39" s="762">
        <f t="shared" si="11"/>
        <v>156925.47200000001</v>
      </c>
      <c r="AA39" s="762">
        <f t="shared" si="11"/>
        <v>178523.36296</v>
      </c>
      <c r="AB39" s="762">
        <f t="shared" si="11"/>
        <v>172759.48385600001</v>
      </c>
      <c r="AC39" s="762">
        <f t="shared" si="11"/>
        <v>159201.14480000001</v>
      </c>
      <c r="AD39" s="762">
        <f t="shared" si="11"/>
        <v>142795.29999999999</v>
      </c>
      <c r="AE39" s="762">
        <f t="shared" si="11"/>
        <v>63307.8776</v>
      </c>
      <c r="AF39" s="762">
        <f t="shared" si="11"/>
        <v>94048.469599999997</v>
      </c>
      <c r="AG39" s="762">
        <f t="shared" si="11"/>
        <v>143256.95199999999</v>
      </c>
      <c r="AH39" s="762">
        <f t="shared" si="11"/>
        <v>174580.49280000001</v>
      </c>
      <c r="AI39" s="762">
        <f t="shared" si="11"/>
        <v>168238.697808</v>
      </c>
      <c r="AJ39" s="762">
        <f t="shared" si="11"/>
        <v>159381.858928</v>
      </c>
      <c r="AK39" s="762">
        <f t="shared" si="11"/>
        <v>164960.95050399998</v>
      </c>
      <c r="AL39" s="762">
        <f t="shared" si="11"/>
        <v>163180.892808</v>
      </c>
      <c r="AM39" s="762">
        <f t="shared" si="11"/>
        <v>132311.14687199998</v>
      </c>
      <c r="AN39" s="762">
        <f t="shared" si="11"/>
        <v>163976.0748</v>
      </c>
      <c r="AO39" s="762">
        <f t="shared" si="11"/>
        <v>152639.35</v>
      </c>
      <c r="AP39" s="762">
        <f t="shared" si="11"/>
        <v>183715.89792800002</v>
      </c>
      <c r="AQ39" s="762">
        <f t="shared" si="11"/>
        <v>155954.33723199999</v>
      </c>
      <c r="AR39" s="762">
        <f t="shared" si="11"/>
        <v>135020.64910157019</v>
      </c>
      <c r="AS39" s="762">
        <f t="shared" si="11"/>
        <v>159885.44249863987</v>
      </c>
      <c r="AT39" s="762">
        <f t="shared" si="11"/>
        <v>137423.60784799999</v>
      </c>
      <c r="AU39" s="762">
        <f t="shared" si="11"/>
        <v>162045.989256</v>
      </c>
      <c r="AV39" s="762">
        <f t="shared" si="11"/>
        <v>170764.332536</v>
      </c>
      <c r="AW39" s="404">
        <f t="shared" si="7"/>
        <v>138117.6312177291</v>
      </c>
      <c r="AY39" s="168" t="s">
        <v>605</v>
      </c>
      <c r="AZ39" s="762">
        <f>1.8104*AZ26</f>
        <v>2509033.36</v>
      </c>
      <c r="BA39" s="970"/>
      <c r="BB39" s="598">
        <f>1242.424*BB26/1000</f>
        <v>1674290.5824</v>
      </c>
      <c r="BC39" s="970"/>
      <c r="BD39" s="598">
        <f>1242.424*BD26/1000</f>
        <v>1505730.9183199999</v>
      </c>
    </row>
    <row r="40" spans="3:56" x14ac:dyDescent="0.25">
      <c r="C40" s="168" t="s">
        <v>668</v>
      </c>
      <c r="D40" s="762">
        <f>0.0622*D22</f>
        <v>1463.312846</v>
      </c>
      <c r="E40" s="762">
        <f t="shared" ref="E40:AV40" si="12">0.0622*E22</f>
        <v>1775.499</v>
      </c>
      <c r="F40" s="762">
        <f t="shared" si="12"/>
        <v>2418.0125600000001</v>
      </c>
      <c r="G40" s="762">
        <f t="shared" si="12"/>
        <v>1012.969296</v>
      </c>
      <c r="H40" s="762">
        <f t="shared" si="12"/>
        <v>1268.577708</v>
      </c>
      <c r="I40" s="762">
        <f t="shared" si="12"/>
        <v>2687.5612359999996</v>
      </c>
      <c r="J40" s="762">
        <f t="shared" si="12"/>
        <v>2762.2957799999999</v>
      </c>
      <c r="K40" s="762">
        <f t="shared" si="12"/>
        <v>2646.3549800000001</v>
      </c>
      <c r="L40" s="762">
        <f t="shared" si="12"/>
        <v>2939.6640560000001</v>
      </c>
      <c r="M40" s="762">
        <f t="shared" si="12"/>
        <v>2430.3011029999998</v>
      </c>
      <c r="N40" s="762">
        <f t="shared" si="12"/>
        <v>2007.8571141999998</v>
      </c>
      <c r="O40" s="762">
        <f t="shared" si="12"/>
        <v>2852.1698040000001</v>
      </c>
      <c r="P40" s="762">
        <f t="shared" si="12"/>
        <v>2813.8697807999997</v>
      </c>
      <c r="Q40" s="762">
        <f t="shared" si="12"/>
        <v>2805.6547779999996</v>
      </c>
      <c r="R40" s="762">
        <f t="shared" si="12"/>
        <v>3261.848238</v>
      </c>
      <c r="S40" s="762">
        <f t="shared" si="12"/>
        <v>3518.6465359999997</v>
      </c>
      <c r="T40" s="762">
        <f t="shared" si="12"/>
        <v>3324.0265924</v>
      </c>
      <c r="U40" s="762">
        <f t="shared" si="12"/>
        <v>3329.3283337999997</v>
      </c>
      <c r="V40" s="762">
        <f t="shared" si="12"/>
        <v>3388.3449999999998</v>
      </c>
      <c r="W40" s="762">
        <f t="shared" si="12"/>
        <v>2618.7444</v>
      </c>
      <c r="X40" s="762">
        <f t="shared" si="12"/>
        <v>2666.5140000000001</v>
      </c>
      <c r="Y40" s="762">
        <f t="shared" si="12"/>
        <v>2823.6311999999998</v>
      </c>
      <c r="Z40" s="762">
        <f t="shared" si="12"/>
        <v>2910.5245999999997</v>
      </c>
      <c r="AA40" s="762">
        <f t="shared" si="12"/>
        <v>3382.9335999999998</v>
      </c>
      <c r="AB40" s="762">
        <f t="shared" si="12"/>
        <v>2989.3319999999999</v>
      </c>
      <c r="AC40" s="762">
        <f t="shared" si="12"/>
        <v>3084.3114</v>
      </c>
      <c r="AD40" s="762">
        <f t="shared" si="12"/>
        <v>2526.8128000000002</v>
      </c>
      <c r="AE40" s="762">
        <f t="shared" si="12"/>
        <v>1241.2631999999999</v>
      </c>
      <c r="AF40" s="762">
        <f t="shared" si="12"/>
        <v>1496.8516457999999</v>
      </c>
      <c r="AG40" s="762">
        <f t="shared" si="12"/>
        <v>2634.6675999999998</v>
      </c>
      <c r="AH40" s="762">
        <f t="shared" si="12"/>
        <v>3115.4114</v>
      </c>
      <c r="AI40" s="762">
        <f t="shared" si="12"/>
        <v>2982.3836379999998</v>
      </c>
      <c r="AJ40" s="762">
        <f t="shared" si="12"/>
        <v>2784.2225239999998</v>
      </c>
      <c r="AK40" s="762">
        <f t="shared" si="12"/>
        <v>2461.8616939999997</v>
      </c>
      <c r="AL40" s="762">
        <f t="shared" si="12"/>
        <v>3015.610878</v>
      </c>
      <c r="AM40" s="762">
        <f t="shared" si="12"/>
        <v>2813.4532896000001</v>
      </c>
      <c r="AN40" s="762">
        <f t="shared" si="12"/>
        <v>2754.8809180000003</v>
      </c>
      <c r="AO40" s="762">
        <f t="shared" si="12"/>
        <v>2720.3280715999999</v>
      </c>
      <c r="AP40" s="762">
        <f t="shared" si="12"/>
        <v>2995.0065059999997</v>
      </c>
      <c r="AQ40" s="762">
        <f t="shared" si="12"/>
        <v>2831.2534367999997</v>
      </c>
      <c r="AR40" s="762">
        <f t="shared" si="12"/>
        <v>2931.462364</v>
      </c>
      <c r="AS40" s="762">
        <f t="shared" si="12"/>
        <v>2830.1778122000001</v>
      </c>
      <c r="AT40" s="762">
        <f t="shared" si="12"/>
        <v>2610.4339201999996</v>
      </c>
      <c r="AU40" s="762">
        <f t="shared" si="12"/>
        <v>2826.6597179999999</v>
      </c>
      <c r="AV40" s="762">
        <f t="shared" si="12"/>
        <v>2663.3399340000001</v>
      </c>
      <c r="AW40" s="404">
        <f t="shared" si="7"/>
        <v>2653.7414953866664</v>
      </c>
      <c r="AY40" s="168" t="s">
        <v>668</v>
      </c>
      <c r="AZ40" s="762">
        <f>0.0622*AZ22</f>
        <v>67176</v>
      </c>
      <c r="BA40" s="970"/>
      <c r="BB40" s="762">
        <f>0.0622*BB22</f>
        <v>35391.799999999996</v>
      </c>
      <c r="BC40" s="970"/>
      <c r="BD40" s="404">
        <f>0.0622*BD22</f>
        <v>38190.799999999996</v>
      </c>
    </row>
    <row r="41" spans="3:56" x14ac:dyDescent="0.25">
      <c r="C41" s="168" t="s">
        <v>669</v>
      </c>
      <c r="D41" s="762">
        <f>0.015*D23</f>
        <v>275.51355000000001</v>
      </c>
      <c r="E41" s="762">
        <f t="shared" ref="E41:AV41" si="13">0.015*E23</f>
        <v>207.90915000000001</v>
      </c>
      <c r="F41" s="762">
        <f t="shared" si="13"/>
        <v>311.45639999999997</v>
      </c>
      <c r="G41" s="762">
        <f t="shared" si="13"/>
        <v>243.453</v>
      </c>
      <c r="H41" s="762">
        <f t="shared" si="13"/>
        <v>252.97155000000001</v>
      </c>
      <c r="I41" s="762">
        <f t="shared" si="13"/>
        <v>288.54929999999996</v>
      </c>
      <c r="J41" s="762">
        <f t="shared" si="13"/>
        <v>297.83355</v>
      </c>
      <c r="K41" s="762">
        <f t="shared" si="13"/>
        <v>290.27955000000003</v>
      </c>
      <c r="L41" s="762">
        <f t="shared" si="13"/>
        <v>259.19159999999999</v>
      </c>
      <c r="M41" s="762">
        <f t="shared" si="13"/>
        <v>224.23499999999999</v>
      </c>
      <c r="N41" s="762">
        <f t="shared" si="13"/>
        <v>225.02337</v>
      </c>
      <c r="O41" s="762">
        <f t="shared" si="13"/>
        <v>208.05569999999997</v>
      </c>
      <c r="P41" s="762">
        <f t="shared" si="13"/>
        <v>226.02679499999999</v>
      </c>
      <c r="Q41" s="762">
        <f t="shared" si="13"/>
        <v>243.80489999999998</v>
      </c>
      <c r="R41" s="762">
        <f t="shared" si="13"/>
        <v>295.66199999999998</v>
      </c>
      <c r="S41" s="762">
        <f t="shared" si="13"/>
        <v>287.89931999999999</v>
      </c>
      <c r="T41" s="762">
        <f t="shared" si="13"/>
        <v>276.87</v>
      </c>
      <c r="U41" s="762">
        <f t="shared" si="13"/>
        <v>291.83864999999997</v>
      </c>
      <c r="V41" s="762">
        <f t="shared" si="13"/>
        <v>272.84999999999997</v>
      </c>
      <c r="W41" s="762">
        <f t="shared" si="13"/>
        <v>232.63499999999999</v>
      </c>
      <c r="X41" s="762">
        <f t="shared" si="13"/>
        <v>255.285</v>
      </c>
      <c r="Y41" s="762">
        <f t="shared" si="13"/>
        <v>251.20499999999998</v>
      </c>
      <c r="Z41" s="762">
        <f t="shared" si="13"/>
        <v>255.91499999999999</v>
      </c>
      <c r="AA41" s="762">
        <f t="shared" si="13"/>
        <v>294.64499999999998</v>
      </c>
      <c r="AB41" s="762">
        <f t="shared" si="13"/>
        <v>228.69</v>
      </c>
      <c r="AC41" s="762">
        <f t="shared" si="13"/>
        <v>247.035</v>
      </c>
      <c r="AD41" s="762">
        <f t="shared" si="13"/>
        <v>240.67499999999998</v>
      </c>
      <c r="AE41" s="762">
        <f t="shared" si="13"/>
        <v>111.3</v>
      </c>
      <c r="AF41" s="762">
        <f t="shared" si="13"/>
        <v>119.02499999999999</v>
      </c>
      <c r="AG41" s="762">
        <f t="shared" si="13"/>
        <v>203.04</v>
      </c>
      <c r="AH41" s="762">
        <f t="shared" si="13"/>
        <v>287.43</v>
      </c>
      <c r="AI41" s="762">
        <f t="shared" si="13"/>
        <v>279.60284999999999</v>
      </c>
      <c r="AJ41" s="762">
        <f t="shared" si="13"/>
        <v>259.24892999999997</v>
      </c>
      <c r="AK41" s="762">
        <f t="shared" si="13"/>
        <v>240.5703</v>
      </c>
      <c r="AL41" s="762">
        <f t="shared" si="13"/>
        <v>238.959825</v>
      </c>
      <c r="AM41" s="762">
        <f t="shared" si="13"/>
        <v>121.270875</v>
      </c>
      <c r="AN41" s="762">
        <f t="shared" si="13"/>
        <v>215.24175</v>
      </c>
      <c r="AO41" s="762">
        <f t="shared" si="13"/>
        <v>204.60494999999997</v>
      </c>
      <c r="AP41" s="762">
        <f t="shared" si="13"/>
        <v>286.23341999999997</v>
      </c>
      <c r="AQ41" s="762">
        <f t="shared" si="13"/>
        <v>263.58779999999996</v>
      </c>
      <c r="AR41" s="762">
        <f t="shared" si="13"/>
        <v>194.07869999999997</v>
      </c>
      <c r="AS41" s="762">
        <f t="shared" si="13"/>
        <v>273.70229999999998</v>
      </c>
      <c r="AT41" s="762">
        <f t="shared" si="13"/>
        <v>250.85464500000003</v>
      </c>
      <c r="AU41" s="762">
        <f t="shared" si="13"/>
        <v>273.22125</v>
      </c>
      <c r="AV41" s="762">
        <f t="shared" si="13"/>
        <v>270.23849999999999</v>
      </c>
      <c r="AW41" s="404">
        <f t="shared" si="7"/>
        <v>246.17154399999998</v>
      </c>
      <c r="AY41" s="168" t="s">
        <v>669</v>
      </c>
      <c r="AZ41" s="762">
        <f>0.015*AZ23</f>
        <v>3675</v>
      </c>
      <c r="BA41" s="970"/>
      <c r="BB41" s="762">
        <f>0.015*BB23</f>
        <v>10455</v>
      </c>
      <c r="BC41" s="970"/>
      <c r="BD41" s="404">
        <f>0.015*BD23</f>
        <v>4365</v>
      </c>
    </row>
    <row r="42" spans="3:56" x14ac:dyDescent="0.25">
      <c r="C42" s="168" t="s">
        <v>670</v>
      </c>
      <c r="D42" s="762">
        <f>0.019*D24</f>
        <v>197.51734999999999</v>
      </c>
      <c r="E42" s="762">
        <f t="shared" ref="E42:AV42" si="14">0.019*E24</f>
        <v>135.84791000000001</v>
      </c>
      <c r="F42" s="762">
        <f t="shared" si="14"/>
        <v>211.75861</v>
      </c>
      <c r="G42" s="762">
        <f t="shared" si="14"/>
        <v>147.50326999999999</v>
      </c>
      <c r="H42" s="762">
        <f t="shared" si="14"/>
        <v>161.29194999999999</v>
      </c>
      <c r="I42" s="762">
        <f t="shared" si="14"/>
        <v>205.21842999999998</v>
      </c>
      <c r="J42" s="762">
        <f t="shared" si="14"/>
        <v>222.29334999999998</v>
      </c>
      <c r="K42" s="762">
        <f t="shared" si="14"/>
        <v>196.36709000000002</v>
      </c>
      <c r="L42" s="762">
        <f t="shared" si="14"/>
        <v>188.37588</v>
      </c>
      <c r="M42" s="762">
        <f t="shared" si="14"/>
        <v>151.62227999999999</v>
      </c>
      <c r="N42" s="762">
        <f t="shared" si="14"/>
        <v>131.1361</v>
      </c>
      <c r="O42" s="762">
        <f t="shared" si="14"/>
        <v>166.87187</v>
      </c>
      <c r="P42" s="762">
        <f t="shared" si="14"/>
        <v>186.283106</v>
      </c>
      <c r="Q42" s="762">
        <f t="shared" si="14"/>
        <v>189.33917999999997</v>
      </c>
      <c r="R42" s="762">
        <f t="shared" si="14"/>
        <v>217.58515</v>
      </c>
      <c r="S42" s="762">
        <f t="shared" si="14"/>
        <v>214.374967</v>
      </c>
      <c r="T42" s="762">
        <f t="shared" si="14"/>
        <v>181.96299999999999</v>
      </c>
      <c r="U42" s="762">
        <f t="shared" si="14"/>
        <v>221.46323999999998</v>
      </c>
      <c r="V42" s="762">
        <f t="shared" si="14"/>
        <v>221.50199999999998</v>
      </c>
      <c r="W42" s="762">
        <f t="shared" si="14"/>
        <v>185.839</v>
      </c>
      <c r="X42" s="762">
        <f t="shared" si="14"/>
        <v>203.67829</v>
      </c>
      <c r="Y42" s="762">
        <f t="shared" si="14"/>
        <v>195.75700000000001</v>
      </c>
      <c r="Z42" s="762">
        <f t="shared" si="14"/>
        <v>208.601</v>
      </c>
      <c r="AA42" s="762">
        <f t="shared" si="14"/>
        <v>232.465</v>
      </c>
      <c r="AB42" s="762">
        <f t="shared" si="14"/>
        <v>156.94</v>
      </c>
      <c r="AC42" s="762">
        <f t="shared" si="14"/>
        <v>169.44200000000001</v>
      </c>
      <c r="AD42" s="762">
        <f t="shared" si="14"/>
        <v>179.797</v>
      </c>
      <c r="AE42" s="762">
        <f t="shared" si="14"/>
        <v>20.614999999999998</v>
      </c>
      <c r="AF42" s="762">
        <f t="shared" si="14"/>
        <v>37.563000000000002</v>
      </c>
      <c r="AG42" s="762">
        <f t="shared" si="14"/>
        <v>132.52500000000001</v>
      </c>
      <c r="AH42" s="762">
        <f t="shared" si="14"/>
        <v>224.18099999999998</v>
      </c>
      <c r="AI42" s="762">
        <f t="shared" si="14"/>
        <v>209.81852000000001</v>
      </c>
      <c r="AJ42" s="762">
        <f t="shared" si="14"/>
        <v>215.59053</v>
      </c>
      <c r="AK42" s="762">
        <f t="shared" si="14"/>
        <v>217.00317999999999</v>
      </c>
      <c r="AL42" s="762">
        <f t="shared" si="14"/>
        <v>185.86947599999999</v>
      </c>
      <c r="AM42" s="762">
        <f t="shared" si="14"/>
        <v>78.803506999999996</v>
      </c>
      <c r="AN42" s="762">
        <f t="shared" si="14"/>
        <v>178.97866999999999</v>
      </c>
      <c r="AO42" s="762">
        <f t="shared" si="14"/>
        <v>129.98756900000001</v>
      </c>
      <c r="AP42" s="762">
        <f t="shared" si="14"/>
        <v>227.72341699999998</v>
      </c>
      <c r="AQ42" s="762">
        <f t="shared" si="14"/>
        <v>166.26713799999999</v>
      </c>
      <c r="AR42" s="762">
        <f t="shared" si="14"/>
        <v>156.78914000000003</v>
      </c>
      <c r="AS42" s="762">
        <f t="shared" si="14"/>
        <v>206.78688</v>
      </c>
      <c r="AT42" s="762">
        <f t="shared" si="14"/>
        <v>211.29197000000002</v>
      </c>
      <c r="AU42" s="762">
        <f t="shared" si="14"/>
        <v>180.41127</v>
      </c>
      <c r="AV42" s="762">
        <f t="shared" si="14"/>
        <v>228.43471999999997</v>
      </c>
      <c r="AW42" s="404">
        <f t="shared" si="7"/>
        <v>179.76608911111106</v>
      </c>
      <c r="AY42" s="168" t="s">
        <v>670</v>
      </c>
      <c r="AZ42" s="762">
        <f>0.019*AZ24</f>
        <v>2584</v>
      </c>
      <c r="BA42" s="970"/>
      <c r="BB42" s="762">
        <f>0.019*BB24</f>
        <v>2584</v>
      </c>
      <c r="BC42" s="970"/>
      <c r="BD42" s="404">
        <f>0.019*BD24</f>
        <v>3401</v>
      </c>
    </row>
    <row r="43" spans="3:56" x14ac:dyDescent="0.25">
      <c r="C43" s="168" t="s">
        <v>671</v>
      </c>
      <c r="D43" s="762">
        <f>0.0119*D25</f>
        <v>775.38020000000006</v>
      </c>
      <c r="E43" s="762">
        <f t="shared" ref="E43:AV43" si="15">0.0119*E25</f>
        <v>931.61530000000005</v>
      </c>
      <c r="F43" s="762">
        <f t="shared" si="15"/>
        <v>854.00350000000003</v>
      </c>
      <c r="G43" s="762">
        <f t="shared" si="15"/>
        <v>535.6309</v>
      </c>
      <c r="H43" s="762">
        <f t="shared" si="15"/>
        <v>883.89392000000009</v>
      </c>
      <c r="I43" s="762">
        <f t="shared" si="15"/>
        <v>797.90690000000006</v>
      </c>
      <c r="J43" s="762">
        <f t="shared" si="15"/>
        <v>756.61390000000006</v>
      </c>
      <c r="K43" s="762">
        <f t="shared" si="15"/>
        <v>997.20212620000018</v>
      </c>
      <c r="L43" s="762">
        <f t="shared" si="15"/>
        <v>803.43159400000002</v>
      </c>
      <c r="M43" s="762">
        <f t="shared" si="15"/>
        <v>859.22117400000013</v>
      </c>
      <c r="N43" s="762">
        <f t="shared" si="15"/>
        <v>719.13299359999996</v>
      </c>
      <c r="O43" s="762">
        <f t="shared" si="15"/>
        <v>794.91466879999996</v>
      </c>
      <c r="P43" s="762">
        <f t="shared" si="15"/>
        <v>1027.354846</v>
      </c>
      <c r="Q43" s="762">
        <f t="shared" si="15"/>
        <v>946.8468716000001</v>
      </c>
      <c r="R43" s="762">
        <f t="shared" si="15"/>
        <v>1221.3064605</v>
      </c>
      <c r="S43" s="762">
        <f t="shared" si="15"/>
        <v>1023.2144314000001</v>
      </c>
      <c r="T43" s="762">
        <f t="shared" si="15"/>
        <v>1048.5209</v>
      </c>
      <c r="U43" s="762">
        <f t="shared" si="15"/>
        <v>1029.3820467</v>
      </c>
      <c r="V43" s="762">
        <f t="shared" si="15"/>
        <v>1344.7833000000001</v>
      </c>
      <c r="W43" s="762">
        <f t="shared" si="15"/>
        <v>993.13830000000007</v>
      </c>
      <c r="X43" s="762">
        <f t="shared" si="15"/>
        <v>1054.0068000000001</v>
      </c>
      <c r="Y43" s="762">
        <f t="shared" si="15"/>
        <v>812.05600000000004</v>
      </c>
      <c r="Z43" s="762">
        <f t="shared" si="15"/>
        <v>1393.9660000000001</v>
      </c>
      <c r="AA43" s="762">
        <f t="shared" si="15"/>
        <v>1534.1004</v>
      </c>
      <c r="AB43" s="762">
        <f t="shared" si="15"/>
        <v>1668.9512000000002</v>
      </c>
      <c r="AC43" s="762">
        <f t="shared" si="15"/>
        <v>1322.5422000000001</v>
      </c>
      <c r="AD43" s="762">
        <f t="shared" si="15"/>
        <v>1261.6618000000001</v>
      </c>
      <c r="AE43" s="762">
        <f t="shared" si="15"/>
        <v>606.07890000000009</v>
      </c>
      <c r="AF43" s="762">
        <f t="shared" si="15"/>
        <v>1002.4441</v>
      </c>
      <c r="AG43" s="762">
        <f t="shared" si="15"/>
        <v>1314.6882000000001</v>
      </c>
      <c r="AH43" s="762">
        <f t="shared" si="15"/>
        <v>1571.99</v>
      </c>
      <c r="AI43" s="762">
        <f t="shared" si="15"/>
        <v>1454.6974477000001</v>
      </c>
      <c r="AJ43" s="762">
        <f t="shared" si="15"/>
        <v>1418.7450130000002</v>
      </c>
      <c r="AK43" s="762">
        <f t="shared" si="15"/>
        <v>1694.9034459000002</v>
      </c>
      <c r="AL43" s="762">
        <f t="shared" si="15"/>
        <v>1412.6006860000002</v>
      </c>
      <c r="AM43" s="762">
        <f t="shared" si="15"/>
        <v>1148.0502866000002</v>
      </c>
      <c r="AN43" s="762">
        <f t="shared" si="15"/>
        <v>1556.3206750000002</v>
      </c>
      <c r="AO43" s="762">
        <f t="shared" si="15"/>
        <v>1425.1331948000002</v>
      </c>
      <c r="AP43" s="762">
        <f t="shared" si="15"/>
        <v>1678.2621288999999</v>
      </c>
      <c r="AQ43" s="762">
        <f t="shared" si="15"/>
        <v>1307.0322993</v>
      </c>
      <c r="AR43" s="762">
        <f t="shared" si="15"/>
        <v>977.96076630000016</v>
      </c>
      <c r="AS43" s="762">
        <f t="shared" si="15"/>
        <v>1337.8104593</v>
      </c>
      <c r="AT43" s="762">
        <f t="shared" si="15"/>
        <v>1037.6795835</v>
      </c>
      <c r="AU43" s="762">
        <f t="shared" si="15"/>
        <v>1414.4260270000002</v>
      </c>
      <c r="AV43" s="762">
        <f t="shared" si="15"/>
        <v>1634.4915965</v>
      </c>
      <c r="AW43" s="404">
        <f t="shared" si="7"/>
        <v>1141.8687453911116</v>
      </c>
      <c r="AY43" s="168" t="s">
        <v>671</v>
      </c>
      <c r="AZ43" s="762">
        <f>0.0119*AZ25</f>
        <v>12744.900000000001</v>
      </c>
      <c r="BA43" s="970"/>
      <c r="BB43" s="762">
        <f>0.0119*BB25</f>
        <v>19170.900000000001</v>
      </c>
      <c r="BC43" s="970"/>
      <c r="BD43" s="404">
        <f>0.0119*BD25</f>
        <v>19170.900000000001</v>
      </c>
    </row>
    <row r="44" spans="3:56" x14ac:dyDescent="0.25">
      <c r="C44" s="168" t="s">
        <v>672</v>
      </c>
      <c r="D44" s="762">
        <f>1.503754*D26/1000</f>
        <v>75.105865707320007</v>
      </c>
      <c r="E44" s="762">
        <f t="shared" ref="E44:AV44" si="16">1.503754*E26/1000</f>
        <v>79.154106813179993</v>
      </c>
      <c r="F44" s="762">
        <f t="shared" si="16"/>
        <v>99.126331353238015</v>
      </c>
      <c r="G44" s="762">
        <f t="shared" si="16"/>
        <v>52.063918353019993</v>
      </c>
      <c r="H44" s="762">
        <f t="shared" si="16"/>
        <v>72.203861087960007</v>
      </c>
      <c r="I44" s="762">
        <f t="shared" si="16"/>
        <v>100.83157786296</v>
      </c>
      <c r="J44" s="762">
        <f t="shared" si="16"/>
        <v>98.915735116800008</v>
      </c>
      <c r="K44" s="762">
        <f t="shared" si="16"/>
        <v>111.34424688926001</v>
      </c>
      <c r="L44" s="762">
        <f t="shared" si="16"/>
        <v>106.37910681944</v>
      </c>
      <c r="M44" s="762">
        <f t="shared" si="16"/>
        <v>94.897599166020001</v>
      </c>
      <c r="N44" s="762">
        <f t="shared" si="16"/>
        <v>81.340760617200004</v>
      </c>
      <c r="O44" s="762">
        <f t="shared" si="16"/>
        <v>94.72125393444</v>
      </c>
      <c r="P44" s="762">
        <f t="shared" si="16"/>
        <v>108.38057632586801</v>
      </c>
      <c r="Q44" s="762">
        <f t="shared" si="16"/>
        <v>109.62703500896001</v>
      </c>
      <c r="R44" s="762">
        <f t="shared" si="16"/>
        <v>133.52875371275999</v>
      </c>
      <c r="S44" s="762">
        <f t="shared" si="16"/>
        <v>128.95707087704</v>
      </c>
      <c r="T44" s="762">
        <f t="shared" si="16"/>
        <v>126.43714007400001</v>
      </c>
      <c r="U44" s="762">
        <f t="shared" si="16"/>
        <v>128.092773228</v>
      </c>
      <c r="V44" s="762">
        <f t="shared" si="16"/>
        <v>139.629573916</v>
      </c>
      <c r="W44" s="762">
        <f t="shared" si="16"/>
        <v>100.62369891</v>
      </c>
      <c r="X44" s="762">
        <f t="shared" si="16"/>
        <v>112.745459904</v>
      </c>
      <c r="Y44" s="762">
        <f t="shared" si="16"/>
        <v>105.507891902</v>
      </c>
      <c r="Z44" s="762">
        <f t="shared" si="16"/>
        <v>130.34539672</v>
      </c>
      <c r="AA44" s="762">
        <f t="shared" si="16"/>
        <v>148.28503156460002</v>
      </c>
      <c r="AB44" s="762">
        <f t="shared" si="16"/>
        <v>143.49743972956</v>
      </c>
      <c r="AC44" s="762">
        <f t="shared" si="16"/>
        <v>132.23561549799999</v>
      </c>
      <c r="AD44" s="762">
        <f t="shared" si="16"/>
        <v>118.60859675</v>
      </c>
      <c r="AE44" s="762">
        <f t="shared" si="16"/>
        <v>52.584773626</v>
      </c>
      <c r="AF44" s="762">
        <f t="shared" si="16"/>
        <v>78.118516545999995</v>
      </c>
      <c r="AG44" s="762">
        <f t="shared" si="16"/>
        <v>118.99205402</v>
      </c>
      <c r="AH44" s="762">
        <f t="shared" si="16"/>
        <v>145.01000572799998</v>
      </c>
      <c r="AI44" s="762">
        <f t="shared" si="16"/>
        <v>139.74238554108001</v>
      </c>
      <c r="AJ44" s="762">
        <f t="shared" si="16"/>
        <v>132.38572022228001</v>
      </c>
      <c r="AK44" s="762">
        <f t="shared" si="16"/>
        <v>137.01982388654</v>
      </c>
      <c r="AL44" s="762">
        <f t="shared" si="16"/>
        <v>135.54127280358</v>
      </c>
      <c r="AM44" s="762">
        <f t="shared" si="16"/>
        <v>109.90025207321999</v>
      </c>
      <c r="AN44" s="762">
        <f t="shared" si="16"/>
        <v>136.20176667300001</v>
      </c>
      <c r="AO44" s="762">
        <f t="shared" si="16"/>
        <v>126.785259125</v>
      </c>
      <c r="AP44" s="762">
        <f t="shared" si="16"/>
        <v>152.59805367478</v>
      </c>
      <c r="AQ44" s="762">
        <f t="shared" si="16"/>
        <v>129.53875299932</v>
      </c>
      <c r="AR44" s="762">
        <f t="shared" si="16"/>
        <v>112.15081814465454</v>
      </c>
      <c r="AS44" s="762">
        <f t="shared" si="16"/>
        <v>132.80400668310855</v>
      </c>
      <c r="AT44" s="762">
        <f t="shared" si="16"/>
        <v>114.14676314398</v>
      </c>
      <c r="AU44" s="762">
        <f t="shared" si="16"/>
        <v>134.59859949605999</v>
      </c>
      <c r="AV44" s="762">
        <f t="shared" si="16"/>
        <v>141.84022763386</v>
      </c>
      <c r="AW44" s="404">
        <f t="shared" si="7"/>
        <v>114.72323266360199</v>
      </c>
      <c r="AY44" s="168" t="s">
        <v>672</v>
      </c>
      <c r="AZ44" s="762">
        <f>1.503754*AZ26/1000</f>
        <v>2084.0526685999998</v>
      </c>
      <c r="BA44" s="970"/>
      <c r="BB44" s="762">
        <f>1.503754*BB26/1000</f>
        <v>2026.4588904000002</v>
      </c>
      <c r="BC44" s="970"/>
      <c r="BD44" s="762">
        <f>1.503754*BD26/1000</f>
        <v>1822.4445852199999</v>
      </c>
    </row>
    <row r="45" spans="3:56" x14ac:dyDescent="0.25">
      <c r="C45" s="364" t="s">
        <v>673</v>
      </c>
      <c r="D45" s="763">
        <f>(D40*D7+D8*D41+D42*D9+D10*D43)/SUM(D40:D43)</f>
        <v>33112.843805825389</v>
      </c>
      <c r="E45" s="763">
        <f t="shared" ref="E45:AV45" si="17">(E40*E7+E8*E41+E42*E9+E10*E43)/SUM(E40:E43)</f>
        <v>31527.010716574372</v>
      </c>
      <c r="F45" s="763">
        <f t="shared" si="17"/>
        <v>34663.415149328721</v>
      </c>
      <c r="G45" s="763">
        <f t="shared" si="17"/>
        <v>34678.720899123269</v>
      </c>
      <c r="H45" s="763">
        <f t="shared" si="17"/>
        <v>33516.511210774945</v>
      </c>
      <c r="I45" s="763">
        <f t="shared" si="17"/>
        <v>37728.925962053254</v>
      </c>
      <c r="J45" s="763">
        <f t="shared" si="17"/>
        <v>41117.620056563654</v>
      </c>
      <c r="K45" s="763">
        <f t="shared" si="17"/>
        <v>42779.654114449302</v>
      </c>
      <c r="L45" s="763">
        <f t="shared" si="17"/>
        <v>43778.479557621024</v>
      </c>
      <c r="M45" s="763">
        <f t="shared" si="17"/>
        <v>34066.428361986895</v>
      </c>
      <c r="N45" s="763">
        <f t="shared" si="17"/>
        <v>28300.631828236343</v>
      </c>
      <c r="O45" s="763">
        <f t="shared" si="17"/>
        <v>25678.326656334018</v>
      </c>
      <c r="P45" s="763">
        <f t="shared" si="17"/>
        <v>26588.063137315723</v>
      </c>
      <c r="Q45" s="763">
        <f t="shared" si="17"/>
        <v>27150.896051299878</v>
      </c>
      <c r="R45" s="763">
        <f t="shared" si="17"/>
        <v>28099.100590131176</v>
      </c>
      <c r="S45" s="763">
        <f t="shared" si="17"/>
        <v>29142.894117641441</v>
      </c>
      <c r="T45" s="763">
        <f t="shared" si="17"/>
        <v>29180.865725814267</v>
      </c>
      <c r="U45" s="763">
        <f t="shared" si="17"/>
        <v>27139.519498218109</v>
      </c>
      <c r="V45" s="763">
        <f t="shared" si="17"/>
        <v>27697.390518205764</v>
      </c>
      <c r="W45" s="763">
        <f t="shared" si="17"/>
        <v>27646.169504450194</v>
      </c>
      <c r="X45" s="763">
        <f t="shared" si="17"/>
        <v>27187.57579970454</v>
      </c>
      <c r="Y45" s="763">
        <f t="shared" si="17"/>
        <v>26536.680579227606</v>
      </c>
      <c r="Z45" s="763">
        <f t="shared" si="17"/>
        <v>27767.411494415952</v>
      </c>
      <c r="AA45" s="763">
        <f t="shared" si="17"/>
        <v>28758.66212499185</v>
      </c>
      <c r="AB45" s="763">
        <f t="shared" si="17"/>
        <v>30014.895353209962</v>
      </c>
      <c r="AC45" s="763">
        <f t="shared" si="17"/>
        <v>28169.110553871222</v>
      </c>
      <c r="AD45" s="763">
        <f t="shared" si="17"/>
        <v>24178.349276537581</v>
      </c>
      <c r="AE45" s="763">
        <f t="shared" si="17"/>
        <v>26921.146542356088</v>
      </c>
      <c r="AF45" s="763">
        <f t="shared" si="17"/>
        <v>27058.698813351821</v>
      </c>
      <c r="AG45" s="763">
        <f t="shared" si="17"/>
        <v>27609.20792863176</v>
      </c>
      <c r="AH45" s="763">
        <f t="shared" si="17"/>
        <v>23953.515642518913</v>
      </c>
      <c r="AI45" s="763">
        <f t="shared" si="17"/>
        <v>24288.343952351519</v>
      </c>
      <c r="AJ45" s="763">
        <f t="shared" si="17"/>
        <v>24420.686698791927</v>
      </c>
      <c r="AK45" s="763">
        <f t="shared" si="17"/>
        <v>21579.809165260987</v>
      </c>
      <c r="AL45" s="763">
        <f t="shared" si="17"/>
        <v>22454.907237374799</v>
      </c>
      <c r="AM45" s="763">
        <f t="shared" si="17"/>
        <v>23751.211374168484</v>
      </c>
      <c r="AN45" s="763">
        <f t="shared" si="17"/>
        <v>26534.008455347554</v>
      </c>
      <c r="AO45" s="763">
        <f t="shared" si="17"/>
        <v>27954.464901542509</v>
      </c>
      <c r="AP45" s="763">
        <f t="shared" si="17"/>
        <v>29812.866341590063</v>
      </c>
      <c r="AQ45" s="763">
        <f t="shared" si="17"/>
        <v>27658.229502380575</v>
      </c>
      <c r="AR45" s="763">
        <f t="shared" si="17"/>
        <v>26379.260094513356</v>
      </c>
      <c r="AS45" s="763">
        <f t="shared" si="17"/>
        <v>29440.582179984442</v>
      </c>
      <c r="AT45" s="763">
        <f t="shared" si="17"/>
        <v>30451.993601064762</v>
      </c>
      <c r="AU45" s="763">
        <f t="shared" si="17"/>
        <v>30740.571263783248</v>
      </c>
      <c r="AV45" s="763">
        <f t="shared" si="17"/>
        <v>32600.821378286299</v>
      </c>
      <c r="AW45" s="404">
        <f t="shared" si="7"/>
        <v>29329.255060382337</v>
      </c>
      <c r="AY45" s="364" t="s">
        <v>673</v>
      </c>
      <c r="AZ45" s="763">
        <f>(AZ40*AZ7+AZ8*AZ41+AZ42*AZ9+AZ10*AZ43)/SUM(AZ40:AZ43)</f>
        <v>30467.98466266496</v>
      </c>
      <c r="BA45" s="970"/>
      <c r="BB45" s="763">
        <f>(BB40*BB7+BB8*BB41+BB42*BB9+BB10*BB43)/SUM(BB40:BB43)</f>
        <v>32331.833899680041</v>
      </c>
      <c r="BC45" s="970"/>
      <c r="BD45" s="763">
        <f>(BD40*BD7+BD8*BD41+BD42*BD9+BD10*BD43)/SUM(BD40:BD43)</f>
        <v>32028.093844861709</v>
      </c>
    </row>
    <row r="46" spans="3:56" x14ac:dyDescent="0.25">
      <c r="C46" s="629"/>
      <c r="D46" s="630"/>
      <c r="E46" s="630"/>
      <c r="F46" s="630"/>
      <c r="G46" s="630"/>
      <c r="H46" s="630"/>
      <c r="I46" s="630"/>
      <c r="J46" s="630"/>
      <c r="K46" s="630"/>
      <c r="L46" s="630"/>
      <c r="M46" s="630"/>
      <c r="N46" s="630"/>
      <c r="O46" s="630"/>
      <c r="P46" s="630"/>
      <c r="Q46" s="630"/>
      <c r="R46" s="630"/>
      <c r="S46" s="630"/>
      <c r="T46" s="630"/>
      <c r="U46" s="630"/>
      <c r="V46" s="630"/>
      <c r="W46" s="630"/>
      <c r="X46" s="630"/>
      <c r="Y46" s="630"/>
      <c r="Z46" s="630"/>
      <c r="AA46" s="630"/>
      <c r="AB46" s="630"/>
      <c r="AC46" s="630"/>
      <c r="AD46" s="630"/>
      <c r="AE46" s="630"/>
      <c r="AF46" s="626"/>
      <c r="AG46" s="626"/>
      <c r="AH46" s="626"/>
      <c r="AI46" s="626"/>
      <c r="AJ46" s="626"/>
      <c r="AK46" s="626"/>
      <c r="AL46" s="626"/>
      <c r="AM46" s="626"/>
      <c r="AN46" s="626"/>
      <c r="AO46" s="626"/>
      <c r="AP46" s="626"/>
      <c r="AQ46" s="626"/>
      <c r="AR46" s="626"/>
      <c r="AS46" s="626"/>
      <c r="AT46" s="626"/>
      <c r="AU46" s="626"/>
      <c r="AV46" s="626"/>
      <c r="AW46" s="626"/>
      <c r="AZ46" s="757"/>
      <c r="BA46" s="970"/>
      <c r="BB46" s="757"/>
      <c r="BC46" s="970"/>
      <c r="BD46" s="757"/>
    </row>
    <row r="47" spans="3:56" x14ac:dyDescent="0.25">
      <c r="C47" s="769" t="s">
        <v>657</v>
      </c>
      <c r="D47" s="764">
        <f t="shared" ref="D47:AV47" si="18">1.60538313542994*D26</f>
        <v>80181.791821266903</v>
      </c>
      <c r="E47" s="764">
        <f t="shared" si="18"/>
        <v>84503.627706326486</v>
      </c>
      <c r="F47" s="764">
        <f t="shared" si="18"/>
        <v>105825.64743404067</v>
      </c>
      <c r="G47" s="764">
        <f t="shared" si="18"/>
        <v>55582.586306230696</v>
      </c>
      <c r="H47" s="764">
        <f t="shared" si="18"/>
        <v>77083.65923118878</v>
      </c>
      <c r="I47" s="764">
        <f t="shared" si="18"/>
        <v>107646.14067193627</v>
      </c>
      <c r="J47" s="764">
        <f t="shared" si="18"/>
        <v>105600.81834207309</v>
      </c>
      <c r="K47" s="764">
        <f t="shared" si="18"/>
        <v>118869.29390257021</v>
      </c>
      <c r="L47" s="764">
        <f t="shared" si="18"/>
        <v>113568.59170451357</v>
      </c>
      <c r="M47" s="764">
        <f t="shared" si="18"/>
        <v>101311.12222738483</v>
      </c>
      <c r="N47" s="764">
        <f t="shared" si="18"/>
        <v>86838.063485049235</v>
      </c>
      <c r="O47" s="764">
        <f t="shared" si="18"/>
        <v>101122.85894709296</v>
      </c>
      <c r="P47" s="764">
        <f t="shared" si="18"/>
        <v>115705.32776087438</v>
      </c>
      <c r="Q47" s="764">
        <f t="shared" si="18"/>
        <v>117036.02663106599</v>
      </c>
      <c r="R47" s="764">
        <f t="shared" si="18"/>
        <v>142553.10995378427</v>
      </c>
      <c r="S47" s="764">
        <f t="shared" si="18"/>
        <v>137672.45625311285</v>
      </c>
      <c r="T47" s="764">
        <f t="shared" si="18"/>
        <v>134982.21941008477</v>
      </c>
      <c r="U47" s="764">
        <f t="shared" si="18"/>
        <v>136749.74624219316</v>
      </c>
      <c r="V47" s="764">
        <f t="shared" si="18"/>
        <v>149066.24565721164</v>
      </c>
      <c r="W47" s="764">
        <f t="shared" si="18"/>
        <v>107424.21250729443</v>
      </c>
      <c r="X47" s="764">
        <f t="shared" si="18"/>
        <v>120365.20596199518</v>
      </c>
      <c r="Y47" s="764">
        <f t="shared" si="18"/>
        <v>112638.49693117087</v>
      </c>
      <c r="Z47" s="764">
        <f t="shared" si="18"/>
        <v>139154.61017906718</v>
      </c>
      <c r="AA47" s="764">
        <f t="shared" si="18"/>
        <v>158306.67044643284</v>
      </c>
      <c r="AB47" s="764">
        <f t="shared" si="18"/>
        <v>153195.5158351764</v>
      </c>
      <c r="AC47" s="764">
        <f t="shared" si="18"/>
        <v>141172.57678030262</v>
      </c>
      <c r="AD47" s="764">
        <f t="shared" si="18"/>
        <v>126624.59480703651</v>
      </c>
      <c r="AE47" s="764">
        <f t="shared" si="18"/>
        <v>56138.642862849571</v>
      </c>
      <c r="AF47" s="764">
        <f t="shared" si="18"/>
        <v>83398.04850244995</v>
      </c>
      <c r="AG47" s="764">
        <f t="shared" si="18"/>
        <v>127033.96750657115</v>
      </c>
      <c r="AH47" s="764">
        <f t="shared" si="18"/>
        <v>154810.30651577996</v>
      </c>
      <c r="AI47" s="764">
        <f t="shared" si="18"/>
        <v>149186.68150003161</v>
      </c>
      <c r="AJ47" s="764">
        <f t="shared" si="18"/>
        <v>141332.82612488125</v>
      </c>
      <c r="AK47" s="764">
        <f t="shared" si="18"/>
        <v>146280.11927950432</v>
      </c>
      <c r="AL47" s="764">
        <f t="shared" si="18"/>
        <v>144701.6423654242</v>
      </c>
      <c r="AM47" s="764">
        <f t="shared" si="18"/>
        <v>117327.70869294224</v>
      </c>
      <c r="AN47" s="764">
        <f t="shared" si="18"/>
        <v>145406.77479999908</v>
      </c>
      <c r="AO47" s="764">
        <f t="shared" si="18"/>
        <v>135353.86560593682</v>
      </c>
      <c r="AP47" s="764">
        <f t="shared" si="18"/>
        <v>162911.18219397892</v>
      </c>
      <c r="AQ47" s="764">
        <f t="shared" si="18"/>
        <v>138293.45055755987</v>
      </c>
      <c r="AR47" s="764">
        <f t="shared" si="18"/>
        <v>119730.37616132593</v>
      </c>
      <c r="AS47" s="764">
        <f t="shared" si="18"/>
        <v>141779.38189796169</v>
      </c>
      <c r="AT47" s="764">
        <f t="shared" si="18"/>
        <v>121861.21434440826</v>
      </c>
      <c r="AU47" s="764">
        <f t="shared" si="18"/>
        <v>143695.25978548589</v>
      </c>
      <c r="AV47" s="764">
        <f t="shared" si="18"/>
        <v>151426.30335077585</v>
      </c>
      <c r="AW47" s="404">
        <f t="shared" ref="AW47:AW58" si="19">AVERAGE(D47:AV47)</f>
        <v>122476.643759652</v>
      </c>
      <c r="AY47" s="754" t="s">
        <v>657</v>
      </c>
      <c r="AZ47" s="764">
        <f>1.60538313542994*AZ26</f>
        <v>2224900.4873923538</v>
      </c>
      <c r="BA47" s="970"/>
      <c r="BB47" s="764">
        <f>1.60538313542994*BB26</f>
        <v>2163414.3133053873</v>
      </c>
      <c r="BC47" s="970"/>
      <c r="BD47" s="764">
        <f>1.60538313542994*BD26</f>
        <v>1945611.9833216071</v>
      </c>
    </row>
    <row r="48" spans="3:56" x14ac:dyDescent="0.25">
      <c r="C48" s="769" t="s">
        <v>658</v>
      </c>
      <c r="D48" s="764">
        <f t="shared" ref="D48:AV48" si="20">514.318507752244*D26</f>
        <v>25687936.174420327</v>
      </c>
      <c r="E48" s="764">
        <f t="shared" si="20"/>
        <v>27072527.885955062</v>
      </c>
      <c r="F48" s="764">
        <f t="shared" si="20"/>
        <v>33903488.74919159</v>
      </c>
      <c r="G48" s="764">
        <f t="shared" si="20"/>
        <v>17807059.396058075</v>
      </c>
      <c r="H48" s="764">
        <f t="shared" si="20"/>
        <v>24695383.745419733</v>
      </c>
      <c r="I48" s="764">
        <f t="shared" si="20"/>
        <v>34486722.336753085</v>
      </c>
      <c r="J48" s="764">
        <f t="shared" si="20"/>
        <v>33831459.985136412</v>
      </c>
      <c r="K48" s="764">
        <f t="shared" si="20"/>
        <v>38082297.308523633</v>
      </c>
      <c r="L48" s="764">
        <f t="shared" si="20"/>
        <v>36384105.030072041</v>
      </c>
      <c r="M48" s="764">
        <f t="shared" si="20"/>
        <v>32457164.930126872</v>
      </c>
      <c r="N48" s="764">
        <f t="shared" si="20"/>
        <v>27820413.857632834</v>
      </c>
      <c r="O48" s="764">
        <f t="shared" si="20"/>
        <v>32396850.798722766</v>
      </c>
      <c r="P48" s="764">
        <f t="shared" si="20"/>
        <v>37068653.70615714</v>
      </c>
      <c r="Q48" s="764">
        <f t="shared" si="20"/>
        <v>37494971.28859596</v>
      </c>
      <c r="R48" s="764">
        <f t="shared" si="20"/>
        <v>45669909.673765548</v>
      </c>
      <c r="S48" s="764">
        <f t="shared" si="20"/>
        <v>44106288.832867332</v>
      </c>
      <c r="T48" s="764">
        <f t="shared" si="20"/>
        <v>43244414.450316429</v>
      </c>
      <c r="U48" s="764">
        <f t="shared" si="20"/>
        <v>43810679.127351649</v>
      </c>
      <c r="V48" s="764">
        <f t="shared" si="20"/>
        <v>47756530.718826868</v>
      </c>
      <c r="W48" s="764">
        <f t="shared" si="20"/>
        <v>34415622.946241409</v>
      </c>
      <c r="X48" s="764">
        <f t="shared" si="20"/>
        <v>38561544.437232248</v>
      </c>
      <c r="Y48" s="764">
        <f t="shared" si="20"/>
        <v>36086129.459420696</v>
      </c>
      <c r="Z48" s="764">
        <f t="shared" si="20"/>
        <v>44581128.251964517</v>
      </c>
      <c r="AA48" s="764">
        <f t="shared" si="20"/>
        <v>50716896.617598005</v>
      </c>
      <c r="AB48" s="764">
        <f t="shared" si="20"/>
        <v>49079429.925356723</v>
      </c>
      <c r="AC48" s="764">
        <f t="shared" si="20"/>
        <v>45227626.616209082</v>
      </c>
      <c r="AD48" s="764">
        <f t="shared" si="20"/>
        <v>40566872.298958249</v>
      </c>
      <c r="AE48" s="764">
        <f t="shared" si="20"/>
        <v>17985203.897588223</v>
      </c>
      <c r="AF48" s="764">
        <f t="shared" si="20"/>
        <v>26718332.159221325</v>
      </c>
      <c r="AG48" s="764">
        <f t="shared" si="20"/>
        <v>40698023.518435068</v>
      </c>
      <c r="AH48" s="764">
        <f t="shared" si="20"/>
        <v>49596762.339564398</v>
      </c>
      <c r="AI48" s="764">
        <f t="shared" si="20"/>
        <v>47795114.893278442</v>
      </c>
      <c r="AJ48" s="764">
        <f t="shared" si="20"/>
        <v>45278965.889652915</v>
      </c>
      <c r="AK48" s="764">
        <f t="shared" si="20"/>
        <v>46863936.091807924</v>
      </c>
      <c r="AL48" s="764">
        <f t="shared" si="20"/>
        <v>46358237.562245615</v>
      </c>
      <c r="AM48" s="764">
        <f t="shared" si="20"/>
        <v>37588417.818269454</v>
      </c>
      <c r="AN48" s="764">
        <f t="shared" si="20"/>
        <v>46584141.680405632</v>
      </c>
      <c r="AO48" s="764">
        <f t="shared" si="20"/>
        <v>43363479.184861079</v>
      </c>
      <c r="AP48" s="764">
        <f t="shared" si="20"/>
        <v>52192049.531977765</v>
      </c>
      <c r="AQ48" s="764">
        <f t="shared" si="20"/>
        <v>44305237.518036053</v>
      </c>
      <c r="AR48" s="764">
        <f t="shared" si="20"/>
        <v>38358163.257655188</v>
      </c>
      <c r="AS48" s="764">
        <f t="shared" si="20"/>
        <v>45422029.494701542</v>
      </c>
      <c r="AT48" s="764">
        <f t="shared" si="20"/>
        <v>39040822.425051332</v>
      </c>
      <c r="AU48" s="764">
        <f t="shared" si="20"/>
        <v>46035821.576105885</v>
      </c>
      <c r="AV48" s="764">
        <f t="shared" si="20"/>
        <v>48512625.213888362</v>
      </c>
      <c r="AW48" s="404">
        <f t="shared" si="19"/>
        <v>39237988.280036002</v>
      </c>
      <c r="AY48" s="766" t="s">
        <v>658</v>
      </c>
      <c r="AZ48" s="764">
        <f>514.318507752244*AZ26</f>
        <v>712794019.89383507</v>
      </c>
      <c r="BA48" s="970"/>
      <c r="BB48" s="764">
        <f>514.318507752244*BB26</f>
        <v>693095621.04692411</v>
      </c>
      <c r="BC48" s="970"/>
      <c r="BD48" s="764">
        <f>514.318507752244*BD26</f>
        <v>623318029.10017717</v>
      </c>
    </row>
    <row r="49" spans="3:56" x14ac:dyDescent="0.25">
      <c r="C49" s="769" t="s">
        <v>659</v>
      </c>
      <c r="D49" s="764">
        <f t="shared" ref="D49:AV49" si="21">0.4974*D26</f>
        <v>24842.931492</v>
      </c>
      <c r="E49" s="764">
        <f t="shared" si="21"/>
        <v>26181.977058</v>
      </c>
      <c r="F49" s="764">
        <f t="shared" si="21"/>
        <v>32788.233457800001</v>
      </c>
      <c r="G49" s="764">
        <f t="shared" si="21"/>
        <v>17221.296161999999</v>
      </c>
      <c r="H49" s="764">
        <f t="shared" si="21"/>
        <v>23883.029075999999</v>
      </c>
      <c r="I49" s="764">
        <f t="shared" si="21"/>
        <v>33352.281576000001</v>
      </c>
      <c r="J49" s="764">
        <f t="shared" si="21"/>
        <v>32718.574079999999</v>
      </c>
      <c r="K49" s="764">
        <f t="shared" si="21"/>
        <v>36829.580106000001</v>
      </c>
      <c r="L49" s="764">
        <f t="shared" si="21"/>
        <v>35187.249863999998</v>
      </c>
      <c r="M49" s="764">
        <f t="shared" si="21"/>
        <v>31389.486462000001</v>
      </c>
      <c r="N49" s="764">
        <f t="shared" si="21"/>
        <v>26905.261320000001</v>
      </c>
      <c r="O49" s="764">
        <f t="shared" si="21"/>
        <v>31331.156364000002</v>
      </c>
      <c r="P49" s="764">
        <f t="shared" si="21"/>
        <v>35849.280310800001</v>
      </c>
      <c r="Q49" s="764">
        <f t="shared" si="21"/>
        <v>36261.574176000002</v>
      </c>
      <c r="R49" s="764">
        <f t="shared" si="21"/>
        <v>44167.597956000005</v>
      </c>
      <c r="S49" s="764">
        <f t="shared" si="21"/>
        <v>42655.412423999995</v>
      </c>
      <c r="T49" s="764">
        <f t="shared" si="21"/>
        <v>41821.8894</v>
      </c>
      <c r="U49" s="764">
        <f t="shared" si="21"/>
        <v>42369.5268</v>
      </c>
      <c r="V49" s="764">
        <f t="shared" si="21"/>
        <v>46185.579599999997</v>
      </c>
      <c r="W49" s="764">
        <f t="shared" si="21"/>
        <v>33283.521000000001</v>
      </c>
      <c r="X49" s="764">
        <f t="shared" si="21"/>
        <v>37293.062400000003</v>
      </c>
      <c r="Y49" s="764">
        <f t="shared" si="21"/>
        <v>34899.076200000003</v>
      </c>
      <c r="Z49" s="764">
        <f t="shared" si="21"/>
        <v>43114.631999999998</v>
      </c>
      <c r="AA49" s="764">
        <f t="shared" si="21"/>
        <v>49048.564259999999</v>
      </c>
      <c r="AB49" s="764">
        <f t="shared" si="21"/>
        <v>47464.962035999997</v>
      </c>
      <c r="AC49" s="764">
        <f t="shared" si="21"/>
        <v>43739.863799999999</v>
      </c>
      <c r="AD49" s="764">
        <f t="shared" si="21"/>
        <v>39232.425000000003</v>
      </c>
      <c r="AE49" s="764">
        <f t="shared" si="21"/>
        <v>17393.580600000001</v>
      </c>
      <c r="AF49" s="764">
        <f t="shared" si="21"/>
        <v>25839.4326</v>
      </c>
      <c r="AG49" s="764">
        <f t="shared" si="21"/>
        <v>39359.262000000002</v>
      </c>
      <c r="AH49" s="764">
        <f t="shared" si="21"/>
        <v>47965.2768</v>
      </c>
      <c r="AI49" s="764">
        <f t="shared" si="21"/>
        <v>46222.894548000004</v>
      </c>
      <c r="AJ49" s="764">
        <f t="shared" si="21"/>
        <v>43789.514268000006</v>
      </c>
      <c r="AK49" s="764">
        <f t="shared" si="21"/>
        <v>45322.346873999995</v>
      </c>
      <c r="AL49" s="764">
        <f t="shared" si="21"/>
        <v>44833.283298000002</v>
      </c>
      <c r="AM49" s="764">
        <f t="shared" si="21"/>
        <v>36351.946781999999</v>
      </c>
      <c r="AN49" s="764">
        <f t="shared" si="21"/>
        <v>45051.756300000001</v>
      </c>
      <c r="AO49" s="764">
        <f t="shared" si="21"/>
        <v>41937.037499999999</v>
      </c>
      <c r="AP49" s="764">
        <f t="shared" si="21"/>
        <v>50475.192018000002</v>
      </c>
      <c r="AQ49" s="764">
        <f t="shared" si="21"/>
        <v>42847.816692</v>
      </c>
      <c r="AR49" s="764">
        <f t="shared" si="21"/>
        <v>37096.371444499011</v>
      </c>
      <c r="AS49" s="764">
        <f t="shared" si="21"/>
        <v>43927.871795638239</v>
      </c>
      <c r="AT49" s="764">
        <f t="shared" si="21"/>
        <v>37756.574538000001</v>
      </c>
      <c r="AU49" s="764">
        <f t="shared" si="21"/>
        <v>44521.473186000003</v>
      </c>
      <c r="AV49" s="764">
        <f t="shared" si="21"/>
        <v>46916.802365999996</v>
      </c>
      <c r="AW49" s="404">
        <f t="shared" si="19"/>
        <v>37947.254622016386</v>
      </c>
      <c r="AY49" s="754" t="s">
        <v>659</v>
      </c>
      <c r="AZ49" s="764">
        <f>0.4974*AZ26</f>
        <v>689346.66</v>
      </c>
      <c r="BA49" s="970"/>
      <c r="BB49" s="764">
        <f>0.4974*BB26</f>
        <v>670296.24</v>
      </c>
      <c r="BC49" s="970"/>
      <c r="BD49" s="764">
        <f>0.4974*BD26</f>
        <v>602813.98199999996</v>
      </c>
    </row>
    <row r="50" spans="3:56" x14ac:dyDescent="0.25">
      <c r="C50" s="769" t="s">
        <v>660</v>
      </c>
      <c r="D50" s="764">
        <f t="shared" ref="D50:AV50" si="22">0.141907186316624*D26</f>
        <v>7087.636726751849</v>
      </c>
      <c r="E50" s="764">
        <f t="shared" si="22"/>
        <v>7469.6636439629692</v>
      </c>
      <c r="F50" s="764">
        <f t="shared" si="22"/>
        <v>9354.414865880557</v>
      </c>
      <c r="G50" s="764">
        <f t="shared" si="22"/>
        <v>4913.2000061815352</v>
      </c>
      <c r="H50" s="764">
        <f t="shared" si="22"/>
        <v>6813.7785623105756</v>
      </c>
      <c r="I50" s="764">
        <f t="shared" si="22"/>
        <v>9515.3366218133051</v>
      </c>
      <c r="J50" s="764">
        <f t="shared" si="22"/>
        <v>9334.5411901584721</v>
      </c>
      <c r="K50" s="764">
        <f t="shared" si="22"/>
        <v>10507.402665993508</v>
      </c>
      <c r="L50" s="764">
        <f t="shared" si="22"/>
        <v>10038.849260997689</v>
      </c>
      <c r="M50" s="764">
        <f t="shared" si="22"/>
        <v>8955.3552548174121</v>
      </c>
      <c r="N50" s="764">
        <f t="shared" si="22"/>
        <v>7676.0151408015627</v>
      </c>
      <c r="O50" s="764">
        <f t="shared" si="22"/>
        <v>8938.7137990780611</v>
      </c>
      <c r="P50" s="764">
        <f t="shared" si="22"/>
        <v>10227.725171655762</v>
      </c>
      <c r="Q50" s="764">
        <f t="shared" si="22"/>
        <v>10345.35175457924</v>
      </c>
      <c r="R50" s="764">
        <f t="shared" si="22"/>
        <v>12600.923908926083</v>
      </c>
      <c r="S50" s="764">
        <f t="shared" si="22"/>
        <v>12169.500519230007</v>
      </c>
      <c r="T50" s="764">
        <f t="shared" si="22"/>
        <v>11931.698132688061</v>
      </c>
      <c r="U50" s="764">
        <f t="shared" si="22"/>
        <v>12087.937944822665</v>
      </c>
      <c r="V50" s="764">
        <f t="shared" si="22"/>
        <v>13176.649878243805</v>
      </c>
      <c r="W50" s="764">
        <f t="shared" si="22"/>
        <v>9495.7193723768942</v>
      </c>
      <c r="X50" s="764">
        <f t="shared" si="22"/>
        <v>10639.633201275201</v>
      </c>
      <c r="Y50" s="764">
        <f t="shared" si="22"/>
        <v>9956.6339135332892</v>
      </c>
      <c r="Z50" s="764">
        <f t="shared" si="22"/>
        <v>12300.514909924968</v>
      </c>
      <c r="AA50" s="764">
        <f t="shared" si="22"/>
        <v>13993.45345196366</v>
      </c>
      <c r="AB50" s="764">
        <f t="shared" si="22"/>
        <v>13541.655028456245</v>
      </c>
      <c r="AC50" s="764">
        <f t="shared" si="22"/>
        <v>12478.892243124965</v>
      </c>
      <c r="AD50" s="764">
        <f t="shared" si="22"/>
        <v>11192.929320723717</v>
      </c>
      <c r="AE50" s="764">
        <f t="shared" si="22"/>
        <v>4962.352398306025</v>
      </c>
      <c r="AF50" s="764">
        <f t="shared" si="22"/>
        <v>7371.9364219623003</v>
      </c>
      <c r="AG50" s="764">
        <f t="shared" si="22"/>
        <v>11229.115653234458</v>
      </c>
      <c r="AH50" s="764">
        <f t="shared" si="22"/>
        <v>13684.393790884686</v>
      </c>
      <c r="AI50" s="764">
        <f t="shared" si="22"/>
        <v>13187.295755361278</v>
      </c>
      <c r="AJ50" s="764">
        <f t="shared" si="22"/>
        <v>12493.057418463091</v>
      </c>
      <c r="AK50" s="764">
        <f t="shared" si="22"/>
        <v>12930.371375463166</v>
      </c>
      <c r="AL50" s="764">
        <f t="shared" si="22"/>
        <v>12790.842553589209</v>
      </c>
      <c r="AM50" s="764">
        <f t="shared" si="22"/>
        <v>10371.134871261105</v>
      </c>
      <c r="AN50" s="764">
        <f t="shared" si="22"/>
        <v>12853.17244703506</v>
      </c>
      <c r="AO50" s="764">
        <f t="shared" si="22"/>
        <v>11964.54964632036</v>
      </c>
      <c r="AP50" s="764">
        <f t="shared" si="22"/>
        <v>14400.467386541413</v>
      </c>
      <c r="AQ50" s="764">
        <f t="shared" si="22"/>
        <v>12224.393057041005</v>
      </c>
      <c r="AR50" s="764">
        <f t="shared" si="22"/>
        <v>10583.517680428651</v>
      </c>
      <c r="AS50" s="764">
        <f t="shared" si="22"/>
        <v>12532.530533567366</v>
      </c>
      <c r="AT50" s="764">
        <f t="shared" si="22"/>
        <v>10771.872250988072</v>
      </c>
      <c r="AU50" s="764">
        <f t="shared" si="22"/>
        <v>12701.883776631044</v>
      </c>
      <c r="AV50" s="764">
        <f t="shared" si="22"/>
        <v>13385.266213776009</v>
      </c>
      <c r="AW50" s="404">
        <f t="shared" si="19"/>
        <v>10826.272882691694</v>
      </c>
      <c r="AY50" s="754" t="s">
        <v>660</v>
      </c>
      <c r="AZ50" s="764">
        <f>0.141907186316624*AZ26</f>
        <v>196669.16951620919</v>
      </c>
      <c r="BA50" s="970"/>
      <c r="BB50" s="764">
        <f>0.141907186316624*BB26</f>
        <v>191234.1242802825</v>
      </c>
      <c r="BC50" s="970"/>
      <c r="BD50" s="764">
        <f>0.141907186316624*BD26</f>
        <v>171981.57631270611</v>
      </c>
    </row>
    <row r="51" spans="3:56" x14ac:dyDescent="0.25">
      <c r="C51" s="769" t="s">
        <v>661</v>
      </c>
      <c r="D51" s="764">
        <f t="shared" ref="D51:AV51" si="23">15.5758393955529*D26</f>
        <v>777944.33259773906</v>
      </c>
      <c r="E51" s="764">
        <f t="shared" si="23"/>
        <v>819875.89407611301</v>
      </c>
      <c r="F51" s="764">
        <f t="shared" si="23"/>
        <v>1026747.6043477824</v>
      </c>
      <c r="G51" s="764">
        <f t="shared" si="23"/>
        <v>539276.52433165174</v>
      </c>
      <c r="H51" s="764">
        <f t="shared" si="23"/>
        <v>747885.45469862525</v>
      </c>
      <c r="I51" s="764">
        <f t="shared" si="23"/>
        <v>1044410.4971914637</v>
      </c>
      <c r="J51" s="764">
        <f t="shared" si="23"/>
        <v>1024566.2547679533</v>
      </c>
      <c r="K51" s="764">
        <f t="shared" si="23"/>
        <v>1153300.4116138043</v>
      </c>
      <c r="L51" s="764">
        <f t="shared" si="23"/>
        <v>1101871.6378223856</v>
      </c>
      <c r="M51" s="764">
        <f t="shared" si="23"/>
        <v>982946.52159427828</v>
      </c>
      <c r="N51" s="764">
        <f t="shared" si="23"/>
        <v>842525.18941636849</v>
      </c>
      <c r="O51" s="764">
        <f t="shared" si="23"/>
        <v>981119.9429083619</v>
      </c>
      <c r="P51" s="764">
        <f t="shared" si="23"/>
        <v>1122602.7996927577</v>
      </c>
      <c r="Q51" s="764">
        <f t="shared" si="23"/>
        <v>1135513.5818160526</v>
      </c>
      <c r="R51" s="764">
        <f t="shared" si="23"/>
        <v>1383086.8762565472</v>
      </c>
      <c r="S51" s="764">
        <f t="shared" si="23"/>
        <v>1335733.520842975</v>
      </c>
      <c r="T51" s="764">
        <f t="shared" si="23"/>
        <v>1309632.1522174834</v>
      </c>
      <c r="U51" s="764">
        <f t="shared" si="23"/>
        <v>1326781.1513919872</v>
      </c>
      <c r="V51" s="764">
        <f t="shared" si="23"/>
        <v>1446278.991234669</v>
      </c>
      <c r="W51" s="764">
        <f t="shared" si="23"/>
        <v>1042257.2931534224</v>
      </c>
      <c r="X51" s="764">
        <f t="shared" si="23"/>
        <v>1167814.1345209742</v>
      </c>
      <c r="Y51" s="764">
        <f t="shared" si="23"/>
        <v>1092847.6195101782</v>
      </c>
      <c r="Z51" s="764">
        <f t="shared" si="23"/>
        <v>1350113.7588065255</v>
      </c>
      <c r="AA51" s="764">
        <f t="shared" si="23"/>
        <v>1535931.9652115318</v>
      </c>
      <c r="AB51" s="764">
        <f t="shared" si="23"/>
        <v>1486342.2307775465</v>
      </c>
      <c r="AC51" s="764">
        <f t="shared" si="23"/>
        <v>1369692.5889267353</v>
      </c>
      <c r="AD51" s="764">
        <f t="shared" si="23"/>
        <v>1228544.332324235</v>
      </c>
      <c r="AE51" s="764">
        <f t="shared" si="23"/>
        <v>544671.52782308939</v>
      </c>
      <c r="AF51" s="764">
        <f t="shared" si="23"/>
        <v>809149.28075957764</v>
      </c>
      <c r="AG51" s="764">
        <f t="shared" si="23"/>
        <v>1232516.1713701012</v>
      </c>
      <c r="AH51" s="764">
        <f t="shared" si="23"/>
        <v>1502009.3445919573</v>
      </c>
      <c r="AI51" s="764">
        <f t="shared" si="23"/>
        <v>1447447.4907061234</v>
      </c>
      <c r="AJ51" s="764">
        <f t="shared" si="23"/>
        <v>1371247.3692151997</v>
      </c>
      <c r="AK51" s="764">
        <f t="shared" si="23"/>
        <v>1419247.2777220809</v>
      </c>
      <c r="AL51" s="764">
        <f t="shared" si="23"/>
        <v>1403932.4893947975</v>
      </c>
      <c r="AM51" s="764">
        <f t="shared" si="23"/>
        <v>1138343.5560758305</v>
      </c>
      <c r="AN51" s="764">
        <f t="shared" si="23"/>
        <v>1410773.8653325061</v>
      </c>
      <c r="AO51" s="764">
        <f t="shared" si="23"/>
        <v>1313237.959037554</v>
      </c>
      <c r="AP51" s="764">
        <f t="shared" si="23"/>
        <v>1580606.1204906751</v>
      </c>
      <c r="AQ51" s="764">
        <f t="shared" si="23"/>
        <v>1341758.5670379631</v>
      </c>
      <c r="AR51" s="764">
        <f t="shared" si="23"/>
        <v>1161654.8527890861</v>
      </c>
      <c r="AS51" s="764">
        <f t="shared" si="23"/>
        <v>1375579.9679881367</v>
      </c>
      <c r="AT51" s="764">
        <f t="shared" si="23"/>
        <v>1182328.791978508</v>
      </c>
      <c r="AU51" s="764">
        <f t="shared" si="23"/>
        <v>1394168.3071945133</v>
      </c>
      <c r="AV51" s="764">
        <f t="shared" si="23"/>
        <v>1469176.8769716774</v>
      </c>
      <c r="AW51" s="404">
        <f t="shared" si="19"/>
        <v>1188299.8461895455</v>
      </c>
      <c r="AY51" s="754" t="s">
        <v>661</v>
      </c>
      <c r="AZ51" s="764">
        <f>15.5758393955529*AZ26</f>
        <v>21586555.818296764</v>
      </c>
      <c r="BA51" s="970"/>
      <c r="BB51" s="764">
        <f>15.5758393955529*BB26</f>
        <v>20990001.16944709</v>
      </c>
      <c r="BC51" s="970"/>
      <c r="BD51" s="764">
        <f>15.5758393955529*BD26</f>
        <v>18876827.038652427</v>
      </c>
    </row>
    <row r="52" spans="3:56" x14ac:dyDescent="0.25">
      <c r="C52" s="769" t="s">
        <v>662</v>
      </c>
      <c r="D52" s="764">
        <f t="shared" ref="D52:AV52" si="24">16.8349994240702*D26</f>
        <v>840833.81053485221</v>
      </c>
      <c r="E52" s="764">
        <f t="shared" si="24"/>
        <v>886155.14413439727</v>
      </c>
      <c r="F52" s="764">
        <f t="shared" si="24"/>
        <v>1109750.4852801415</v>
      </c>
      <c r="G52" s="764">
        <f t="shared" si="24"/>
        <v>582871.9561097956</v>
      </c>
      <c r="H52" s="764">
        <f t="shared" si="24"/>
        <v>808344.95524630451</v>
      </c>
      <c r="I52" s="764">
        <f t="shared" si="24"/>
        <v>1128841.2567820412</v>
      </c>
      <c r="J52" s="764">
        <f t="shared" si="24"/>
        <v>1107392.7941157985</v>
      </c>
      <c r="K52" s="764">
        <f t="shared" si="24"/>
        <v>1246533.8960057446</v>
      </c>
      <c r="L52" s="764">
        <f t="shared" si="24"/>
        <v>1190947.5898573669</v>
      </c>
      <c r="M52" s="764">
        <f t="shared" si="24"/>
        <v>1062408.4972047233</v>
      </c>
      <c r="N52" s="764">
        <f t="shared" si="24"/>
        <v>910635.42184692051</v>
      </c>
      <c r="O52" s="764">
        <f t="shared" si="24"/>
        <v>1060434.2568222627</v>
      </c>
      <c r="P52" s="764">
        <f t="shared" si="24"/>
        <v>1213354.6710608148</v>
      </c>
      <c r="Q52" s="764">
        <f t="shared" si="24"/>
        <v>1227309.1684134277</v>
      </c>
      <c r="R52" s="764">
        <f t="shared" si="24"/>
        <v>1494896.4337591962</v>
      </c>
      <c r="S52" s="764">
        <f t="shared" si="24"/>
        <v>1443715.0052101263</v>
      </c>
      <c r="T52" s="764">
        <f t="shared" si="24"/>
        <v>1415503.5865752466</v>
      </c>
      <c r="U52" s="764">
        <f t="shared" si="24"/>
        <v>1434038.920941148</v>
      </c>
      <c r="V52" s="764">
        <f t="shared" si="24"/>
        <v>1563197.0365226145</v>
      </c>
      <c r="W52" s="764">
        <f t="shared" si="24"/>
        <v>1126513.9864616576</v>
      </c>
      <c r="X52" s="764">
        <f t="shared" si="24"/>
        <v>1262220.9168190875</v>
      </c>
      <c r="Y52" s="764">
        <f t="shared" si="24"/>
        <v>1181194.0645910376</v>
      </c>
      <c r="Z52" s="764">
        <f t="shared" si="24"/>
        <v>1459257.750078405</v>
      </c>
      <c r="AA52" s="764">
        <f t="shared" si="24"/>
        <v>1660097.60970762</v>
      </c>
      <c r="AB52" s="764">
        <f t="shared" si="24"/>
        <v>1606499.0119412423</v>
      </c>
      <c r="AC52" s="764">
        <f t="shared" si="24"/>
        <v>1480419.3443544612</v>
      </c>
      <c r="AD52" s="764">
        <f t="shared" si="24"/>
        <v>1327860.579573537</v>
      </c>
      <c r="AE52" s="764">
        <f t="shared" si="24"/>
        <v>588703.0948603109</v>
      </c>
      <c r="AF52" s="764">
        <f t="shared" si="24"/>
        <v>874561.38508102286</v>
      </c>
      <c r="AG52" s="764">
        <f t="shared" si="24"/>
        <v>1332153.5044266749</v>
      </c>
      <c r="AH52" s="764">
        <f t="shared" si="24"/>
        <v>1623432.6644619377</v>
      </c>
      <c r="AI52" s="764">
        <f t="shared" si="24"/>
        <v>1564459.9981794083</v>
      </c>
      <c r="AJ52" s="764">
        <f t="shared" si="24"/>
        <v>1482099.8139969721</v>
      </c>
      <c r="AK52" s="764">
        <f t="shared" si="24"/>
        <v>1533980.0633721347</v>
      </c>
      <c r="AL52" s="764">
        <f t="shared" si="24"/>
        <v>1517427.2185384121</v>
      </c>
      <c r="AM52" s="764">
        <f t="shared" si="24"/>
        <v>1230367.9194587867</v>
      </c>
      <c r="AN52" s="764">
        <f t="shared" si="24"/>
        <v>1524821.6553354464</v>
      </c>
      <c r="AO52" s="764">
        <f t="shared" si="24"/>
        <v>1419400.8889419187</v>
      </c>
      <c r="AP52" s="764">
        <f t="shared" si="24"/>
        <v>1708383.2500057556</v>
      </c>
      <c r="AQ52" s="764">
        <f t="shared" si="24"/>
        <v>1450227.1196873453</v>
      </c>
      <c r="AR52" s="764">
        <f t="shared" si="24"/>
        <v>1255563.7151251209</v>
      </c>
      <c r="AS52" s="764">
        <f t="shared" si="24"/>
        <v>1486782.6626059497</v>
      </c>
      <c r="AT52" s="764">
        <f t="shared" si="24"/>
        <v>1277908.9477323957</v>
      </c>
      <c r="AU52" s="764">
        <f t="shared" si="24"/>
        <v>1506873.6940994509</v>
      </c>
      <c r="AV52" s="764">
        <f t="shared" si="24"/>
        <v>1587946.0008259458</v>
      </c>
      <c r="AW52" s="404">
        <f t="shared" si="19"/>
        <v>1284362.705481888</v>
      </c>
      <c r="AY52" s="766" t="s">
        <v>662</v>
      </c>
      <c r="AZ52" s="764">
        <f>16.8349994240702*AZ26</f>
        <v>23331625.701818891</v>
      </c>
      <c r="BA52" s="970"/>
      <c r="BB52" s="764">
        <f>16.8349994240702*BB26</f>
        <v>22686845.223877002</v>
      </c>
      <c r="BC52" s="970"/>
      <c r="BD52" s="764">
        <f>16.8349994240702*BD26</f>
        <v>20402840.852013398</v>
      </c>
    </row>
    <row r="53" spans="3:56" x14ac:dyDescent="0.25">
      <c r="C53" s="770" t="s">
        <v>663</v>
      </c>
      <c r="D53" s="764">
        <f t="shared" ref="D53:AV53" si="25">0.0280473378789805*D26</f>
        <v>1400.8405578216509</v>
      </c>
      <c r="E53" s="764">
        <f t="shared" si="25"/>
        <v>1476.3465156522755</v>
      </c>
      <c r="F53" s="764">
        <f t="shared" si="25"/>
        <v>1848.8593933369718</v>
      </c>
      <c r="G53" s="764">
        <f t="shared" si="25"/>
        <v>971.07260186892665</v>
      </c>
      <c r="H53" s="764">
        <f t="shared" si="25"/>
        <v>1346.7136832892791</v>
      </c>
      <c r="I53" s="764">
        <f t="shared" si="25"/>
        <v>1880.6648781603706</v>
      </c>
      <c r="J53" s="764">
        <f t="shared" si="25"/>
        <v>1844.9314478090341</v>
      </c>
      <c r="K53" s="764">
        <f t="shared" si="25"/>
        <v>2076.7424149054295</v>
      </c>
      <c r="L53" s="764">
        <f t="shared" si="25"/>
        <v>1984.134873276475</v>
      </c>
      <c r="M53" s="764">
        <f t="shared" si="25"/>
        <v>1769.9869976827467</v>
      </c>
      <c r="N53" s="764">
        <f t="shared" si="25"/>
        <v>1517.1309910822376</v>
      </c>
      <c r="O53" s="764">
        <f t="shared" si="25"/>
        <v>1766.6978863696788</v>
      </c>
      <c r="P53" s="764">
        <f t="shared" si="25"/>
        <v>2021.4653751413164</v>
      </c>
      <c r="Q53" s="764">
        <f t="shared" si="25"/>
        <v>2044.7137574145277</v>
      </c>
      <c r="R53" s="764">
        <f t="shared" si="25"/>
        <v>2490.517778799559</v>
      </c>
      <c r="S53" s="764">
        <f t="shared" si="25"/>
        <v>2405.2488231266398</v>
      </c>
      <c r="T53" s="764">
        <f t="shared" si="25"/>
        <v>2358.2482162025594</v>
      </c>
      <c r="U53" s="764">
        <f t="shared" si="25"/>
        <v>2389.1283352073169</v>
      </c>
      <c r="V53" s="764">
        <f t="shared" si="25"/>
        <v>2604.3075114148555</v>
      </c>
      <c r="W53" s="764">
        <f t="shared" si="25"/>
        <v>1876.7876141719803</v>
      </c>
      <c r="X53" s="764">
        <f t="shared" si="25"/>
        <v>2102.8772048144419</v>
      </c>
      <c r="Y53" s="764">
        <f t="shared" si="25"/>
        <v>1967.8853676029089</v>
      </c>
      <c r="Z53" s="764">
        <f t="shared" si="25"/>
        <v>2431.1432473500299</v>
      </c>
      <c r="AA53" s="764">
        <f t="shared" si="25"/>
        <v>2765.7451835124793</v>
      </c>
      <c r="AB53" s="764">
        <f t="shared" si="25"/>
        <v>2676.4491910668962</v>
      </c>
      <c r="AC53" s="764">
        <f t="shared" si="25"/>
        <v>2466.3987510639085</v>
      </c>
      <c r="AD53" s="764">
        <f t="shared" si="25"/>
        <v>2212.2337752045869</v>
      </c>
      <c r="AE53" s="764">
        <f t="shared" si="25"/>
        <v>980.78735829006916</v>
      </c>
      <c r="AF53" s="764">
        <f t="shared" si="25"/>
        <v>1457.0311554751581</v>
      </c>
      <c r="AG53" s="764">
        <f t="shared" si="25"/>
        <v>2219.3858463637271</v>
      </c>
      <c r="AH53" s="764">
        <f t="shared" si="25"/>
        <v>2704.6608863458478</v>
      </c>
      <c r="AI53" s="764">
        <f t="shared" si="25"/>
        <v>2606.4116227025365</v>
      </c>
      <c r="AJ53" s="764">
        <f t="shared" si="25"/>
        <v>2469.1984363309884</v>
      </c>
      <c r="AK53" s="764">
        <f t="shared" si="25"/>
        <v>2555.6316369992633</v>
      </c>
      <c r="AL53" s="764">
        <f t="shared" si="25"/>
        <v>2528.0543725031348</v>
      </c>
      <c r="AM53" s="764">
        <f t="shared" si="25"/>
        <v>2049.8096782337593</v>
      </c>
      <c r="AN53" s="764">
        <f t="shared" si="25"/>
        <v>2540.3736047197194</v>
      </c>
      <c r="AO53" s="764">
        <f t="shared" si="25"/>
        <v>2364.7411749215435</v>
      </c>
      <c r="AP53" s="764">
        <f t="shared" si="25"/>
        <v>2846.1897165968348</v>
      </c>
      <c r="AQ53" s="764">
        <f t="shared" si="25"/>
        <v>2416.098094364987</v>
      </c>
      <c r="AR53" s="764">
        <f t="shared" si="25"/>
        <v>2091.7862163008199</v>
      </c>
      <c r="AS53" s="764">
        <f t="shared" si="25"/>
        <v>2477.0001257675985</v>
      </c>
      <c r="AT53" s="764">
        <f t="shared" si="25"/>
        <v>2129.0136775637275</v>
      </c>
      <c r="AU53" s="764">
        <f t="shared" si="25"/>
        <v>2510.4720573335594</v>
      </c>
      <c r="AV53" s="764">
        <f t="shared" si="25"/>
        <v>2645.5396223573657</v>
      </c>
      <c r="AW53" s="404">
        <f t="shared" si="19"/>
        <v>2139.7657257004385</v>
      </c>
      <c r="AY53" s="767" t="s">
        <v>663</v>
      </c>
      <c r="AZ53" s="764">
        <f>0.0280473378789805*AZ26</f>
        <v>38870.805566479074</v>
      </c>
      <c r="BA53" s="970"/>
      <c r="BB53" s="764">
        <f>0.0280473378789805*BB26</f>
        <v>37796.592525714121</v>
      </c>
      <c r="BC53" s="970"/>
      <c r="BD53" s="764">
        <f>0.0280473378789805*BD26</f>
        <v>33991.410195672841</v>
      </c>
    </row>
    <row r="54" spans="3:56" x14ac:dyDescent="0.25">
      <c r="C54" s="771" t="s">
        <v>674</v>
      </c>
      <c r="D54" s="783">
        <f>D47*D68+D49*D69+D50*D67+D51*D70+D48*D71+D72*D52+D53*D73</f>
        <v>216333437.2897571</v>
      </c>
      <c r="E54" s="764">
        <f t="shared" ref="E54:AV54" si="26">E47*E68+E49*E69+E50*E67+E51*E70+E48*E71+E72*E52+E53*E73</f>
        <v>277688254.30769551</v>
      </c>
      <c r="F54" s="764">
        <f t="shared" si="26"/>
        <v>349603113.50480163</v>
      </c>
      <c r="G54" s="764">
        <f t="shared" si="26"/>
        <v>177400045.94194245</v>
      </c>
      <c r="H54" s="764">
        <f t="shared" si="26"/>
        <v>267178399.20277074</v>
      </c>
      <c r="I54" s="764">
        <f t="shared" si="26"/>
        <v>404294561.7526623</v>
      </c>
      <c r="J54" s="764">
        <f t="shared" si="26"/>
        <v>405399319.49419034</v>
      </c>
      <c r="K54" s="764">
        <f t="shared" si="26"/>
        <v>462645986.80191046</v>
      </c>
      <c r="L54" s="764">
        <f t="shared" si="26"/>
        <v>435302194.65032911</v>
      </c>
      <c r="M54" s="764">
        <f t="shared" si="26"/>
        <v>415926529.53482842</v>
      </c>
      <c r="N54" s="764">
        <f t="shared" si="26"/>
        <v>337500674.55441183</v>
      </c>
      <c r="O54" s="764">
        <f t="shared" si="26"/>
        <v>370110253.58509421</v>
      </c>
      <c r="P54" s="764">
        <f t="shared" si="26"/>
        <v>419046342.10246813</v>
      </c>
      <c r="Q54" s="764">
        <f t="shared" si="26"/>
        <v>457118940.85036141</v>
      </c>
      <c r="R54" s="764">
        <f t="shared" si="26"/>
        <v>500927856.58851689</v>
      </c>
      <c r="S54" s="764">
        <f t="shared" si="26"/>
        <v>431932219.86584836</v>
      </c>
      <c r="T54" s="764">
        <f t="shared" si="26"/>
        <v>414602215.90783554</v>
      </c>
      <c r="U54" s="764">
        <f t="shared" si="26"/>
        <v>443947838.83053964</v>
      </c>
      <c r="V54" s="764">
        <f t="shared" si="26"/>
        <v>522784289.93537885</v>
      </c>
      <c r="W54" s="764">
        <f t="shared" si="26"/>
        <v>348008960.6985985</v>
      </c>
      <c r="X54" s="764">
        <f t="shared" si="26"/>
        <v>378764295.49174744</v>
      </c>
      <c r="Y54" s="764">
        <f t="shared" si="26"/>
        <v>417034923.81650889</v>
      </c>
      <c r="Z54" s="764">
        <f t="shared" si="26"/>
        <v>506720858.61939961</v>
      </c>
      <c r="AA54" s="764">
        <f t="shared" si="26"/>
        <v>629436487.86928368</v>
      </c>
      <c r="AB54" s="764">
        <f t="shared" si="26"/>
        <v>527849645.16200209</v>
      </c>
      <c r="AC54" s="764">
        <f t="shared" si="26"/>
        <v>467915347.93364948</v>
      </c>
      <c r="AD54" s="764">
        <f t="shared" si="26"/>
        <v>311759209.19357938</v>
      </c>
      <c r="AE54" s="764">
        <f t="shared" si="26"/>
        <v>166048771.61455753</v>
      </c>
      <c r="AF54" s="764">
        <f t="shared" si="26"/>
        <v>236564867.09879041</v>
      </c>
      <c r="AG54" s="764">
        <f t="shared" si="26"/>
        <v>272877980.54039478</v>
      </c>
      <c r="AH54" s="764">
        <f t="shared" si="26"/>
        <v>319867542.73654085</v>
      </c>
      <c r="AI54" s="764">
        <f t="shared" si="26"/>
        <v>351786215.10648209</v>
      </c>
      <c r="AJ54" s="764">
        <f t="shared" si="26"/>
        <v>383174290.85155672</v>
      </c>
      <c r="AK54" s="764">
        <f t="shared" si="26"/>
        <v>414075489.53348297</v>
      </c>
      <c r="AL54" s="764">
        <f t="shared" si="26"/>
        <v>446567624.3188048</v>
      </c>
      <c r="AM54" s="764">
        <f t="shared" si="26"/>
        <v>388333557.57726341</v>
      </c>
      <c r="AN54" s="764">
        <f t="shared" si="26"/>
        <v>546156624.77773046</v>
      </c>
      <c r="AO54" s="764">
        <f t="shared" si="26"/>
        <v>590303821.50764072</v>
      </c>
      <c r="AP54" s="764">
        <f t="shared" si="26"/>
        <v>636204953.06672645</v>
      </c>
      <c r="AQ54" s="764">
        <f t="shared" si="26"/>
        <v>459652724.0079782</v>
      </c>
      <c r="AR54" s="764">
        <f t="shared" si="26"/>
        <v>394353017.03321475</v>
      </c>
      <c r="AS54" s="764">
        <f t="shared" si="26"/>
        <v>505083692.36517674</v>
      </c>
      <c r="AT54" s="764">
        <f t="shared" si="26"/>
        <v>484313796.88437235</v>
      </c>
      <c r="AU54" s="764">
        <f t="shared" si="26"/>
        <v>651235312.88562787</v>
      </c>
      <c r="AV54" s="764">
        <f t="shared" si="26"/>
        <v>736911429.92432845</v>
      </c>
      <c r="AW54" s="404">
        <f t="shared" si="19"/>
        <v>419572087.00703967</v>
      </c>
      <c r="AY54" s="364" t="s">
        <v>674</v>
      </c>
      <c r="AZ54" s="764">
        <f>AZ47*AZ68+AZ49*AZ69+AZ50*AZ67+AZ51*AZ70+AZ48*AZ71+AZ72*AZ52+AZ53*AZ73</f>
        <v>7600713643.7807589</v>
      </c>
      <c r="BA54" s="970"/>
      <c r="BB54" s="764">
        <f>BB47*BB68+BB49*BB69+BB50*BB67+BB51*BB70+BB48*BB71+BB72*BB52+BB53*BB73</f>
        <v>7390664338.2343254</v>
      </c>
      <c r="BC54" s="970"/>
      <c r="BD54" s="764">
        <f>BD47*BD68+BD49*BD69+BD50*BD67+BD51*BD70+BD48*BD71+BD72*BD52+BD53*BD73</f>
        <v>6646607176.7856369</v>
      </c>
    </row>
    <row r="55" spans="3:56" x14ac:dyDescent="0.25">
      <c r="C55" s="771" t="s">
        <v>666</v>
      </c>
      <c r="D55" s="765">
        <f t="shared" ref="D55:AV55" si="27">58.016529232*D26</f>
        <v>2897669.2020791951</v>
      </c>
      <c r="E55" s="765">
        <f t="shared" si="27"/>
        <v>3053854.9202593695</v>
      </c>
      <c r="F55" s="765">
        <f t="shared" si="27"/>
        <v>3824405.9205269287</v>
      </c>
      <c r="G55" s="765">
        <f t="shared" si="27"/>
        <v>2008684.8254837201</v>
      </c>
      <c r="H55" s="765">
        <f t="shared" si="27"/>
        <v>2785706.5833061119</v>
      </c>
      <c r="I55" s="765">
        <f t="shared" si="27"/>
        <v>3890196.2585603124</v>
      </c>
      <c r="J55" s="765">
        <f t="shared" si="27"/>
        <v>3816280.8796575745</v>
      </c>
      <c r="K55" s="765">
        <f t="shared" si="27"/>
        <v>4295786.9135947628</v>
      </c>
      <c r="L55" s="765">
        <f t="shared" si="27"/>
        <v>4104226.1968806679</v>
      </c>
      <c r="M55" s="765">
        <f t="shared" si="27"/>
        <v>3661256.6523926244</v>
      </c>
      <c r="N55" s="765">
        <f t="shared" si="27"/>
        <v>3138218.4959114981</v>
      </c>
      <c r="O55" s="765">
        <f t="shared" si="27"/>
        <v>3654453.054009588</v>
      </c>
      <c r="P55" s="765">
        <f t="shared" si="27"/>
        <v>4181445.152990934</v>
      </c>
      <c r="Q55" s="765">
        <f t="shared" si="27"/>
        <v>4229534.9380382802</v>
      </c>
      <c r="R55" s="765">
        <f t="shared" si="27"/>
        <v>5151690.2652221508</v>
      </c>
      <c r="S55" s="765">
        <f t="shared" si="27"/>
        <v>4975309.5733816084</v>
      </c>
      <c r="T55" s="765">
        <f t="shared" si="27"/>
        <v>4878087.794355792</v>
      </c>
      <c r="U55" s="765">
        <f t="shared" si="27"/>
        <v>4941963.9930402245</v>
      </c>
      <c r="V55" s="765">
        <f t="shared" si="27"/>
        <v>5387066.8053081287</v>
      </c>
      <c r="W55" s="765">
        <f t="shared" si="27"/>
        <v>3882176.05355928</v>
      </c>
      <c r="X55" s="765">
        <f t="shared" si="27"/>
        <v>4349847.2956984323</v>
      </c>
      <c r="Y55" s="765">
        <f t="shared" si="27"/>
        <v>4070613.7405048162</v>
      </c>
      <c r="Z55" s="765">
        <f t="shared" si="27"/>
        <v>5028872.7538297605</v>
      </c>
      <c r="AA55" s="765">
        <f t="shared" si="27"/>
        <v>5721004.1459145965</v>
      </c>
      <c r="AB55" s="765">
        <f t="shared" si="27"/>
        <v>5536293.4408069244</v>
      </c>
      <c r="AC55" s="765">
        <f t="shared" si="27"/>
        <v>5101799.5310743842</v>
      </c>
      <c r="AD55" s="765">
        <f t="shared" si="27"/>
        <v>4576053.7431740006</v>
      </c>
      <c r="AE55" s="765">
        <f t="shared" si="27"/>
        <v>2028780.010713808</v>
      </c>
      <c r="AF55" s="765">
        <f t="shared" si="27"/>
        <v>3013900.6770731681</v>
      </c>
      <c r="AG55" s="765">
        <f t="shared" si="27"/>
        <v>4590847.9581281599</v>
      </c>
      <c r="AH55" s="765">
        <f t="shared" si="27"/>
        <v>5594649.9469002243</v>
      </c>
      <c r="AI55" s="765">
        <f t="shared" si="27"/>
        <v>5391419.2053311132</v>
      </c>
      <c r="AJ55" s="765">
        <f t="shared" si="27"/>
        <v>5107590.7410223233</v>
      </c>
      <c r="AK55" s="765">
        <f t="shared" si="27"/>
        <v>5286379.6989912847</v>
      </c>
      <c r="AL55" s="765">
        <f t="shared" si="27"/>
        <v>5229335.5267892135</v>
      </c>
      <c r="AM55" s="765">
        <f t="shared" si="27"/>
        <v>4240075.961234442</v>
      </c>
      <c r="AN55" s="765">
        <f t="shared" si="27"/>
        <v>5254818.1269237846</v>
      </c>
      <c r="AO55" s="765">
        <f t="shared" si="27"/>
        <v>4891518.6208730005</v>
      </c>
      <c r="AP55" s="765">
        <f t="shared" si="27"/>
        <v>5887405.4145619432</v>
      </c>
      <c r="AQ55" s="765">
        <f t="shared" si="27"/>
        <v>4997751.5272191307</v>
      </c>
      <c r="AR55" s="765">
        <f t="shared" si="27"/>
        <v>4326905.3444127608</v>
      </c>
      <c r="AS55" s="765">
        <f t="shared" si="27"/>
        <v>5123728.705531151</v>
      </c>
      <c r="AT55" s="765">
        <f t="shared" si="27"/>
        <v>4403911.1587938555</v>
      </c>
      <c r="AU55" s="765">
        <f t="shared" si="27"/>
        <v>5192966.1249442566</v>
      </c>
      <c r="AV55" s="765">
        <f t="shared" si="27"/>
        <v>5472356.3247667989</v>
      </c>
      <c r="AW55" s="404">
        <f t="shared" si="19"/>
        <v>4426152.0045282701</v>
      </c>
      <c r="AY55" s="364" t="s">
        <v>666</v>
      </c>
      <c r="AZ55" s="765">
        <f>58.016529232*AZ26</f>
        <v>80405107.862628803</v>
      </c>
      <c r="BA55" s="970"/>
      <c r="BB55" s="765">
        <f>58.016529232*BB26</f>
        <v>78183074.793043211</v>
      </c>
      <c r="BC55" s="970"/>
      <c r="BD55" s="765">
        <f>58.016529232*BD26</f>
        <v>70311972.272137761</v>
      </c>
    </row>
    <row r="56" spans="3:56" x14ac:dyDescent="0.25">
      <c r="C56" s="771" t="s">
        <v>667</v>
      </c>
      <c r="D56" s="765">
        <f t="shared" ref="D56:AV56" si="28">113.954592646*D26</f>
        <v>5691528.2233682042</v>
      </c>
      <c r="E56" s="765">
        <f t="shared" si="28"/>
        <v>5998304.2426845748</v>
      </c>
      <c r="F56" s="765">
        <f t="shared" si="28"/>
        <v>7511800.9394160574</v>
      </c>
      <c r="G56" s="765">
        <f t="shared" si="28"/>
        <v>3945407.6979831783</v>
      </c>
      <c r="H56" s="765">
        <f t="shared" si="28"/>
        <v>5471614.0922962474</v>
      </c>
      <c r="I56" s="765">
        <f t="shared" si="28"/>
        <v>7641024.6497944733</v>
      </c>
      <c r="J56" s="765">
        <f t="shared" si="28"/>
        <v>7495841.9405797627</v>
      </c>
      <c r="K56" s="765">
        <f t="shared" si="28"/>
        <v>8437675.5092530269</v>
      </c>
      <c r="L56" s="765">
        <f t="shared" si="28"/>
        <v>8061416.8166166842</v>
      </c>
      <c r="M56" s="765">
        <f t="shared" si="28"/>
        <v>7191347.2922081649</v>
      </c>
      <c r="N56" s="765">
        <f t="shared" si="28"/>
        <v>6164009.0344889024</v>
      </c>
      <c r="O56" s="765">
        <f t="shared" si="28"/>
        <v>7177983.8371285694</v>
      </c>
      <c r="P56" s="765">
        <f t="shared" si="28"/>
        <v>8213088.3282458428</v>
      </c>
      <c r="Q56" s="765">
        <f t="shared" si="28"/>
        <v>8307545.062180927</v>
      </c>
      <c r="R56" s="765">
        <f t="shared" si="28"/>
        <v>10118819.125911303</v>
      </c>
      <c r="S56" s="765">
        <f t="shared" si="28"/>
        <v>9772376.6524407864</v>
      </c>
      <c r="T56" s="765">
        <f t="shared" si="28"/>
        <v>9581416.1042683255</v>
      </c>
      <c r="U56" s="765">
        <f t="shared" si="28"/>
        <v>9706880.1107715722</v>
      </c>
      <c r="V56" s="765">
        <f t="shared" si="28"/>
        <v>10581139.745551683</v>
      </c>
      <c r="W56" s="765">
        <f t="shared" si="28"/>
        <v>7625271.5669070892</v>
      </c>
      <c r="X56" s="765">
        <f t="shared" si="28"/>
        <v>8543859.5382264964</v>
      </c>
      <c r="Y56" s="765">
        <f t="shared" si="28"/>
        <v>7995396.0838212976</v>
      </c>
      <c r="Z56" s="765">
        <f t="shared" si="28"/>
        <v>9877584.0905552804</v>
      </c>
      <c r="AA56" s="765">
        <f t="shared" si="28"/>
        <v>11237050.985362794</v>
      </c>
      <c r="AB56" s="765">
        <f t="shared" si="28"/>
        <v>10874246.911480166</v>
      </c>
      <c r="AC56" s="765">
        <f t="shared" si="28"/>
        <v>10020825.013511302</v>
      </c>
      <c r="AD56" s="765">
        <f t="shared" si="28"/>
        <v>8988168.4949532505</v>
      </c>
      <c r="AE56" s="765">
        <f t="shared" si="28"/>
        <v>3984878.1502379738</v>
      </c>
      <c r="AF56" s="765">
        <f t="shared" si="28"/>
        <v>5919827.1333670542</v>
      </c>
      <c r="AG56" s="765">
        <f t="shared" si="28"/>
        <v>9017226.9160779789</v>
      </c>
      <c r="AH56" s="765">
        <f t="shared" si="28"/>
        <v>10988869.278039072</v>
      </c>
      <c r="AI56" s="765">
        <f t="shared" si="28"/>
        <v>10589688.619091988</v>
      </c>
      <c r="AJ56" s="765">
        <f t="shared" si="28"/>
        <v>10032199.960949225</v>
      </c>
      <c r="AK56" s="765">
        <f t="shared" si="28"/>
        <v>10383372.689560477</v>
      </c>
      <c r="AL56" s="765">
        <f t="shared" si="28"/>
        <v>10271327.975887224</v>
      </c>
      <c r="AM56" s="765">
        <f t="shared" si="28"/>
        <v>8328249.4721187772</v>
      </c>
      <c r="AN56" s="765">
        <f t="shared" si="28"/>
        <v>10321380.251615126</v>
      </c>
      <c r="AO56" s="765">
        <f t="shared" si="28"/>
        <v>9607796.5924658738</v>
      </c>
      <c r="AP56" s="765">
        <f t="shared" si="28"/>
        <v>11563892.129352273</v>
      </c>
      <c r="AQ56" s="765">
        <f t="shared" si="28"/>
        <v>9816456.5679681133</v>
      </c>
      <c r="AR56" s="765">
        <f t="shared" si="28"/>
        <v>8498797.5404153429</v>
      </c>
      <c r="AS56" s="765">
        <f t="shared" si="28"/>
        <v>10063897.740807535</v>
      </c>
      <c r="AT56" s="765">
        <f t="shared" si="28"/>
        <v>8650050.4044755232</v>
      </c>
      <c r="AU56" s="765">
        <f t="shared" si="28"/>
        <v>10199892.1208493</v>
      </c>
      <c r="AV56" s="765">
        <f t="shared" si="28"/>
        <v>10748663.252654642</v>
      </c>
      <c r="AW56" s="404">
        <f t="shared" si="19"/>
        <v>8693735.308576433</v>
      </c>
      <c r="AY56" s="364" t="s">
        <v>667</v>
      </c>
      <c r="AZ56" s="765">
        <f>113.954592646*AZ26</f>
        <v>157929669.94809139</v>
      </c>
      <c r="BA56" s="970"/>
      <c r="BB56" s="765">
        <f>113.954592646*BB26</f>
        <v>153565209.04974958</v>
      </c>
      <c r="BC56" s="970"/>
      <c r="BD56" s="765">
        <f>113.954592646*BD26</f>
        <v>138104989.46546677</v>
      </c>
    </row>
    <row r="57" spans="3:56" x14ac:dyDescent="0.25">
      <c r="C57" s="768" t="s">
        <v>664</v>
      </c>
      <c r="D57" s="180">
        <f>7924*D26</f>
        <v>395768775.92000002</v>
      </c>
      <c r="E57" s="180">
        <f t="shared" ref="E57:AV57" si="29">7924*E26</f>
        <v>417100897.07999998</v>
      </c>
      <c r="F57" s="180">
        <f t="shared" si="29"/>
        <v>522344113.22800004</v>
      </c>
      <c r="G57" s="180">
        <f t="shared" si="29"/>
        <v>274349720.12</v>
      </c>
      <c r="H57" s="180">
        <f t="shared" si="29"/>
        <v>380476723.75999999</v>
      </c>
      <c r="I57" s="180">
        <f t="shared" si="29"/>
        <v>531329873.76000005</v>
      </c>
      <c r="J57" s="180">
        <f t="shared" si="29"/>
        <v>521234380.79999995</v>
      </c>
      <c r="K57" s="180">
        <f t="shared" si="29"/>
        <v>586726161.56000006</v>
      </c>
      <c r="L57" s="180">
        <f t="shared" si="29"/>
        <v>560562460.63999999</v>
      </c>
      <c r="M57" s="180">
        <f t="shared" si="29"/>
        <v>500060898.12</v>
      </c>
      <c r="N57" s="180">
        <f t="shared" si="29"/>
        <v>428623423.20000005</v>
      </c>
      <c r="O57" s="180">
        <f t="shared" si="29"/>
        <v>499131650.63999999</v>
      </c>
      <c r="P57" s="180">
        <f t="shared" si="29"/>
        <v>571109162.00800002</v>
      </c>
      <c r="Q57" s="180">
        <f t="shared" si="29"/>
        <v>577677349.75999999</v>
      </c>
      <c r="R57" s="180">
        <f t="shared" si="29"/>
        <v>703626952.56000006</v>
      </c>
      <c r="S57" s="180">
        <f t="shared" si="29"/>
        <v>679536566.24000001</v>
      </c>
      <c r="T57" s="180">
        <f t="shared" si="29"/>
        <v>666257844</v>
      </c>
      <c r="U57" s="180">
        <f t="shared" si="29"/>
        <v>674982168</v>
      </c>
      <c r="V57" s="180">
        <f t="shared" si="29"/>
        <v>735775096</v>
      </c>
      <c r="W57" s="180">
        <f t="shared" si="29"/>
        <v>530234460</v>
      </c>
      <c r="X57" s="180">
        <f t="shared" si="29"/>
        <v>594109824</v>
      </c>
      <c r="Y57" s="180">
        <f t="shared" si="29"/>
        <v>555971612</v>
      </c>
      <c r="Z57" s="180">
        <f t="shared" si="29"/>
        <v>686852320</v>
      </c>
      <c r="AA57" s="180">
        <f t="shared" si="29"/>
        <v>781384847.5999999</v>
      </c>
      <c r="AB57" s="180">
        <f t="shared" si="29"/>
        <v>756156733.36000001</v>
      </c>
      <c r="AC57" s="180">
        <f t="shared" si="29"/>
        <v>696812788</v>
      </c>
      <c r="AD57" s="180">
        <f t="shared" si="29"/>
        <v>625005500</v>
      </c>
      <c r="AE57" s="180">
        <f t="shared" si="29"/>
        <v>277094356</v>
      </c>
      <c r="AF57" s="180">
        <f t="shared" si="29"/>
        <v>411643876</v>
      </c>
      <c r="AG57" s="180">
        <f t="shared" si="29"/>
        <v>627026120</v>
      </c>
      <c r="AH57" s="180">
        <f t="shared" si="29"/>
        <v>764127168</v>
      </c>
      <c r="AI57" s="180">
        <f t="shared" si="29"/>
        <v>736369554.48000002</v>
      </c>
      <c r="AJ57" s="180">
        <f t="shared" si="29"/>
        <v>697603761.68000007</v>
      </c>
      <c r="AK57" s="180">
        <f t="shared" si="29"/>
        <v>722023073.24000001</v>
      </c>
      <c r="AL57" s="180">
        <f t="shared" si="29"/>
        <v>714231879.48000002</v>
      </c>
      <c r="AM57" s="180">
        <f t="shared" si="29"/>
        <v>579117061.31999993</v>
      </c>
      <c r="AN57" s="180">
        <f t="shared" si="29"/>
        <v>717712338</v>
      </c>
      <c r="AO57" s="180">
        <f t="shared" si="29"/>
        <v>668092250</v>
      </c>
      <c r="AP57" s="180">
        <f t="shared" si="29"/>
        <v>804112226.68000007</v>
      </c>
      <c r="AQ57" s="180">
        <f t="shared" si="29"/>
        <v>682601727.91999996</v>
      </c>
      <c r="AR57" s="180">
        <f t="shared" si="29"/>
        <v>590976371.78570604</v>
      </c>
      <c r="AS57" s="180">
        <f t="shared" si="29"/>
        <v>699807913.36678207</v>
      </c>
      <c r="AT57" s="180">
        <f t="shared" si="29"/>
        <v>601493961.88</v>
      </c>
      <c r="AU57" s="180">
        <f t="shared" si="29"/>
        <v>709264482.36000001</v>
      </c>
      <c r="AV57" s="180">
        <f t="shared" si="29"/>
        <v>747424089.15999997</v>
      </c>
      <c r="AW57" s="404">
        <f t="shared" si="19"/>
        <v>604531655.86018872</v>
      </c>
      <c r="AY57" s="755" t="s">
        <v>664</v>
      </c>
      <c r="AZ57" s="180">
        <f>7924*AZ26</f>
        <v>10981871600</v>
      </c>
      <c r="BA57" s="970"/>
      <c r="BB57" s="180">
        <f>7924*BB26</f>
        <v>10678382400</v>
      </c>
      <c r="BC57" s="970"/>
      <c r="BD57" s="180">
        <f>7924*BD26</f>
        <v>9603333320</v>
      </c>
    </row>
    <row r="58" spans="3:56" x14ac:dyDescent="0.25">
      <c r="C58" s="768" t="s">
        <v>665</v>
      </c>
      <c r="D58" s="180">
        <f>3131*D26</f>
        <v>156379610.98000002</v>
      </c>
      <c r="E58" s="180">
        <f t="shared" ref="E58:AV58" si="30">3131*E26</f>
        <v>164808544.76999998</v>
      </c>
      <c r="F58" s="180">
        <f t="shared" si="30"/>
        <v>206393162.35700002</v>
      </c>
      <c r="G58" s="180">
        <f t="shared" si="30"/>
        <v>108403454.52999999</v>
      </c>
      <c r="H58" s="180">
        <f t="shared" si="30"/>
        <v>150337281.94</v>
      </c>
      <c r="I58" s="180">
        <f t="shared" si="30"/>
        <v>209943694.44000003</v>
      </c>
      <c r="J58" s="180">
        <f t="shared" si="30"/>
        <v>205954675.19999999</v>
      </c>
      <c r="K58" s="180">
        <f t="shared" si="30"/>
        <v>231832358.89000002</v>
      </c>
      <c r="L58" s="180">
        <f t="shared" si="30"/>
        <v>221494329.16</v>
      </c>
      <c r="M58" s="180">
        <f t="shared" si="30"/>
        <v>197588424.03</v>
      </c>
      <c r="N58" s="180">
        <f t="shared" si="30"/>
        <v>169361425.80000001</v>
      </c>
      <c r="O58" s="180">
        <f t="shared" si="30"/>
        <v>197221251.66</v>
      </c>
      <c r="P58" s="180">
        <f t="shared" si="30"/>
        <v>225661633.80200002</v>
      </c>
      <c r="Q58" s="180">
        <f t="shared" si="30"/>
        <v>228256913.44000003</v>
      </c>
      <c r="R58" s="180">
        <f t="shared" si="30"/>
        <v>278023219.13999999</v>
      </c>
      <c r="S58" s="180">
        <f t="shared" si="30"/>
        <v>268504415.56</v>
      </c>
      <c r="T58" s="180">
        <f t="shared" si="30"/>
        <v>263257611</v>
      </c>
      <c r="U58" s="180">
        <f t="shared" si="30"/>
        <v>266704842</v>
      </c>
      <c r="V58" s="180">
        <f t="shared" si="30"/>
        <v>290725874</v>
      </c>
      <c r="W58" s="180">
        <f t="shared" si="30"/>
        <v>209510865</v>
      </c>
      <c r="X58" s="180">
        <f t="shared" si="30"/>
        <v>234749856</v>
      </c>
      <c r="Y58" s="180">
        <f t="shared" si="30"/>
        <v>219680353</v>
      </c>
      <c r="Z58" s="180">
        <f t="shared" si="30"/>
        <v>271395080</v>
      </c>
      <c r="AA58" s="180">
        <f t="shared" si="30"/>
        <v>308747596.89999998</v>
      </c>
      <c r="AB58" s="180">
        <f t="shared" si="30"/>
        <v>298779244.33999997</v>
      </c>
      <c r="AC58" s="180">
        <f t="shared" si="30"/>
        <v>275330747</v>
      </c>
      <c r="AD58" s="180">
        <f t="shared" si="30"/>
        <v>246957625</v>
      </c>
      <c r="AE58" s="180">
        <f t="shared" si="30"/>
        <v>109487939</v>
      </c>
      <c r="AF58" s="180">
        <f t="shared" si="30"/>
        <v>162652319</v>
      </c>
      <c r="AG58" s="180">
        <f t="shared" si="30"/>
        <v>247756030</v>
      </c>
      <c r="AH58" s="180">
        <f t="shared" si="30"/>
        <v>301928592</v>
      </c>
      <c r="AI58" s="180">
        <f t="shared" si="30"/>
        <v>290960761.62</v>
      </c>
      <c r="AJ58" s="180">
        <f t="shared" si="30"/>
        <v>275643283.42000002</v>
      </c>
      <c r="AK58" s="180">
        <f t="shared" si="30"/>
        <v>285292054.81</v>
      </c>
      <c r="AL58" s="180">
        <f t="shared" si="30"/>
        <v>282213530.37</v>
      </c>
      <c r="AM58" s="180">
        <f t="shared" si="30"/>
        <v>228825784.82999998</v>
      </c>
      <c r="AN58" s="180">
        <f t="shared" si="30"/>
        <v>283588759.5</v>
      </c>
      <c r="AO58" s="180">
        <f t="shared" si="30"/>
        <v>263982437.5</v>
      </c>
      <c r="AP58" s="180">
        <f t="shared" si="30"/>
        <v>317727837.17000002</v>
      </c>
      <c r="AQ58" s="180">
        <f t="shared" si="30"/>
        <v>269715548.98000002</v>
      </c>
      <c r="AR58" s="180">
        <f t="shared" si="30"/>
        <v>233511739.02840051</v>
      </c>
      <c r="AS58" s="180">
        <f t="shared" si="30"/>
        <v>276514207.06100386</v>
      </c>
      <c r="AT58" s="180">
        <f t="shared" si="30"/>
        <v>237667540.97</v>
      </c>
      <c r="AU58" s="180">
        <f t="shared" si="30"/>
        <v>280250769.08999997</v>
      </c>
      <c r="AV58" s="180">
        <f t="shared" si="30"/>
        <v>295328725.78999996</v>
      </c>
      <c r="AW58" s="404">
        <f t="shared" si="19"/>
        <v>238867821.11285341</v>
      </c>
      <c r="AY58" s="755" t="s">
        <v>665</v>
      </c>
      <c r="AZ58" s="180">
        <f>3131*AZ26</f>
        <v>4339252900</v>
      </c>
      <c r="BA58" s="970"/>
      <c r="BB58" s="180">
        <f>3131*BB26</f>
        <v>4219335600</v>
      </c>
      <c r="BC58" s="970"/>
      <c r="BD58" s="180">
        <f>3131*BD26</f>
        <v>3794552830</v>
      </c>
    </row>
    <row r="59" spans="3:56" ht="21" x14ac:dyDescent="0.25">
      <c r="C59" s="971" t="s">
        <v>371</v>
      </c>
      <c r="D59" s="972"/>
      <c r="E59" s="972"/>
      <c r="F59" s="972"/>
      <c r="G59" s="972"/>
      <c r="H59" s="972"/>
      <c r="I59" s="972"/>
      <c r="J59" s="972"/>
      <c r="K59" s="972"/>
      <c r="L59" s="972"/>
      <c r="M59" s="972"/>
      <c r="N59" s="972"/>
      <c r="O59" s="972"/>
      <c r="P59" s="972"/>
      <c r="Q59" s="972"/>
      <c r="R59" s="972"/>
      <c r="S59" s="972"/>
      <c r="T59" s="972"/>
      <c r="U59" s="972"/>
      <c r="V59" s="972"/>
      <c r="W59" s="972"/>
      <c r="X59" s="972"/>
      <c r="Y59" s="972"/>
      <c r="Z59" s="972"/>
      <c r="AA59" s="972"/>
      <c r="AB59" s="972"/>
      <c r="AC59" s="972"/>
      <c r="AD59" s="972"/>
      <c r="AE59" s="972"/>
      <c r="AY59" s="632" t="str">
        <f t="shared" ref="AY59:AY70" si="31">C59</f>
        <v>OPaL Cost of Production as per SAP</v>
      </c>
      <c r="AZ59" s="618"/>
      <c r="BA59" s="970"/>
      <c r="BB59" s="618"/>
      <c r="BC59" s="970"/>
      <c r="BD59" s="618"/>
    </row>
    <row r="60" spans="3:56" ht="15" hidden="1" customHeight="1" x14ac:dyDescent="0.25">
      <c r="C60" s="411" t="s">
        <v>11</v>
      </c>
      <c r="D60" s="404">
        <v>57975.54</v>
      </c>
      <c r="E60" s="404">
        <v>59855.96</v>
      </c>
      <c r="F60" s="404">
        <v>53322.6</v>
      </c>
      <c r="G60" s="404">
        <v>61600.95</v>
      </c>
      <c r="H60" s="404">
        <v>70185.73</v>
      </c>
      <c r="I60" s="404">
        <v>64065.57</v>
      </c>
      <c r="J60" s="404">
        <v>64995.4</v>
      </c>
      <c r="K60" s="404">
        <v>67284.710000000006</v>
      </c>
      <c r="L60" s="404">
        <v>65345.29</v>
      </c>
      <c r="M60" s="404">
        <v>69143.149999999994</v>
      </c>
      <c r="N60" s="404">
        <v>66867.47</v>
      </c>
      <c r="O60" s="404">
        <v>59182.01</v>
      </c>
      <c r="P60" s="404">
        <v>54335.5</v>
      </c>
      <c r="Q60" s="404">
        <v>52472.55</v>
      </c>
      <c r="R60" s="404">
        <v>53871.1</v>
      </c>
      <c r="S60" s="404">
        <v>52175.18</v>
      </c>
      <c r="T60" s="404">
        <v>54372.01</v>
      </c>
      <c r="U60" s="404">
        <v>51492.22</v>
      </c>
      <c r="V60" s="404">
        <v>53626.02</v>
      </c>
      <c r="W60" s="404">
        <v>52370.95</v>
      </c>
      <c r="X60" s="404">
        <v>51693.2</v>
      </c>
      <c r="Y60" s="404">
        <v>50624.62</v>
      </c>
      <c r="Z60" s="404">
        <v>54559.95</v>
      </c>
      <c r="AA60" s="404">
        <v>52938.07</v>
      </c>
      <c r="AB60" s="404">
        <v>57867.14</v>
      </c>
      <c r="AC60" s="404">
        <v>54667.41</v>
      </c>
      <c r="AD60" s="404">
        <v>49018.48</v>
      </c>
      <c r="AE60" s="404">
        <v>49307.56</v>
      </c>
      <c r="AF60" s="404">
        <v>45332.58</v>
      </c>
      <c r="AG60" s="404">
        <v>40236.79</v>
      </c>
      <c r="AH60" s="404">
        <v>46145.86</v>
      </c>
      <c r="AI60" s="404">
        <v>45753.52</v>
      </c>
      <c r="AJ60" s="404">
        <v>46532.99</v>
      </c>
      <c r="AK60" s="404">
        <v>49421.82</v>
      </c>
      <c r="AL60" s="404">
        <v>46103.79</v>
      </c>
      <c r="AM60" s="404">
        <v>47866.66</v>
      </c>
      <c r="AN60" s="404">
        <v>52586.49</v>
      </c>
      <c r="AO60" s="404">
        <v>56088.3</v>
      </c>
      <c r="AP60" s="404">
        <v>59665.62</v>
      </c>
      <c r="AQ60" s="404">
        <v>56979.75</v>
      </c>
      <c r="AR60" s="404">
        <v>54416.57</v>
      </c>
      <c r="AS60" s="404">
        <v>58024.26</v>
      </c>
      <c r="AT60" s="404">
        <v>63414.63</v>
      </c>
      <c r="AU60" s="404">
        <v>64797.17</v>
      </c>
      <c r="AV60" s="404">
        <v>68335.34</v>
      </c>
      <c r="AW60" s="412">
        <f t="shared" ref="AW60:AW90" si="32">AVERAGE(D60:AV60)</f>
        <v>55709.299555555546</v>
      </c>
      <c r="AY60" s="364" t="str">
        <f t="shared" si="31"/>
        <v>Ethylene</v>
      </c>
      <c r="AZ60" s="641">
        <f t="shared" ref="AZ60:AZ70" si="33">AW60</f>
        <v>55709.299555555546</v>
      </c>
      <c r="BA60" s="970"/>
      <c r="BB60" s="653">
        <f t="shared" ref="BB60:BB73" si="34">AZ60</f>
        <v>55709.299555555546</v>
      </c>
      <c r="BC60" s="970"/>
      <c r="BD60" s="653">
        <f t="shared" ref="BD60:BD73" si="35">BB60</f>
        <v>55709.299555555546</v>
      </c>
    </row>
    <row r="61" spans="3:56" ht="15" hidden="1" customHeight="1" x14ac:dyDescent="0.25">
      <c r="C61" s="411" t="s">
        <v>126</v>
      </c>
      <c r="D61" s="404">
        <v>49284.87</v>
      </c>
      <c r="E61" s="404">
        <v>49707.71</v>
      </c>
      <c r="F61" s="404">
        <v>46172.85</v>
      </c>
      <c r="G61" s="404">
        <v>54399.13</v>
      </c>
      <c r="H61" s="404">
        <v>58085.43</v>
      </c>
      <c r="I61" s="404">
        <v>64854.25</v>
      </c>
      <c r="J61" s="404">
        <v>67626.55</v>
      </c>
      <c r="K61" s="404">
        <v>69343.350000000006</v>
      </c>
      <c r="L61" s="404">
        <v>73852.59</v>
      </c>
      <c r="M61" s="404">
        <v>72452.41</v>
      </c>
      <c r="N61" s="404">
        <v>66703.289999999994</v>
      </c>
      <c r="O61" s="404">
        <v>64358.83</v>
      </c>
      <c r="P61" s="404">
        <v>54713.26</v>
      </c>
      <c r="Q61" s="404">
        <v>53604.92</v>
      </c>
      <c r="R61" s="404">
        <v>56839.95</v>
      </c>
      <c r="S61" s="404">
        <v>58339.29</v>
      </c>
      <c r="T61" s="404">
        <v>62580.98</v>
      </c>
      <c r="U61" s="404">
        <v>58286.400000000001</v>
      </c>
      <c r="V61" s="404">
        <v>55298.559999999998</v>
      </c>
      <c r="W61" s="404">
        <v>53278.63</v>
      </c>
      <c r="X61" s="404">
        <v>49939.519999999997</v>
      </c>
      <c r="Y61" s="404">
        <v>55462.91</v>
      </c>
      <c r="Z61" s="404">
        <v>50457.59</v>
      </c>
      <c r="AA61" s="404">
        <v>54987.199999999997</v>
      </c>
      <c r="AB61" s="404">
        <v>56740.34</v>
      </c>
      <c r="AC61" s="404">
        <v>56074.76</v>
      </c>
      <c r="AD61" s="404">
        <v>46479.11</v>
      </c>
      <c r="AE61" s="404">
        <v>46105.83</v>
      </c>
      <c r="AF61" s="404">
        <v>38686.269999999997</v>
      </c>
      <c r="AG61" s="404">
        <v>37999.99</v>
      </c>
      <c r="AH61" s="404">
        <v>43879.839999999997</v>
      </c>
      <c r="AI61" s="404">
        <v>43032.66</v>
      </c>
      <c r="AJ61" s="404">
        <v>45101.599999999999</v>
      </c>
      <c r="AK61" s="404">
        <v>43898.66</v>
      </c>
      <c r="AL61" s="404">
        <v>45276.06</v>
      </c>
      <c r="AM61" s="404">
        <v>51824.29</v>
      </c>
      <c r="AN61" s="404">
        <v>49001.73</v>
      </c>
      <c r="AO61" s="404">
        <v>53184.12</v>
      </c>
      <c r="AP61" s="404">
        <v>55609.11</v>
      </c>
      <c r="AQ61" s="404">
        <v>55150.82</v>
      </c>
      <c r="AR61" s="404">
        <v>58279.25</v>
      </c>
      <c r="AS61" s="404">
        <v>56962.81</v>
      </c>
      <c r="AT61" s="404">
        <v>64084.66</v>
      </c>
      <c r="AU61" s="404">
        <v>62567.35</v>
      </c>
      <c r="AV61" s="404">
        <v>62155.360000000001</v>
      </c>
      <c r="AW61" s="412">
        <f t="shared" si="32"/>
        <v>54949.446444444453</v>
      </c>
      <c r="AY61" s="364" t="str">
        <f t="shared" si="31"/>
        <v>Propylene</v>
      </c>
      <c r="AZ61" s="641">
        <f t="shared" si="33"/>
        <v>54949.446444444453</v>
      </c>
      <c r="BA61" s="970"/>
      <c r="BB61" s="653">
        <f t="shared" si="34"/>
        <v>54949.446444444453</v>
      </c>
      <c r="BC61" s="970"/>
      <c r="BD61" s="653">
        <f t="shared" si="35"/>
        <v>54949.446444444453</v>
      </c>
    </row>
    <row r="62" spans="3:56" x14ac:dyDescent="0.25">
      <c r="C62" s="406" t="s">
        <v>139</v>
      </c>
      <c r="D62" s="404">
        <v>58264.4</v>
      </c>
      <c r="E62" s="404">
        <v>58560.65</v>
      </c>
      <c r="F62" s="404">
        <v>58336.34</v>
      </c>
      <c r="G62" s="404">
        <v>62151.15</v>
      </c>
      <c r="H62" s="404">
        <v>64874.92</v>
      </c>
      <c r="I62" s="404">
        <v>66958.78</v>
      </c>
      <c r="J62" s="404">
        <v>67253.98</v>
      </c>
      <c r="K62" s="404">
        <v>66653.31</v>
      </c>
      <c r="L62" s="404">
        <v>66474.97</v>
      </c>
      <c r="M62" s="404">
        <v>66907.41</v>
      </c>
      <c r="N62" s="404">
        <v>68677.600000000006</v>
      </c>
      <c r="O62" s="404">
        <v>68696.320000000007</v>
      </c>
      <c r="P62" s="404">
        <v>67530.240000000005</v>
      </c>
      <c r="Q62" s="404">
        <v>67925.61</v>
      </c>
      <c r="R62" s="404">
        <v>67504.14</v>
      </c>
      <c r="S62" s="404">
        <v>67216.100000000006</v>
      </c>
      <c r="T62" s="404">
        <v>62293.21</v>
      </c>
      <c r="U62" s="404">
        <v>60448.24</v>
      </c>
      <c r="V62" s="404">
        <v>60640.84</v>
      </c>
      <c r="W62" s="404">
        <v>60748.33</v>
      </c>
      <c r="X62" s="404">
        <v>61281.72</v>
      </c>
      <c r="Y62" s="404">
        <v>62817.59</v>
      </c>
      <c r="Z62" s="404">
        <v>61899.38</v>
      </c>
      <c r="AA62" s="404">
        <v>36144.03</v>
      </c>
      <c r="AB62" s="404">
        <v>32531.16</v>
      </c>
      <c r="AC62" s="404">
        <v>33403.71</v>
      </c>
      <c r="AD62" s="404">
        <v>27968.57</v>
      </c>
      <c r="AE62" s="404">
        <v>27412.61</v>
      </c>
      <c r="AF62" s="404">
        <v>18709.259999999998</v>
      </c>
      <c r="AG62" s="404">
        <v>12180.63</v>
      </c>
      <c r="AH62" s="404">
        <v>20308.5</v>
      </c>
      <c r="AI62" s="404">
        <v>18767.87</v>
      </c>
      <c r="AJ62" s="404">
        <v>22406.28</v>
      </c>
      <c r="AK62" s="404">
        <v>22342.11</v>
      </c>
      <c r="AL62" s="404">
        <v>23822.43</v>
      </c>
      <c r="AM62" s="404">
        <v>29022.11</v>
      </c>
      <c r="AN62" s="404">
        <v>27770.21</v>
      </c>
      <c r="AO62" s="404">
        <v>32780.94</v>
      </c>
      <c r="AP62" s="404">
        <v>37987.550000000003</v>
      </c>
      <c r="AQ62" s="404">
        <v>42160.89</v>
      </c>
      <c r="AR62" s="404">
        <v>45566.79</v>
      </c>
      <c r="AS62" s="404">
        <v>44240.09</v>
      </c>
      <c r="AT62" s="404">
        <v>59857.75</v>
      </c>
      <c r="AU62" s="404">
        <v>56517.42</v>
      </c>
      <c r="AV62" s="404">
        <v>54271.14</v>
      </c>
      <c r="AW62" s="412">
        <f t="shared" si="32"/>
        <v>48895.272888888903</v>
      </c>
      <c r="AY62" s="364" t="str">
        <f t="shared" si="31"/>
        <v xml:space="preserve">Benzene </v>
      </c>
      <c r="AZ62" s="641">
        <f t="shared" si="33"/>
        <v>48895.272888888903</v>
      </c>
      <c r="BA62" s="970"/>
      <c r="BB62" s="653">
        <f t="shared" si="34"/>
        <v>48895.272888888903</v>
      </c>
      <c r="BC62" s="970"/>
      <c r="BD62" s="653">
        <f t="shared" si="35"/>
        <v>48895.272888888903</v>
      </c>
    </row>
    <row r="63" spans="3:56" x14ac:dyDescent="0.25">
      <c r="C63" s="406" t="s">
        <v>140</v>
      </c>
      <c r="D63" s="404">
        <v>16025.43</v>
      </c>
      <c r="E63" s="404">
        <v>16562</v>
      </c>
      <c r="F63" s="404">
        <v>18738.77</v>
      </c>
      <c r="G63" s="404">
        <v>23070.44</v>
      </c>
      <c r="H63" s="404">
        <v>25065.75</v>
      </c>
      <c r="I63" s="404">
        <v>47065.49</v>
      </c>
      <c r="J63" s="404">
        <v>53129.9</v>
      </c>
      <c r="K63" s="404">
        <v>53962.43</v>
      </c>
      <c r="L63" s="404">
        <v>55454.6</v>
      </c>
      <c r="M63" s="404">
        <v>53051.199999999997</v>
      </c>
      <c r="N63" s="404">
        <v>44582.19</v>
      </c>
      <c r="O63" s="404">
        <v>37845.24</v>
      </c>
      <c r="P63" s="404">
        <v>26526.46</v>
      </c>
      <c r="Q63" s="404">
        <v>23690.35</v>
      </c>
      <c r="R63" s="404">
        <v>28531.35</v>
      </c>
      <c r="S63" s="404">
        <v>31135.97</v>
      </c>
      <c r="T63" s="404">
        <v>36239.620000000003</v>
      </c>
      <c r="U63" s="404">
        <v>34709.85</v>
      </c>
      <c r="V63" s="404">
        <v>30788.39</v>
      </c>
      <c r="W63" s="404">
        <v>27009.9</v>
      </c>
      <c r="X63" s="404">
        <v>20733.62</v>
      </c>
      <c r="Y63" s="404">
        <v>28160.21</v>
      </c>
      <c r="Z63" s="404">
        <v>37540.959999999999</v>
      </c>
      <c r="AA63" s="404">
        <v>22159.68</v>
      </c>
      <c r="AB63" s="404">
        <v>34983.18</v>
      </c>
      <c r="AC63" s="404">
        <v>39533.07</v>
      </c>
      <c r="AD63" s="404">
        <v>29302.94</v>
      </c>
      <c r="AE63" s="404">
        <v>27259.79</v>
      </c>
      <c r="AF63" s="404">
        <v>13639.18</v>
      </c>
      <c r="AG63" s="404">
        <v>10790.53</v>
      </c>
      <c r="AH63" s="404">
        <v>19436.02</v>
      </c>
      <c r="AI63" s="404">
        <v>21546.69</v>
      </c>
      <c r="AJ63" s="404">
        <v>24906.09</v>
      </c>
      <c r="AK63" s="404">
        <v>23942.560000000001</v>
      </c>
      <c r="AL63" s="404">
        <v>27193.599999999999</v>
      </c>
      <c r="AM63" s="404">
        <v>37575.69</v>
      </c>
      <c r="AN63" s="404">
        <v>32693.69</v>
      </c>
      <c r="AO63" s="404">
        <v>38732.379999999997</v>
      </c>
      <c r="AP63" s="404">
        <v>42335.48</v>
      </c>
      <c r="AQ63" s="404">
        <v>46712.75</v>
      </c>
      <c r="AR63" s="404">
        <v>50023.41</v>
      </c>
      <c r="AS63" s="404">
        <v>51356.68</v>
      </c>
      <c r="AT63" s="404">
        <v>69976.09</v>
      </c>
      <c r="AU63" s="404">
        <v>60706.41</v>
      </c>
      <c r="AV63" s="404">
        <v>60266.25</v>
      </c>
      <c r="AW63" s="412">
        <f t="shared" si="32"/>
        <v>34548.717333333327</v>
      </c>
      <c r="AY63" s="753" t="str">
        <f t="shared" si="31"/>
        <v xml:space="preserve"> 1,3Butadiene </v>
      </c>
      <c r="AZ63" s="641">
        <f t="shared" si="33"/>
        <v>34548.717333333327</v>
      </c>
      <c r="BA63" s="970"/>
      <c r="BB63" s="653">
        <f t="shared" si="34"/>
        <v>34548.717333333327</v>
      </c>
      <c r="BC63" s="970"/>
      <c r="BD63" s="653">
        <f t="shared" si="35"/>
        <v>34548.717333333327</v>
      </c>
    </row>
    <row r="64" spans="3:56" x14ac:dyDescent="0.25">
      <c r="C64" s="406" t="s">
        <v>141</v>
      </c>
      <c r="D64" s="404">
        <v>26560.11</v>
      </c>
      <c r="E64" s="404">
        <v>24625.34</v>
      </c>
      <c r="F64" s="404">
        <v>26769.08</v>
      </c>
      <c r="G64" s="404">
        <v>26018.62</v>
      </c>
      <c r="H64" s="404">
        <v>27257.24</v>
      </c>
      <c r="I64" s="404">
        <v>38650.550000000003</v>
      </c>
      <c r="J64" s="404">
        <v>51045.1</v>
      </c>
      <c r="K64" s="404">
        <v>55167.7</v>
      </c>
      <c r="L64" s="404">
        <v>61825.64</v>
      </c>
      <c r="M64" s="404">
        <v>63044.37</v>
      </c>
      <c r="N64" s="404">
        <v>55712.49</v>
      </c>
      <c r="O64" s="404">
        <v>45778.89</v>
      </c>
      <c r="P64" s="404">
        <v>30340.59</v>
      </c>
      <c r="Q64" s="404">
        <v>25301.68</v>
      </c>
      <c r="R64" s="404">
        <v>25735.08</v>
      </c>
      <c r="S64" s="404">
        <v>31078.89</v>
      </c>
      <c r="T64" s="404">
        <v>37704.910000000003</v>
      </c>
      <c r="U64" s="404">
        <v>34974.14</v>
      </c>
      <c r="V64" s="404">
        <v>28709.599999999999</v>
      </c>
      <c r="W64" s="404">
        <v>23646.74</v>
      </c>
      <c r="X64" s="404">
        <v>13671.4</v>
      </c>
      <c r="Y64" s="404">
        <v>21845.86</v>
      </c>
      <c r="Z64" s="404">
        <v>18611.46</v>
      </c>
      <c r="AA64" s="404">
        <v>26228.7</v>
      </c>
      <c r="AB64" s="404">
        <v>28201.47</v>
      </c>
      <c r="AC64" s="404">
        <v>30851.84</v>
      </c>
      <c r="AD64" s="404">
        <v>28968.33</v>
      </c>
      <c r="AE64" s="404">
        <v>28141.74</v>
      </c>
      <c r="AF64" s="404">
        <v>21986.12</v>
      </c>
      <c r="AG64" s="404">
        <v>20497.79</v>
      </c>
      <c r="AH64" s="404">
        <v>24724.79</v>
      </c>
      <c r="AI64" s="404">
        <v>24614.35</v>
      </c>
      <c r="AJ64" s="404">
        <v>22711.51</v>
      </c>
      <c r="AK64" s="404">
        <v>23563.24</v>
      </c>
      <c r="AL64" s="404">
        <v>24533.55</v>
      </c>
      <c r="AM64" s="404">
        <v>26533.17</v>
      </c>
      <c r="AN64" s="404">
        <v>29041.58</v>
      </c>
      <c r="AO64" s="404">
        <v>31356.86</v>
      </c>
      <c r="AP64" s="404">
        <v>34905.199999999997</v>
      </c>
      <c r="AQ64" s="404">
        <v>35307.47</v>
      </c>
      <c r="AR64" s="404">
        <v>36318.519999999997</v>
      </c>
      <c r="AS64" s="404">
        <v>37455.269999999997</v>
      </c>
      <c r="AT64" s="404">
        <v>48711.9</v>
      </c>
      <c r="AU64" s="404">
        <v>47032.92</v>
      </c>
      <c r="AV64" s="404">
        <v>44192.81</v>
      </c>
      <c r="AW64" s="412">
        <f t="shared" si="32"/>
        <v>32665.657999999996</v>
      </c>
      <c r="AY64" s="753" t="str">
        <f t="shared" si="31"/>
        <v xml:space="preserve"> Hydrogenated Pygas (HPG) </v>
      </c>
      <c r="AZ64" s="641">
        <f t="shared" si="33"/>
        <v>32665.657999999996</v>
      </c>
      <c r="BA64" s="970"/>
      <c r="BB64" s="653">
        <f t="shared" si="34"/>
        <v>32665.657999999996</v>
      </c>
      <c r="BC64" s="970"/>
      <c r="BD64" s="653">
        <f t="shared" si="35"/>
        <v>32665.657999999996</v>
      </c>
    </row>
    <row r="65" spans="3:56" x14ac:dyDescent="0.25">
      <c r="C65" s="406" t="s">
        <v>142</v>
      </c>
      <c r="D65" s="404">
        <v>22135.279999999999</v>
      </c>
      <c r="E65" s="404">
        <v>22512.55</v>
      </c>
      <c r="F65" s="404">
        <v>21168.39</v>
      </c>
      <c r="G65" s="404">
        <v>25354.81</v>
      </c>
      <c r="H65" s="404">
        <v>25439.360000000001</v>
      </c>
      <c r="I65" s="404">
        <v>24719.38</v>
      </c>
      <c r="J65" s="404">
        <v>26204.560000000001</v>
      </c>
      <c r="K65" s="404">
        <v>24079.99</v>
      </c>
      <c r="L65" s="404">
        <v>26981.95</v>
      </c>
      <c r="M65" s="404">
        <v>27804.18</v>
      </c>
      <c r="N65" s="404">
        <v>27903.06</v>
      </c>
      <c r="O65" s="404">
        <v>23602.26</v>
      </c>
      <c r="P65" s="404">
        <v>21818.04</v>
      </c>
      <c r="Q65" s="404">
        <v>23202.86</v>
      </c>
      <c r="R65" s="404">
        <v>21906.46</v>
      </c>
      <c r="S65" s="404">
        <v>24795.4</v>
      </c>
      <c r="T65" s="404">
        <v>22889.19</v>
      </c>
      <c r="U65" s="404">
        <v>21837.67</v>
      </c>
      <c r="V65" s="404">
        <v>20710.060000000001</v>
      </c>
      <c r="W65" s="404">
        <v>20220.88</v>
      </c>
      <c r="X65" s="404">
        <v>21364.78</v>
      </c>
      <c r="Y65" s="404">
        <v>24235.75</v>
      </c>
      <c r="Z65" s="404">
        <v>18254.169999999998</v>
      </c>
      <c r="AA65" s="404">
        <v>22808.97</v>
      </c>
      <c r="AB65" s="404">
        <v>20055.330000000002</v>
      </c>
      <c r="AC65" s="404">
        <v>21185.41</v>
      </c>
      <c r="AD65" s="404">
        <v>17162.53</v>
      </c>
      <c r="AE65" s="404">
        <v>17021.310000000001</v>
      </c>
      <c r="AF65" s="404">
        <v>15085</v>
      </c>
      <c r="AG65" s="404">
        <v>14986.76</v>
      </c>
      <c r="AH65" s="404">
        <v>16539.259999999998</v>
      </c>
      <c r="AI65" s="404">
        <v>16202.7</v>
      </c>
      <c r="AJ65" s="404">
        <v>14237.25</v>
      </c>
      <c r="AK65" s="404">
        <v>14759.22</v>
      </c>
      <c r="AL65" s="404">
        <v>15037.46</v>
      </c>
      <c r="AM65" s="404">
        <v>17052.439999999999</v>
      </c>
      <c r="AN65" s="404">
        <v>17758.98</v>
      </c>
      <c r="AO65" s="404">
        <v>18629.79</v>
      </c>
      <c r="AP65" s="404">
        <v>19608.060000000001</v>
      </c>
      <c r="AQ65" s="404">
        <v>21085.51</v>
      </c>
      <c r="AR65" s="404">
        <v>22310.67</v>
      </c>
      <c r="AS65" s="404">
        <v>23474.77</v>
      </c>
      <c r="AT65" s="404">
        <v>23133.35</v>
      </c>
      <c r="AU65" s="404">
        <v>24278.02</v>
      </c>
      <c r="AV65" s="404">
        <v>23432.880000000001</v>
      </c>
      <c r="AW65" s="412">
        <f t="shared" si="32"/>
        <v>21221.92666666667</v>
      </c>
      <c r="AY65" s="753" t="str">
        <f t="shared" si="31"/>
        <v xml:space="preserve"> CBFS </v>
      </c>
      <c r="AZ65" s="641">
        <f t="shared" si="33"/>
        <v>21221.92666666667</v>
      </c>
      <c r="BA65" s="970"/>
      <c r="BB65" s="653">
        <f t="shared" si="34"/>
        <v>21221.92666666667</v>
      </c>
      <c r="BC65" s="970"/>
      <c r="BD65" s="653">
        <f t="shared" si="35"/>
        <v>21221.92666666667</v>
      </c>
    </row>
    <row r="66" spans="3:56" x14ac:dyDescent="0.25">
      <c r="C66" s="406" t="s">
        <v>143</v>
      </c>
      <c r="D66" s="404">
        <v>14931.43</v>
      </c>
      <c r="E66" s="404">
        <v>14069</v>
      </c>
      <c r="F66" s="404">
        <v>11660.9</v>
      </c>
      <c r="G66" s="404">
        <v>11450.91</v>
      </c>
      <c r="H66" s="404">
        <v>12356.8</v>
      </c>
      <c r="I66" s="404">
        <v>24272.99</v>
      </c>
      <c r="J66" s="404">
        <v>33543.480000000003</v>
      </c>
      <c r="K66" s="404">
        <v>34616.32</v>
      </c>
      <c r="L66" s="404">
        <v>37498.32</v>
      </c>
      <c r="M66" s="404">
        <v>37493.160000000003</v>
      </c>
      <c r="N66" s="404">
        <v>30363.48</v>
      </c>
      <c r="O66" s="404">
        <v>25531.11</v>
      </c>
      <c r="P66" s="404">
        <v>14881.03</v>
      </c>
      <c r="Q66" s="404">
        <v>12038.95</v>
      </c>
      <c r="R66" s="404">
        <v>14316.32</v>
      </c>
      <c r="S66" s="404">
        <v>18007.41</v>
      </c>
      <c r="T66" s="404">
        <v>22552.81</v>
      </c>
      <c r="U66" s="404">
        <v>21694.05</v>
      </c>
      <c r="V66" s="404">
        <v>18028.11</v>
      </c>
      <c r="W66" s="404">
        <v>12943.01</v>
      </c>
      <c r="X66" s="404">
        <v>7147.9</v>
      </c>
      <c r="Y66" s="404">
        <v>15832.13</v>
      </c>
      <c r="Z66" s="404">
        <v>13446.37</v>
      </c>
      <c r="AA66" s="404">
        <v>26669.119999999999</v>
      </c>
      <c r="AB66" s="404">
        <v>34545.620000000003</v>
      </c>
      <c r="AC66" s="404">
        <v>37790.730000000003</v>
      </c>
      <c r="AD66" s="404">
        <v>29719.26</v>
      </c>
      <c r="AE66" s="404">
        <v>28975.85</v>
      </c>
      <c r="AF66" s="404">
        <v>20953.759999999998</v>
      </c>
      <c r="AG66" s="404">
        <v>20003.18</v>
      </c>
      <c r="AH66" s="404">
        <v>22934.26</v>
      </c>
      <c r="AI66" s="404">
        <v>25223.43</v>
      </c>
      <c r="AJ66" s="404">
        <v>25382.52</v>
      </c>
      <c r="AK66" s="404">
        <v>24162.52</v>
      </c>
      <c r="AL66" s="404">
        <v>26853.81</v>
      </c>
      <c r="AM66" s="404">
        <v>35718.86</v>
      </c>
      <c r="AN66" s="404">
        <v>39917.089999999997</v>
      </c>
      <c r="AO66" s="404">
        <v>44360.67</v>
      </c>
      <c r="AP66" s="404">
        <v>45799.24</v>
      </c>
      <c r="AQ66" s="404">
        <v>41014.99</v>
      </c>
      <c r="AR66" s="404">
        <v>42330.82</v>
      </c>
      <c r="AS66" s="404">
        <v>43213.440000000002</v>
      </c>
      <c r="AT66" s="404">
        <v>55406</v>
      </c>
      <c r="AU66" s="404">
        <v>52547.9</v>
      </c>
      <c r="AV66" s="404">
        <v>51447.02</v>
      </c>
      <c r="AW66" s="412">
        <f t="shared" si="32"/>
        <v>27414.357333333333</v>
      </c>
      <c r="AY66" s="753" t="str">
        <f t="shared" si="31"/>
        <v xml:space="preserve"> C9+   </v>
      </c>
      <c r="AZ66" s="641">
        <f t="shared" si="33"/>
        <v>27414.357333333333</v>
      </c>
      <c r="BA66" s="970"/>
      <c r="BB66" s="653">
        <f t="shared" si="34"/>
        <v>27414.357333333333</v>
      </c>
      <c r="BC66" s="970"/>
      <c r="BD66" s="653">
        <f t="shared" si="35"/>
        <v>27414.357333333333</v>
      </c>
    </row>
    <row r="67" spans="3:56" x14ac:dyDescent="0.25">
      <c r="C67" s="411" t="s">
        <v>150</v>
      </c>
      <c r="D67" s="592">
        <v>5.2450000000000001</v>
      </c>
      <c r="E67" s="592">
        <v>7.48</v>
      </c>
      <c r="F67" s="593">
        <v>7.6002255138846202</v>
      </c>
      <c r="G67" s="593">
        <v>6.65</v>
      </c>
      <c r="H67" s="593">
        <v>6.77</v>
      </c>
      <c r="I67" s="593">
        <v>6.83</v>
      </c>
      <c r="J67" s="593">
        <v>8.23</v>
      </c>
      <c r="K67" s="593">
        <v>8.2200000000000006</v>
      </c>
      <c r="L67" s="593">
        <v>7.32</v>
      </c>
      <c r="M67" s="593">
        <v>8.18</v>
      </c>
      <c r="N67" s="593">
        <v>7.53</v>
      </c>
      <c r="O67" s="593">
        <v>7.13</v>
      </c>
      <c r="P67" s="593">
        <v>6.42</v>
      </c>
      <c r="Q67" s="593">
        <v>7.18</v>
      </c>
      <c r="R67" s="593">
        <v>6.07</v>
      </c>
      <c r="S67" s="593">
        <v>4.8415999999999997</v>
      </c>
      <c r="T67" s="593">
        <v>4.8899999999999997</v>
      </c>
      <c r="U67" s="593">
        <v>5.4</v>
      </c>
      <c r="V67" s="593">
        <v>5.84</v>
      </c>
      <c r="W67" s="593">
        <v>5.76</v>
      </c>
      <c r="X67" s="593">
        <v>5.46</v>
      </c>
      <c r="Y67" s="593">
        <v>6.36</v>
      </c>
      <c r="Z67" s="593">
        <v>6.17</v>
      </c>
      <c r="AA67" s="593">
        <v>6.84</v>
      </c>
      <c r="AB67" s="593">
        <v>5.67</v>
      </c>
      <c r="AC67" s="593">
        <v>5.33</v>
      </c>
      <c r="AD67" s="593">
        <v>3.69</v>
      </c>
      <c r="AE67" s="593">
        <v>4.9800000000000004</v>
      </c>
      <c r="AF67" s="593">
        <v>4.4800000000000004</v>
      </c>
      <c r="AG67" s="593">
        <v>3</v>
      </c>
      <c r="AH67" s="593">
        <v>2.6</v>
      </c>
      <c r="AI67" s="593">
        <v>3.43</v>
      </c>
      <c r="AJ67" s="593">
        <v>4.3499999999999996</v>
      </c>
      <c r="AK67" s="593">
        <v>4.68</v>
      </c>
      <c r="AL67" s="593">
        <v>5.0999999999999996</v>
      </c>
      <c r="AM67" s="593">
        <v>6.03</v>
      </c>
      <c r="AN67" s="593">
        <v>6.67</v>
      </c>
      <c r="AO67" s="593">
        <v>8.02</v>
      </c>
      <c r="AP67" s="593">
        <v>7.23</v>
      </c>
      <c r="AQ67" s="593">
        <v>5.36</v>
      </c>
      <c r="AR67" s="593">
        <v>5.15</v>
      </c>
      <c r="AS67" s="593">
        <v>5.64</v>
      </c>
      <c r="AT67" s="593">
        <v>6.42</v>
      </c>
      <c r="AU67" s="593">
        <v>7.17</v>
      </c>
      <c r="AV67" s="593">
        <v>7.47</v>
      </c>
      <c r="AW67" s="413">
        <f t="shared" si="32"/>
        <v>6.0197072336418813</v>
      </c>
      <c r="AY67" s="364" t="str">
        <f t="shared" si="31"/>
        <v>POWER</v>
      </c>
      <c r="AZ67" s="642">
        <f t="shared" si="33"/>
        <v>6.0197072336418813</v>
      </c>
      <c r="BA67" s="970"/>
      <c r="BB67" s="653">
        <f t="shared" si="34"/>
        <v>6.0197072336418813</v>
      </c>
      <c r="BC67" s="970"/>
      <c r="BD67" s="653">
        <f t="shared" si="35"/>
        <v>6.0197072336418813</v>
      </c>
    </row>
    <row r="68" spans="3:56" x14ac:dyDescent="0.25">
      <c r="C68" s="411" t="s">
        <v>151</v>
      </c>
      <c r="D68" s="592">
        <v>1659</v>
      </c>
      <c r="E68" s="592">
        <v>2237</v>
      </c>
      <c r="F68" s="594">
        <v>2255.1410444563789</v>
      </c>
      <c r="G68" s="594">
        <v>2146.2487431145209</v>
      </c>
      <c r="H68" s="594">
        <v>2418.3910474276554</v>
      </c>
      <c r="I68" s="594">
        <v>2701.6199743644243</v>
      </c>
      <c r="J68" s="594">
        <v>2777.0407045596344</v>
      </c>
      <c r="K68" s="594">
        <v>2836.6205896021006</v>
      </c>
      <c r="L68" s="594">
        <v>2780.2581602607625</v>
      </c>
      <c r="M68" s="594">
        <v>3053.926570501239</v>
      </c>
      <c r="N68" s="594">
        <v>2836.1664048306907</v>
      </c>
      <c r="O68" s="594">
        <v>2611.932049598453</v>
      </c>
      <c r="P68" s="594">
        <v>2577.919484614094</v>
      </c>
      <c r="Q68" s="594">
        <v>2856.2006891112787</v>
      </c>
      <c r="R68" s="594">
        <v>2469.3423214225581</v>
      </c>
      <c r="S68" s="594">
        <v>2091.94</v>
      </c>
      <c r="T68" s="594">
        <v>2025.12</v>
      </c>
      <c r="U68" s="594">
        <v>2197.69</v>
      </c>
      <c r="V68" s="594">
        <v>2450.21</v>
      </c>
      <c r="W68" s="594">
        <v>2188.85</v>
      </c>
      <c r="X68" s="594">
        <v>2098.58</v>
      </c>
      <c r="Y68" s="594">
        <v>2650.93</v>
      </c>
      <c r="Z68" s="594">
        <v>2588.92</v>
      </c>
      <c r="AA68" s="594">
        <v>2922.37</v>
      </c>
      <c r="AB68" s="594">
        <v>2398.6999999999998</v>
      </c>
      <c r="AC68" s="594">
        <v>2269.4</v>
      </c>
      <c r="AD68" s="594">
        <v>1425.69</v>
      </c>
      <c r="AE68" s="594">
        <v>1908.42</v>
      </c>
      <c r="AF68" s="594">
        <v>1785.56</v>
      </c>
      <c r="AG68" s="594">
        <v>1111.8399999999999</v>
      </c>
      <c r="AH68" s="594">
        <v>1033.04</v>
      </c>
      <c r="AI68" s="594">
        <v>1321.01</v>
      </c>
      <c r="AJ68" s="594">
        <v>1668.98</v>
      </c>
      <c r="AK68" s="594">
        <v>1783.8</v>
      </c>
      <c r="AL68" s="594">
        <v>2035.2</v>
      </c>
      <c r="AM68" s="594">
        <v>2259.19</v>
      </c>
      <c r="AN68" s="594">
        <v>2699.1</v>
      </c>
      <c r="AO68" s="594">
        <v>3294.54</v>
      </c>
      <c r="AP68" s="594">
        <v>2840.46</v>
      </c>
      <c r="AQ68" s="594">
        <v>2266.15</v>
      </c>
      <c r="AR68" s="594">
        <v>2243.14</v>
      </c>
      <c r="AS68" s="594">
        <v>2506.4699999999998</v>
      </c>
      <c r="AT68" s="594">
        <v>2911.57</v>
      </c>
      <c r="AU68" s="594">
        <v>3467.2</v>
      </c>
      <c r="AV68" s="594">
        <v>3800.16</v>
      </c>
      <c r="AW68" s="412">
        <f t="shared" si="32"/>
        <v>2365.8008396414175</v>
      </c>
      <c r="AY68" s="364" t="str">
        <f t="shared" si="31"/>
        <v>STEAM</v>
      </c>
      <c r="AZ68" s="641">
        <f t="shared" si="33"/>
        <v>2365.8008396414175</v>
      </c>
      <c r="BA68" s="970"/>
      <c r="BB68" s="653">
        <f t="shared" si="34"/>
        <v>2365.8008396414175</v>
      </c>
      <c r="BC68" s="970"/>
      <c r="BD68" s="653">
        <f t="shared" si="35"/>
        <v>2365.8008396414175</v>
      </c>
    </row>
    <row r="69" spans="3:56" x14ac:dyDescent="0.25">
      <c r="C69" s="411" t="s">
        <v>152</v>
      </c>
      <c r="D69" s="592">
        <v>56.1</v>
      </c>
      <c r="E69" s="592">
        <v>57.6</v>
      </c>
      <c r="F69" s="592">
        <v>55.7</v>
      </c>
      <c r="G69" s="592">
        <v>59.95</v>
      </c>
      <c r="H69" s="592">
        <v>68.569999999999993</v>
      </c>
      <c r="I69" s="592">
        <v>79.7</v>
      </c>
      <c r="J69" s="592">
        <v>85.01</v>
      </c>
      <c r="K69" s="592">
        <v>73.42</v>
      </c>
      <c r="L69" s="592">
        <v>68.25</v>
      </c>
      <c r="M69" s="592">
        <v>53.25</v>
      </c>
      <c r="N69" s="592">
        <v>65.459999999999994</v>
      </c>
      <c r="O69" s="592">
        <v>60.93</v>
      </c>
      <c r="P69" s="592">
        <v>59.7</v>
      </c>
      <c r="Q69" s="592">
        <v>58.94</v>
      </c>
      <c r="R69" s="592">
        <v>57.95</v>
      </c>
      <c r="S69" s="592">
        <v>78.48</v>
      </c>
      <c r="T69" s="592">
        <v>82.51</v>
      </c>
      <c r="U69" s="592">
        <v>83.6</v>
      </c>
      <c r="V69" s="592">
        <v>102.15</v>
      </c>
      <c r="W69" s="592">
        <v>74.58</v>
      </c>
      <c r="X69" s="592">
        <v>78.45</v>
      </c>
      <c r="Y69" s="592">
        <v>76.87</v>
      </c>
      <c r="Z69" s="592">
        <v>82.39</v>
      </c>
      <c r="AA69" s="592">
        <v>77.88</v>
      </c>
      <c r="AB69" s="592">
        <v>75.39</v>
      </c>
      <c r="AC69" s="592">
        <v>66.849999999999994</v>
      </c>
      <c r="AD69" s="592">
        <v>64.58</v>
      </c>
      <c r="AE69" s="592">
        <v>84.97</v>
      </c>
      <c r="AF69" s="592">
        <v>78.069999999999993</v>
      </c>
      <c r="AG69" s="592">
        <v>71.17</v>
      </c>
      <c r="AH69" s="592">
        <v>68.23</v>
      </c>
      <c r="AI69" s="592">
        <v>69.2</v>
      </c>
      <c r="AJ69" s="592">
        <v>71.16</v>
      </c>
      <c r="AK69" s="592">
        <v>82.9</v>
      </c>
      <c r="AL69" s="592">
        <v>88.88</v>
      </c>
      <c r="AM69" s="592">
        <v>80.14</v>
      </c>
      <c r="AN69" s="592">
        <v>89.43</v>
      </c>
      <c r="AO69" s="592">
        <v>102.78</v>
      </c>
      <c r="AP69" s="592">
        <v>102.25</v>
      </c>
      <c r="AQ69" s="592">
        <v>100.32</v>
      </c>
      <c r="AR69" s="592">
        <v>81.34</v>
      </c>
      <c r="AS69" s="592">
        <v>90.67</v>
      </c>
      <c r="AT69" s="592">
        <v>91.86</v>
      </c>
      <c r="AU69" s="592">
        <v>95.99</v>
      </c>
      <c r="AV69" s="592">
        <v>94.95</v>
      </c>
      <c r="AW69" s="413">
        <f t="shared" si="32"/>
        <v>76.634888888888895</v>
      </c>
      <c r="AY69" s="364" t="str">
        <f t="shared" si="31"/>
        <v>DM WATER</v>
      </c>
      <c r="AZ69" s="642">
        <f t="shared" si="33"/>
        <v>76.634888888888895</v>
      </c>
      <c r="BA69" s="970"/>
      <c r="BB69" s="654">
        <f t="shared" si="34"/>
        <v>76.634888888888895</v>
      </c>
      <c r="BC69" s="970"/>
      <c r="BD69" s="654">
        <f t="shared" si="35"/>
        <v>76.634888888888895</v>
      </c>
    </row>
    <row r="70" spans="3:56" s="16" customFormat="1" ht="19.5" customHeight="1" x14ac:dyDescent="0.25">
      <c r="C70" s="411" t="s">
        <v>162</v>
      </c>
      <c r="D70" s="592">
        <v>2.19</v>
      </c>
      <c r="E70" s="592">
        <v>3.16</v>
      </c>
      <c r="F70" s="592">
        <v>3.15</v>
      </c>
      <c r="G70" s="592">
        <v>2.71</v>
      </c>
      <c r="H70" s="592">
        <v>2.67</v>
      </c>
      <c r="I70" s="592">
        <v>2.98</v>
      </c>
      <c r="J70" s="592">
        <v>3.6</v>
      </c>
      <c r="K70" s="592">
        <v>3.3</v>
      </c>
      <c r="L70" s="592">
        <v>3.19</v>
      </c>
      <c r="M70" s="592">
        <v>3.54</v>
      </c>
      <c r="N70" s="592">
        <v>3.04</v>
      </c>
      <c r="O70" s="592">
        <v>2.95</v>
      </c>
      <c r="P70" s="592">
        <v>2.5499999999999998</v>
      </c>
      <c r="Q70" s="592">
        <v>3.17</v>
      </c>
      <c r="R70" s="592">
        <v>2.7</v>
      </c>
      <c r="S70" s="592">
        <v>2.14</v>
      </c>
      <c r="T70" s="592">
        <v>2.11</v>
      </c>
      <c r="U70" s="592">
        <v>2.31</v>
      </c>
      <c r="V70" s="592">
        <v>2.5499999999999998</v>
      </c>
      <c r="W70" s="592">
        <v>2.8</v>
      </c>
      <c r="X70" s="592">
        <v>2.42</v>
      </c>
      <c r="Y70" s="592">
        <v>2.8</v>
      </c>
      <c r="Z70" s="592">
        <v>2.73</v>
      </c>
      <c r="AA70" s="592">
        <v>2.99</v>
      </c>
      <c r="AB70" s="592">
        <v>2.38</v>
      </c>
      <c r="AC70" s="592">
        <v>2.4700000000000002</v>
      </c>
      <c r="AD70" s="592">
        <v>1.66</v>
      </c>
      <c r="AE70" s="592">
        <v>2.34</v>
      </c>
      <c r="AF70" s="592">
        <v>2.73</v>
      </c>
      <c r="AG70" s="592">
        <v>1.44</v>
      </c>
      <c r="AH70" s="592">
        <v>1.22</v>
      </c>
      <c r="AI70" s="592">
        <v>1.58</v>
      </c>
      <c r="AJ70" s="592">
        <v>2.04</v>
      </c>
      <c r="AK70" s="592">
        <v>2.15</v>
      </c>
      <c r="AL70" s="592">
        <v>2.37</v>
      </c>
      <c r="AM70" s="592">
        <v>2.61</v>
      </c>
      <c r="AN70" s="592">
        <v>2.96</v>
      </c>
      <c r="AO70" s="592">
        <v>3.52</v>
      </c>
      <c r="AP70" s="592">
        <v>3.35</v>
      </c>
      <c r="AQ70" s="592">
        <v>2.69</v>
      </c>
      <c r="AR70" s="592">
        <v>2.57</v>
      </c>
      <c r="AS70" s="592">
        <v>2.83</v>
      </c>
      <c r="AT70" s="592">
        <v>3.48</v>
      </c>
      <c r="AU70" s="592">
        <v>3.56</v>
      </c>
      <c r="AV70" s="592">
        <v>3.74</v>
      </c>
      <c r="AW70" s="413">
        <f t="shared" si="32"/>
        <v>2.6986666666666661</v>
      </c>
      <c r="AY70" s="364" t="str">
        <f t="shared" si="31"/>
        <v>Nitrogen-Rs./NM3 (Considered for Oxygen cost of Production)</v>
      </c>
      <c r="AZ70" s="642">
        <f t="shared" si="33"/>
        <v>2.6986666666666661</v>
      </c>
      <c r="BA70" s="970"/>
      <c r="BB70" s="654">
        <f t="shared" si="34"/>
        <v>2.6986666666666661</v>
      </c>
      <c r="BC70" s="970"/>
      <c r="BD70" s="654">
        <f t="shared" si="35"/>
        <v>2.6986666666666661</v>
      </c>
    </row>
    <row r="71" spans="3:56" s="16" customFormat="1" x14ac:dyDescent="0.25">
      <c r="C71" s="758" t="s">
        <v>675</v>
      </c>
      <c r="D71" s="759">
        <v>3</v>
      </c>
      <c r="E71" s="759">
        <v>3</v>
      </c>
      <c r="F71" s="759">
        <v>3</v>
      </c>
      <c r="G71" s="759">
        <v>3</v>
      </c>
      <c r="H71" s="759">
        <v>3</v>
      </c>
      <c r="I71" s="759">
        <v>3</v>
      </c>
      <c r="J71" s="759">
        <v>3</v>
      </c>
      <c r="K71" s="759">
        <v>3</v>
      </c>
      <c r="L71" s="759">
        <v>3</v>
      </c>
      <c r="M71" s="759">
        <v>3</v>
      </c>
      <c r="N71" s="759">
        <v>3</v>
      </c>
      <c r="O71" s="759">
        <v>3</v>
      </c>
      <c r="P71" s="759">
        <v>3</v>
      </c>
      <c r="Q71" s="759">
        <v>3</v>
      </c>
      <c r="R71" s="759">
        <v>3</v>
      </c>
      <c r="S71" s="759">
        <v>3</v>
      </c>
      <c r="T71" s="759">
        <v>3</v>
      </c>
      <c r="U71" s="759">
        <v>3</v>
      </c>
      <c r="V71" s="759">
        <v>3</v>
      </c>
      <c r="W71" s="759">
        <v>3</v>
      </c>
      <c r="X71" s="759">
        <v>3</v>
      </c>
      <c r="Y71" s="759">
        <v>3</v>
      </c>
      <c r="Z71" s="759">
        <v>3</v>
      </c>
      <c r="AA71" s="759">
        <v>3</v>
      </c>
      <c r="AB71" s="759">
        <v>3</v>
      </c>
      <c r="AC71" s="759">
        <v>3</v>
      </c>
      <c r="AD71" s="759">
        <v>3</v>
      </c>
      <c r="AE71" s="759">
        <v>3</v>
      </c>
      <c r="AF71" s="759">
        <v>3</v>
      </c>
      <c r="AG71" s="759">
        <v>3</v>
      </c>
      <c r="AH71" s="759">
        <v>3</v>
      </c>
      <c r="AI71" s="759">
        <v>3</v>
      </c>
      <c r="AJ71" s="759">
        <v>3</v>
      </c>
      <c r="AK71" s="759">
        <v>3</v>
      </c>
      <c r="AL71" s="759">
        <v>3</v>
      </c>
      <c r="AM71" s="759">
        <v>3</v>
      </c>
      <c r="AN71" s="759">
        <v>3</v>
      </c>
      <c r="AO71" s="759">
        <v>3</v>
      </c>
      <c r="AP71" s="759">
        <v>3</v>
      </c>
      <c r="AQ71" s="759">
        <v>3</v>
      </c>
      <c r="AR71" s="759">
        <v>3</v>
      </c>
      <c r="AS71" s="759">
        <v>3</v>
      </c>
      <c r="AT71" s="759">
        <v>3</v>
      </c>
      <c r="AU71" s="759">
        <v>3</v>
      </c>
      <c r="AV71" s="759">
        <v>3</v>
      </c>
      <c r="AW71" s="413">
        <f t="shared" si="32"/>
        <v>3</v>
      </c>
      <c r="AY71" s="758" t="s">
        <v>675</v>
      </c>
      <c r="AZ71" s="759">
        <v>3</v>
      </c>
      <c r="BA71" s="970"/>
      <c r="BB71" s="654">
        <f t="shared" si="34"/>
        <v>3</v>
      </c>
      <c r="BC71" s="970"/>
      <c r="BD71" s="654">
        <f t="shared" si="35"/>
        <v>3</v>
      </c>
    </row>
    <row r="72" spans="3:56" s="16" customFormat="1" x14ac:dyDescent="0.25">
      <c r="C72" s="758" t="s">
        <v>676</v>
      </c>
      <c r="D72" s="759">
        <v>2.4500000000000002</v>
      </c>
      <c r="E72" s="759">
        <v>2.4500000000000002</v>
      </c>
      <c r="F72" s="759">
        <v>2.4500000000000002</v>
      </c>
      <c r="G72" s="759">
        <v>2.4500000000000002</v>
      </c>
      <c r="H72" s="759">
        <v>2.4500000000000002</v>
      </c>
      <c r="I72" s="759">
        <v>2.4500000000000002</v>
      </c>
      <c r="J72" s="759">
        <v>2.4500000000000002</v>
      </c>
      <c r="K72" s="759">
        <v>2.4500000000000002</v>
      </c>
      <c r="L72" s="759">
        <v>2.4500000000000002</v>
      </c>
      <c r="M72" s="759">
        <v>2.4500000000000002</v>
      </c>
      <c r="N72" s="759">
        <v>2.4500000000000002</v>
      </c>
      <c r="O72" s="759">
        <v>2.4500000000000002</v>
      </c>
      <c r="P72" s="759">
        <v>2.4500000000000002</v>
      </c>
      <c r="Q72" s="759">
        <v>2.4500000000000002</v>
      </c>
      <c r="R72" s="759">
        <v>2.4500000000000002</v>
      </c>
      <c r="S72" s="759">
        <v>2.4500000000000002</v>
      </c>
      <c r="T72" s="759">
        <v>2.4500000000000002</v>
      </c>
      <c r="U72" s="759">
        <v>2.4500000000000002</v>
      </c>
      <c r="V72" s="759">
        <v>2.4500000000000002</v>
      </c>
      <c r="W72" s="759">
        <v>2.4500000000000002</v>
      </c>
      <c r="X72" s="759">
        <v>2.4500000000000002</v>
      </c>
      <c r="Y72" s="759">
        <v>2.4500000000000002</v>
      </c>
      <c r="Z72" s="759">
        <v>2.4500000000000002</v>
      </c>
      <c r="AA72" s="759">
        <v>2.4500000000000002</v>
      </c>
      <c r="AB72" s="759">
        <v>2.4500000000000002</v>
      </c>
      <c r="AC72" s="759">
        <v>2.4500000000000002</v>
      </c>
      <c r="AD72" s="759">
        <v>2.4500000000000002</v>
      </c>
      <c r="AE72" s="759">
        <v>2.4500000000000002</v>
      </c>
      <c r="AF72" s="759">
        <v>2.4500000000000002</v>
      </c>
      <c r="AG72" s="759">
        <v>2.4500000000000002</v>
      </c>
      <c r="AH72" s="759">
        <v>2.4500000000000002</v>
      </c>
      <c r="AI72" s="759">
        <v>2.4500000000000002</v>
      </c>
      <c r="AJ72" s="759">
        <v>2.4500000000000002</v>
      </c>
      <c r="AK72" s="759">
        <v>2.4500000000000002</v>
      </c>
      <c r="AL72" s="759">
        <v>2.4500000000000002</v>
      </c>
      <c r="AM72" s="759">
        <v>2.4500000000000002</v>
      </c>
      <c r="AN72" s="759">
        <v>2.4500000000000002</v>
      </c>
      <c r="AO72" s="759">
        <v>2.4500000000000002</v>
      </c>
      <c r="AP72" s="759">
        <v>2.4500000000000002</v>
      </c>
      <c r="AQ72" s="759">
        <v>2.4500000000000002</v>
      </c>
      <c r="AR72" s="759">
        <v>2.4500000000000002</v>
      </c>
      <c r="AS72" s="759">
        <v>2.4500000000000002</v>
      </c>
      <c r="AT72" s="759">
        <v>2.4500000000000002</v>
      </c>
      <c r="AU72" s="759">
        <v>2.4500000000000002</v>
      </c>
      <c r="AV72" s="759">
        <v>2.4500000000000002</v>
      </c>
      <c r="AW72" s="413">
        <f t="shared" si="32"/>
        <v>2.450000000000002</v>
      </c>
      <c r="AY72" s="758" t="s">
        <v>676</v>
      </c>
      <c r="AZ72" s="759">
        <v>2.4500000000000002</v>
      </c>
      <c r="BA72" s="970"/>
      <c r="BB72" s="654">
        <f t="shared" si="34"/>
        <v>2.4500000000000002</v>
      </c>
      <c r="BC72" s="970"/>
      <c r="BD72" s="654">
        <f t="shared" si="35"/>
        <v>2.4500000000000002</v>
      </c>
    </row>
    <row r="73" spans="3:56" s="16" customFormat="1" x14ac:dyDescent="0.25">
      <c r="C73" s="758" t="s">
        <v>677</v>
      </c>
      <c r="D73" s="759">
        <v>752</v>
      </c>
      <c r="E73" s="759">
        <v>752</v>
      </c>
      <c r="F73" s="759">
        <v>752</v>
      </c>
      <c r="G73" s="759">
        <v>752</v>
      </c>
      <c r="H73" s="759">
        <v>752</v>
      </c>
      <c r="I73" s="759">
        <v>752</v>
      </c>
      <c r="J73" s="759">
        <v>752</v>
      </c>
      <c r="K73" s="759">
        <v>752</v>
      </c>
      <c r="L73" s="759">
        <v>752</v>
      </c>
      <c r="M73" s="759">
        <v>752</v>
      </c>
      <c r="N73" s="759">
        <v>752</v>
      </c>
      <c r="O73" s="759">
        <v>752</v>
      </c>
      <c r="P73" s="759">
        <v>752</v>
      </c>
      <c r="Q73" s="759">
        <v>752</v>
      </c>
      <c r="R73" s="759">
        <v>752</v>
      </c>
      <c r="S73" s="759">
        <v>752</v>
      </c>
      <c r="T73" s="759">
        <v>752</v>
      </c>
      <c r="U73" s="759">
        <v>752</v>
      </c>
      <c r="V73" s="759">
        <v>752</v>
      </c>
      <c r="W73" s="759">
        <v>752</v>
      </c>
      <c r="X73" s="759">
        <v>752</v>
      </c>
      <c r="Y73" s="759">
        <v>752</v>
      </c>
      <c r="Z73" s="759">
        <v>752</v>
      </c>
      <c r="AA73" s="759">
        <v>752</v>
      </c>
      <c r="AB73" s="759">
        <v>752</v>
      </c>
      <c r="AC73" s="759">
        <v>752</v>
      </c>
      <c r="AD73" s="759">
        <v>752</v>
      </c>
      <c r="AE73" s="759">
        <v>752</v>
      </c>
      <c r="AF73" s="759">
        <v>752</v>
      </c>
      <c r="AG73" s="759">
        <v>752</v>
      </c>
      <c r="AH73" s="759">
        <v>752</v>
      </c>
      <c r="AI73" s="759">
        <v>752</v>
      </c>
      <c r="AJ73" s="759">
        <v>752</v>
      </c>
      <c r="AK73" s="759">
        <v>752</v>
      </c>
      <c r="AL73" s="759">
        <v>752</v>
      </c>
      <c r="AM73" s="759">
        <v>752</v>
      </c>
      <c r="AN73" s="759">
        <v>752</v>
      </c>
      <c r="AO73" s="759">
        <v>752</v>
      </c>
      <c r="AP73" s="759">
        <v>752</v>
      </c>
      <c r="AQ73" s="759">
        <v>752</v>
      </c>
      <c r="AR73" s="759">
        <v>752</v>
      </c>
      <c r="AS73" s="759">
        <v>752</v>
      </c>
      <c r="AT73" s="759">
        <v>752</v>
      </c>
      <c r="AU73" s="759">
        <v>752</v>
      </c>
      <c r="AV73" s="759">
        <v>752</v>
      </c>
      <c r="AW73" s="413">
        <f t="shared" si="32"/>
        <v>752</v>
      </c>
      <c r="AY73" s="758" t="s">
        <v>677</v>
      </c>
      <c r="AZ73" s="759">
        <v>752</v>
      </c>
      <c r="BA73" s="970"/>
      <c r="BB73" s="654">
        <f t="shared" si="34"/>
        <v>752</v>
      </c>
      <c r="BC73" s="970"/>
      <c r="BD73" s="654">
        <f t="shared" si="35"/>
        <v>752</v>
      </c>
    </row>
    <row r="74" spans="3:56" s="16" customFormat="1" x14ac:dyDescent="0.25">
      <c r="C74" s="758" t="s">
        <v>678</v>
      </c>
      <c r="D74" s="616">
        <f>0.75*D69</f>
        <v>42.075000000000003</v>
      </c>
      <c r="E74" s="616">
        <f t="shared" ref="E74:AV74" si="36">0.75*E69</f>
        <v>43.2</v>
      </c>
      <c r="F74" s="616">
        <f t="shared" si="36"/>
        <v>41.775000000000006</v>
      </c>
      <c r="G74" s="616">
        <f t="shared" si="36"/>
        <v>44.962500000000006</v>
      </c>
      <c r="H74" s="616">
        <f t="shared" si="36"/>
        <v>51.427499999999995</v>
      </c>
      <c r="I74" s="616">
        <f t="shared" si="36"/>
        <v>59.775000000000006</v>
      </c>
      <c r="J74" s="616">
        <f t="shared" si="36"/>
        <v>63.757500000000007</v>
      </c>
      <c r="K74" s="616">
        <f t="shared" si="36"/>
        <v>55.064999999999998</v>
      </c>
      <c r="L74" s="616">
        <f t="shared" si="36"/>
        <v>51.1875</v>
      </c>
      <c r="M74" s="616">
        <f t="shared" si="36"/>
        <v>39.9375</v>
      </c>
      <c r="N74" s="616">
        <f t="shared" si="36"/>
        <v>49.094999999999999</v>
      </c>
      <c r="O74" s="616">
        <f t="shared" si="36"/>
        <v>45.697499999999998</v>
      </c>
      <c r="P74" s="616">
        <f t="shared" si="36"/>
        <v>44.775000000000006</v>
      </c>
      <c r="Q74" s="616">
        <f t="shared" si="36"/>
        <v>44.204999999999998</v>
      </c>
      <c r="R74" s="616">
        <f t="shared" si="36"/>
        <v>43.462500000000006</v>
      </c>
      <c r="S74" s="616">
        <f t="shared" si="36"/>
        <v>58.86</v>
      </c>
      <c r="T74" s="616">
        <f t="shared" si="36"/>
        <v>61.882500000000007</v>
      </c>
      <c r="U74" s="616">
        <f t="shared" si="36"/>
        <v>62.699999999999996</v>
      </c>
      <c r="V74" s="616">
        <f t="shared" si="36"/>
        <v>76.612500000000011</v>
      </c>
      <c r="W74" s="616">
        <f t="shared" si="36"/>
        <v>55.935000000000002</v>
      </c>
      <c r="X74" s="616">
        <f t="shared" si="36"/>
        <v>58.837500000000006</v>
      </c>
      <c r="Y74" s="616">
        <f t="shared" si="36"/>
        <v>57.652500000000003</v>
      </c>
      <c r="Z74" s="616">
        <f t="shared" si="36"/>
        <v>61.792500000000004</v>
      </c>
      <c r="AA74" s="616">
        <f t="shared" si="36"/>
        <v>58.41</v>
      </c>
      <c r="AB74" s="616">
        <f t="shared" si="36"/>
        <v>56.542500000000004</v>
      </c>
      <c r="AC74" s="616">
        <f t="shared" si="36"/>
        <v>50.137499999999996</v>
      </c>
      <c r="AD74" s="616">
        <f t="shared" si="36"/>
        <v>48.435000000000002</v>
      </c>
      <c r="AE74" s="616">
        <f t="shared" si="36"/>
        <v>63.727499999999999</v>
      </c>
      <c r="AF74" s="616">
        <f t="shared" si="36"/>
        <v>58.552499999999995</v>
      </c>
      <c r="AG74" s="616">
        <f t="shared" si="36"/>
        <v>53.377499999999998</v>
      </c>
      <c r="AH74" s="616">
        <f t="shared" si="36"/>
        <v>51.172499999999999</v>
      </c>
      <c r="AI74" s="616">
        <f t="shared" si="36"/>
        <v>51.900000000000006</v>
      </c>
      <c r="AJ74" s="616">
        <f t="shared" si="36"/>
        <v>53.37</v>
      </c>
      <c r="AK74" s="616">
        <f t="shared" si="36"/>
        <v>62.175000000000004</v>
      </c>
      <c r="AL74" s="616">
        <f t="shared" si="36"/>
        <v>66.66</v>
      </c>
      <c r="AM74" s="616">
        <f t="shared" si="36"/>
        <v>60.105000000000004</v>
      </c>
      <c r="AN74" s="616">
        <f t="shared" si="36"/>
        <v>67.072500000000005</v>
      </c>
      <c r="AO74" s="616">
        <f t="shared" si="36"/>
        <v>77.085000000000008</v>
      </c>
      <c r="AP74" s="616">
        <f t="shared" si="36"/>
        <v>76.6875</v>
      </c>
      <c r="AQ74" s="616">
        <f t="shared" si="36"/>
        <v>75.239999999999995</v>
      </c>
      <c r="AR74" s="616">
        <f t="shared" si="36"/>
        <v>61.005000000000003</v>
      </c>
      <c r="AS74" s="616">
        <f t="shared" si="36"/>
        <v>68.002499999999998</v>
      </c>
      <c r="AT74" s="616">
        <f t="shared" si="36"/>
        <v>68.894999999999996</v>
      </c>
      <c r="AU74" s="616">
        <f t="shared" si="36"/>
        <v>71.992499999999993</v>
      </c>
      <c r="AV74" s="616">
        <f t="shared" si="36"/>
        <v>71.212500000000006</v>
      </c>
      <c r="AW74" s="413">
        <f t="shared" si="32"/>
        <v>57.476166666666664</v>
      </c>
      <c r="AX74" s="420"/>
      <c r="AY74" s="758" t="s">
        <v>678</v>
      </c>
      <c r="AZ74" s="756">
        <f>0.75*AZ69</f>
        <v>57.476166666666671</v>
      </c>
      <c r="BA74" s="970"/>
      <c r="BB74" s="756">
        <f>0.75*BB69</f>
        <v>57.476166666666671</v>
      </c>
      <c r="BC74" s="970"/>
      <c r="BD74" s="756">
        <f>0.75*BD69</f>
        <v>57.476166666666671</v>
      </c>
    </row>
    <row r="75" spans="3:56" s="16" customFormat="1" x14ac:dyDescent="0.25">
      <c r="C75" s="419"/>
      <c r="D75" s="420"/>
      <c r="E75" s="420"/>
      <c r="F75" s="420"/>
      <c r="G75" s="420"/>
      <c r="H75" s="420"/>
      <c r="I75" s="420"/>
      <c r="J75" s="420"/>
      <c r="K75" s="420"/>
      <c r="L75" s="420"/>
      <c r="M75" s="420"/>
      <c r="N75" s="420"/>
      <c r="O75" s="420"/>
      <c r="P75" s="420"/>
      <c r="Q75" s="420"/>
      <c r="R75" s="420"/>
      <c r="S75" s="420"/>
      <c r="T75" s="420"/>
      <c r="U75" s="420"/>
      <c r="V75" s="420"/>
      <c r="W75" s="420"/>
      <c r="X75" s="420"/>
      <c r="Y75" s="420"/>
      <c r="Z75" s="420"/>
      <c r="AA75" s="420"/>
      <c r="AB75" s="420"/>
      <c r="AC75" s="420"/>
      <c r="AD75" s="420"/>
      <c r="AE75" s="420"/>
      <c r="AF75" s="420"/>
      <c r="AG75" s="420"/>
      <c r="AH75" s="420"/>
      <c r="AI75" s="420"/>
      <c r="AJ75" s="420"/>
      <c r="AK75" s="420"/>
      <c r="AL75" s="420"/>
      <c r="AM75" s="420"/>
      <c r="AN75" s="420"/>
      <c r="AO75" s="420"/>
      <c r="AP75" s="420"/>
      <c r="AQ75" s="420"/>
      <c r="AR75" s="420"/>
      <c r="AS75" s="420"/>
      <c r="AT75" s="420"/>
      <c r="AU75" s="420"/>
      <c r="AV75" s="420"/>
      <c r="AW75" s="421"/>
      <c r="AX75" s="420"/>
      <c r="AY75" s="976"/>
      <c r="AZ75" s="977"/>
      <c r="BA75" s="970"/>
      <c r="BB75" s="760"/>
      <c r="BC75" s="970"/>
      <c r="BD75" s="760"/>
    </row>
    <row r="76" spans="3:56" s="16" customFormat="1" x14ac:dyDescent="0.25">
      <c r="C76" s="411" t="s">
        <v>359</v>
      </c>
      <c r="D76" s="366">
        <f>D7*D22+D23*D8+D9*D24+D25*D10</f>
        <v>4239142866.2833729</v>
      </c>
      <c r="E76" s="366">
        <f t="shared" ref="E76:AV76" si="37">E7*E22+E23*E8+E9*E24+E25*E10</f>
        <v>4301159721.1825075</v>
      </c>
      <c r="F76" s="366">
        <f t="shared" si="37"/>
        <v>5021169917.4008446</v>
      </c>
      <c r="G76" s="366">
        <f t="shared" si="37"/>
        <v>3054801616.6979752</v>
      </c>
      <c r="H76" s="366">
        <f t="shared" si="37"/>
        <v>4633042460.0725937</v>
      </c>
      <c r="I76" s="366">
        <f t="shared" si="37"/>
        <v>5587072830.0543938</v>
      </c>
      <c r="J76" s="366">
        <f t="shared" si="37"/>
        <v>5875004335.3088274</v>
      </c>
      <c r="K76" s="366">
        <f t="shared" si="37"/>
        <v>6850701896.7432289</v>
      </c>
      <c r="L76" s="366">
        <f t="shared" si="37"/>
        <v>6515857455.243269</v>
      </c>
      <c r="M76" s="366">
        <f t="shared" si="37"/>
        <v>5763095622.1676836</v>
      </c>
      <c r="N76" s="366">
        <f t="shared" si="37"/>
        <v>3840898636.5795746</v>
      </c>
      <c r="O76" s="366">
        <f t="shared" si="37"/>
        <v>3890069037.237072</v>
      </c>
      <c r="P76" s="366">
        <f t="shared" si="37"/>
        <v>4625012709.1663952</v>
      </c>
      <c r="Q76" s="366">
        <f t="shared" si="37"/>
        <v>4757128404.0003777</v>
      </c>
      <c r="R76" s="366">
        <f t="shared" si="37"/>
        <v>6173658553.3944559</v>
      </c>
      <c r="S76" s="366">
        <f t="shared" si="37"/>
        <v>6009814715.3051853</v>
      </c>
      <c r="T76" s="366">
        <f t="shared" si="37"/>
        <v>5894784085.4166346</v>
      </c>
      <c r="U76" s="366">
        <f t="shared" si="37"/>
        <v>5125734178.0043755</v>
      </c>
      <c r="V76" s="366">
        <f t="shared" si="37"/>
        <v>6092172071.2914906</v>
      </c>
      <c r="W76" s="366">
        <f t="shared" si="37"/>
        <v>4506710916.0981083</v>
      </c>
      <c r="X76" s="366">
        <f t="shared" si="37"/>
        <v>4795498060.851367</v>
      </c>
      <c r="Y76" s="366">
        <f t="shared" si="37"/>
        <v>4365146507.882618</v>
      </c>
      <c r="Z76" s="366">
        <f t="shared" si="37"/>
        <v>6228512681.9770737</v>
      </c>
      <c r="AA76" s="366">
        <f t="shared" si="37"/>
        <v>7381398914.0333405</v>
      </c>
      <c r="AB76" s="366">
        <f t="shared" si="37"/>
        <v>7484515638.4229488</v>
      </c>
      <c r="AC76" s="366">
        <f t="shared" si="37"/>
        <v>5960231507.7505493</v>
      </c>
      <c r="AD76" s="366">
        <f t="shared" si="37"/>
        <v>4159272433.255105</v>
      </c>
      <c r="AE76" s="366">
        <f t="shared" si="37"/>
        <v>2688413052.4946795</v>
      </c>
      <c r="AF76" s="366">
        <f t="shared" si="37"/>
        <v>3826723475.9572582</v>
      </c>
      <c r="AG76" s="366">
        <f t="shared" si="37"/>
        <v>5907839714.7544708</v>
      </c>
      <c r="AH76" s="366">
        <f t="shared" si="37"/>
        <v>5727694253.3757019</v>
      </c>
      <c r="AI76" s="366">
        <f t="shared" si="37"/>
        <v>5429836383.9554672</v>
      </c>
      <c r="AJ76" s="366">
        <f t="shared" si="37"/>
        <v>5126117588.5345411</v>
      </c>
      <c r="AK76" s="366">
        <f t="shared" si="37"/>
        <v>4857741860.4496737</v>
      </c>
      <c r="AL76" s="366">
        <f t="shared" si="37"/>
        <v>5045252557.6456213</v>
      </c>
      <c r="AM76" s="366">
        <f t="shared" si="37"/>
        <v>4392136507.5925207</v>
      </c>
      <c r="AN76" s="366">
        <f t="shared" si="37"/>
        <v>6575503612.8208466</v>
      </c>
      <c r="AO76" s="366">
        <f t="shared" si="37"/>
        <v>6588989001.0217028</v>
      </c>
      <c r="AP76" s="366">
        <f t="shared" si="37"/>
        <v>8450847610.0387688</v>
      </c>
      <c r="AQ76" s="366">
        <f t="shared" si="37"/>
        <v>6511403874.0941448</v>
      </c>
      <c r="AR76" s="366">
        <f t="shared" si="37"/>
        <v>5264073995.9744415</v>
      </c>
      <c r="AS76" s="366">
        <f t="shared" si="37"/>
        <v>7322343978.4688549</v>
      </c>
      <c r="AT76" s="366">
        <f t="shared" si="37"/>
        <v>6512998037.2601337</v>
      </c>
      <c r="AU76" s="366">
        <f t="shared" si="37"/>
        <v>7971989811.2033796</v>
      </c>
      <c r="AV76" s="366">
        <f t="shared" si="37"/>
        <v>9104120978.3413754</v>
      </c>
      <c r="AW76" s="412">
        <f t="shared" si="32"/>
        <v>5565236312.5734425</v>
      </c>
      <c r="AY76" s="365" t="str">
        <f t="shared" ref="AY76:AY84" si="38">C76</f>
        <v>Total Feed cost</v>
      </c>
      <c r="AZ76" s="772">
        <f>AZ7*AZ22+AZ23*AZ8+AZ9*AZ24+AZ25*AZ10</f>
        <v>84263268150</v>
      </c>
      <c r="BA76" s="970"/>
      <c r="BB76" s="772">
        <f>BB7*BB22+BB23*BB8+BB9*BB24+BB25*BB10</f>
        <v>105273868380</v>
      </c>
      <c r="BC76" s="970"/>
      <c r="BD76" s="366">
        <f>BD7*BD22+BD23*BD8+BD9*BD24+BD25*BD10</f>
        <v>94127775000</v>
      </c>
    </row>
    <row r="77" spans="3:56" s="16" customFormat="1" x14ac:dyDescent="0.25">
      <c r="C77" s="411" t="s">
        <v>361</v>
      </c>
      <c r="D77" s="777">
        <f>D22*D7</f>
        <v>682132570.65921235</v>
      </c>
      <c r="E77" s="777">
        <f t="shared" ref="E77:AV77" si="39">E22*E7</f>
        <v>830189591.02167332</v>
      </c>
      <c r="F77" s="777">
        <f t="shared" si="39"/>
        <v>1335991000.0487301</v>
      </c>
      <c r="G77" s="777">
        <f t="shared" si="39"/>
        <v>546561113.24481905</v>
      </c>
      <c r="H77" s="777">
        <f t="shared" si="39"/>
        <v>534738148.8251906</v>
      </c>
      <c r="I77" s="777">
        <f t="shared" si="39"/>
        <v>1555301846.6413567</v>
      </c>
      <c r="J77" s="777">
        <f t="shared" si="39"/>
        <v>1795366490.2890148</v>
      </c>
      <c r="K77" s="777">
        <f t="shared" si="39"/>
        <v>1778523752.7414637</v>
      </c>
      <c r="L77" s="777">
        <f t="shared" si="39"/>
        <v>1990351739.9826233</v>
      </c>
      <c r="M77" s="777">
        <f t="shared" si="39"/>
        <v>1015734297.8223163</v>
      </c>
      <c r="N77" s="777">
        <f t="shared" si="39"/>
        <v>749982228.34344077</v>
      </c>
      <c r="O77" s="777">
        <f t="shared" si="39"/>
        <v>1066704076.8284609</v>
      </c>
      <c r="P77" s="777">
        <f t="shared" si="39"/>
        <v>1081563292.8639059</v>
      </c>
      <c r="Q77" s="777">
        <f t="shared" si="39"/>
        <v>1051803135.7127048</v>
      </c>
      <c r="R77" s="777">
        <f t="shared" si="39"/>
        <v>1226240913.3124781</v>
      </c>
      <c r="S77" s="777">
        <f t="shared" si="39"/>
        <v>1394518041.1577291</v>
      </c>
      <c r="T77" s="777">
        <f t="shared" si="39"/>
        <v>1312398676.9283323</v>
      </c>
      <c r="U77" s="777">
        <f t="shared" si="39"/>
        <v>1329027434.9892976</v>
      </c>
      <c r="V77" s="777">
        <f t="shared" si="39"/>
        <v>1364894563.805609</v>
      </c>
      <c r="W77" s="777">
        <f t="shared" si="39"/>
        <v>1085752900.783196</v>
      </c>
      <c r="X77" s="777">
        <f t="shared" si="39"/>
        <v>1056455295.3181601</v>
      </c>
      <c r="Y77" s="777">
        <f t="shared" si="39"/>
        <v>1041959739.3840672</v>
      </c>
      <c r="Z77" s="777">
        <f t="shared" si="39"/>
        <v>1073800562.5444434</v>
      </c>
      <c r="AA77" s="777">
        <f t="shared" si="39"/>
        <v>1268178240.24716</v>
      </c>
      <c r="AB77" s="777">
        <f t="shared" si="39"/>
        <v>1148180888.233562</v>
      </c>
      <c r="AC77" s="777">
        <f t="shared" si="39"/>
        <v>1201424102.5170641</v>
      </c>
      <c r="AD77" s="777">
        <f t="shared" si="39"/>
        <v>956369323.69486606</v>
      </c>
      <c r="AE77" s="777">
        <f t="shared" si="39"/>
        <v>411982477.93965584</v>
      </c>
      <c r="AF77" s="777">
        <f t="shared" si="39"/>
        <v>502728077.5876925</v>
      </c>
      <c r="AG77" s="777">
        <f t="shared" si="39"/>
        <v>905382492.6171689</v>
      </c>
      <c r="AH77" s="777">
        <f t="shared" si="39"/>
        <v>1043002446.5751526</v>
      </c>
      <c r="AI77" s="777">
        <f t="shared" si="39"/>
        <v>1019501987.7934065</v>
      </c>
      <c r="AJ77" s="777">
        <f t="shared" si="39"/>
        <v>984736847.30721498</v>
      </c>
      <c r="AK77" s="777">
        <f t="shared" si="39"/>
        <v>754833070.58819973</v>
      </c>
      <c r="AL77" s="777">
        <f t="shared" si="39"/>
        <v>892883251.16036749</v>
      </c>
      <c r="AM77" s="777">
        <f t="shared" si="39"/>
        <v>887974068.98662102</v>
      </c>
      <c r="AN77" s="777">
        <f t="shared" si="39"/>
        <v>835416637.29508519</v>
      </c>
      <c r="AO77" s="777">
        <f t="shared" si="39"/>
        <v>849229796.47025406</v>
      </c>
      <c r="AP77" s="777">
        <f t="shared" si="39"/>
        <v>942477410.52440012</v>
      </c>
      <c r="AQ77" s="777">
        <f t="shared" si="39"/>
        <v>873108585.81732881</v>
      </c>
      <c r="AR77" s="777">
        <f t="shared" si="39"/>
        <v>916136729.11048377</v>
      </c>
      <c r="AS77" s="777">
        <f t="shared" si="39"/>
        <v>880435972.36466229</v>
      </c>
      <c r="AT77" s="777">
        <f t="shared" si="39"/>
        <v>821993677.99415767</v>
      </c>
      <c r="AU77" s="777">
        <f t="shared" si="39"/>
        <v>857646507.21227169</v>
      </c>
      <c r="AV77" s="777">
        <f t="shared" si="39"/>
        <v>811402959.13711214</v>
      </c>
      <c r="AW77" s="412">
        <f t="shared" si="32"/>
        <v>1037000376.9871581</v>
      </c>
      <c r="AY77" s="365" t="str">
        <f t="shared" si="38"/>
        <v>C2 cost</v>
      </c>
      <c r="AZ77" s="773">
        <f>AZ22*AZ7</f>
        <v>31062618149.999996</v>
      </c>
      <c r="BA77" s="970"/>
      <c r="BB77" s="773">
        <f>BB22*BB7</f>
        <v>16384618380</v>
      </c>
      <c r="BC77" s="970"/>
      <c r="BD77" s="777">
        <f>BD22*BD7</f>
        <v>17683200000</v>
      </c>
    </row>
    <row r="78" spans="3:56" s="16" customFormat="1" x14ac:dyDescent="0.25">
      <c r="C78" s="411" t="s">
        <v>362</v>
      </c>
      <c r="D78" s="777">
        <f>D23*D8</f>
        <v>721252958.811584</v>
      </c>
      <c r="E78" s="777">
        <f t="shared" ref="E78:AV78" si="40">E23*E8</f>
        <v>489570506.64459997</v>
      </c>
      <c r="F78" s="777">
        <f t="shared" si="40"/>
        <v>677784016.6839999</v>
      </c>
      <c r="G78" s="777">
        <f t="shared" si="40"/>
        <v>528970034.24434</v>
      </c>
      <c r="H78" s="777">
        <f t="shared" si="40"/>
        <v>595701627.65960002</v>
      </c>
      <c r="I78" s="777">
        <f t="shared" si="40"/>
        <v>763770165.52900004</v>
      </c>
      <c r="J78" s="777">
        <f t="shared" si="40"/>
        <v>791706690.01859999</v>
      </c>
      <c r="K78" s="777">
        <f t="shared" si="40"/>
        <v>816398430.02570033</v>
      </c>
      <c r="L78" s="777">
        <f t="shared" si="40"/>
        <v>783686409.14895129</v>
      </c>
      <c r="M78" s="777">
        <f t="shared" si="40"/>
        <v>753751955.89178622</v>
      </c>
      <c r="N78" s="777">
        <f t="shared" si="40"/>
        <v>608813908.68929577</v>
      </c>
      <c r="O78" s="777">
        <f t="shared" si="40"/>
        <v>457003646.94898933</v>
      </c>
      <c r="P78" s="777">
        <f t="shared" si="40"/>
        <v>479647601.10600901</v>
      </c>
      <c r="Q78" s="777">
        <f t="shared" si="40"/>
        <v>532723879.50538367</v>
      </c>
      <c r="R78" s="777">
        <f t="shared" si="40"/>
        <v>701764132.89359117</v>
      </c>
      <c r="S78" s="777">
        <f t="shared" si="40"/>
        <v>718085132.52290571</v>
      </c>
      <c r="T78" s="777">
        <f t="shared" si="40"/>
        <v>707189317.78154075</v>
      </c>
      <c r="U78" s="777">
        <f t="shared" si="40"/>
        <v>607593578.60858846</v>
      </c>
      <c r="V78" s="777">
        <f t="shared" si="40"/>
        <v>490907968.17710477</v>
      </c>
      <c r="W78" s="777">
        <f t="shared" si="40"/>
        <v>426543245.1459623</v>
      </c>
      <c r="X78" s="777">
        <f t="shared" si="40"/>
        <v>444700617.66073036</v>
      </c>
      <c r="Y78" s="777">
        <f t="shared" si="40"/>
        <v>522575800.78216469</v>
      </c>
      <c r="Z78" s="777">
        <f t="shared" si="40"/>
        <v>548183160.06143475</v>
      </c>
      <c r="AA78" s="777">
        <f t="shared" si="40"/>
        <v>643581980.84531581</v>
      </c>
      <c r="AB78" s="777">
        <f t="shared" si="40"/>
        <v>642571897.99701309</v>
      </c>
      <c r="AC78" s="777">
        <f t="shared" si="40"/>
        <v>622145149.47651601</v>
      </c>
      <c r="AD78" s="777">
        <f t="shared" si="40"/>
        <v>535777165.68038589</v>
      </c>
      <c r="AE78" s="777">
        <f t="shared" si="40"/>
        <v>136032864.82303888</v>
      </c>
      <c r="AF78" s="777">
        <f t="shared" si="40"/>
        <v>213511012.47531998</v>
      </c>
      <c r="AG78" s="777">
        <f t="shared" si="40"/>
        <v>375401773.68279141</v>
      </c>
      <c r="AH78" s="777">
        <f t="shared" si="40"/>
        <v>541103237.87012947</v>
      </c>
      <c r="AI78" s="777">
        <f t="shared" si="40"/>
        <v>531439004.61890721</v>
      </c>
      <c r="AJ78" s="777">
        <f t="shared" si="40"/>
        <v>484973124.41100365</v>
      </c>
      <c r="AK78" s="777">
        <f t="shared" si="40"/>
        <v>462224347.13748163</v>
      </c>
      <c r="AL78" s="777">
        <f t="shared" si="40"/>
        <v>532153793.76262563</v>
      </c>
      <c r="AM78" s="777">
        <f t="shared" si="40"/>
        <v>280088576.69979489</v>
      </c>
      <c r="AN78" s="777">
        <f t="shared" si="40"/>
        <v>603808690.80808818</v>
      </c>
      <c r="AO78" s="777">
        <f t="shared" si="40"/>
        <v>628458328.36715281</v>
      </c>
      <c r="AP78" s="777">
        <f t="shared" si="40"/>
        <v>908726353.42133892</v>
      </c>
      <c r="AQ78" s="777">
        <f t="shared" si="40"/>
        <v>766866747.30599558</v>
      </c>
      <c r="AR78" s="777">
        <f t="shared" si="40"/>
        <v>491476260.06895494</v>
      </c>
      <c r="AS78" s="777">
        <f t="shared" si="40"/>
        <v>744653857.47559309</v>
      </c>
      <c r="AT78" s="777">
        <f t="shared" si="40"/>
        <v>807373023.1902926</v>
      </c>
      <c r="AU78" s="777">
        <f t="shared" si="40"/>
        <v>931815806.41784358</v>
      </c>
      <c r="AV78" s="777">
        <f t="shared" si="40"/>
        <v>920740867.15845072</v>
      </c>
      <c r="AW78" s="412">
        <f t="shared" si="32"/>
        <v>599405525.51635313</v>
      </c>
      <c r="AY78" s="365" t="str">
        <f t="shared" si="38"/>
        <v>C3 Cost</v>
      </c>
      <c r="AZ78" s="773">
        <f>AZ23*AZ8</f>
        <v>8434125000</v>
      </c>
      <c r="BA78" s="970"/>
      <c r="BB78" s="773">
        <f>BB23*BB8</f>
        <v>23994225000</v>
      </c>
      <c r="BC78" s="970"/>
      <c r="BD78" s="777">
        <f>BD23*BD8</f>
        <v>10017675000</v>
      </c>
    </row>
    <row r="79" spans="3:56" x14ac:dyDescent="0.25">
      <c r="C79" s="411" t="s">
        <v>363</v>
      </c>
      <c r="D79" s="778">
        <f>D9*D24</f>
        <v>394357589.17859995</v>
      </c>
      <c r="E79" s="778">
        <f t="shared" ref="E79:AV79" si="41">E9*E24</f>
        <v>242936391.62669998</v>
      </c>
      <c r="F79" s="778">
        <f t="shared" si="41"/>
        <v>352432450.11260003</v>
      </c>
      <c r="G79" s="778">
        <f t="shared" si="41"/>
        <v>250333381.89100003</v>
      </c>
      <c r="H79" s="778">
        <f t="shared" si="41"/>
        <v>302929223.40649998</v>
      </c>
      <c r="I79" s="778">
        <f t="shared" si="41"/>
        <v>429120886.90330005</v>
      </c>
      <c r="J79" s="778">
        <f t="shared" si="41"/>
        <v>479126014.11720002</v>
      </c>
      <c r="K79" s="778">
        <f t="shared" si="41"/>
        <v>447148622.1717</v>
      </c>
      <c r="L79" s="778">
        <f t="shared" si="41"/>
        <v>475779727.14064193</v>
      </c>
      <c r="M79" s="778">
        <f t="shared" si="41"/>
        <v>402462809.93088341</v>
      </c>
      <c r="N79" s="778">
        <f t="shared" si="41"/>
        <v>272810999.26637816</v>
      </c>
      <c r="O79" s="778">
        <f t="shared" si="41"/>
        <v>269688892.61874002</v>
      </c>
      <c r="P79" s="778">
        <f t="shared" si="41"/>
        <v>305077767.37121308</v>
      </c>
      <c r="Q79" s="778">
        <f t="shared" si="41"/>
        <v>348882021.34036458</v>
      </c>
      <c r="R79" s="778">
        <f t="shared" si="41"/>
        <v>432742900.38549674</v>
      </c>
      <c r="S79" s="778">
        <f t="shared" si="41"/>
        <v>438532836.74015409</v>
      </c>
      <c r="T79" s="778">
        <f t="shared" si="41"/>
        <v>370421756.05168527</v>
      </c>
      <c r="U79" s="778">
        <f t="shared" si="41"/>
        <v>351297918.15383828</v>
      </c>
      <c r="V79" s="778">
        <f t="shared" si="41"/>
        <v>297845688.19542563</v>
      </c>
      <c r="W79" s="778">
        <f t="shared" si="41"/>
        <v>261747833.89884058</v>
      </c>
      <c r="X79" s="778">
        <f t="shared" si="41"/>
        <v>288076099.59875441</v>
      </c>
      <c r="Y79" s="778">
        <f t="shared" si="41"/>
        <v>332979495.80178535</v>
      </c>
      <c r="Z79" s="778">
        <f t="shared" si="41"/>
        <v>365088968.18061918</v>
      </c>
      <c r="AA79" s="778">
        <f t="shared" si="41"/>
        <v>414532556.86651665</v>
      </c>
      <c r="AB79" s="778">
        <f t="shared" si="41"/>
        <v>363566085.84540647</v>
      </c>
      <c r="AC79" s="778">
        <f t="shared" si="41"/>
        <v>363647274.23281032</v>
      </c>
      <c r="AD79" s="778">
        <f t="shared" si="41"/>
        <v>352641243.64768952</v>
      </c>
      <c r="AE79" s="778">
        <f t="shared" si="41"/>
        <v>20751350.436046515</v>
      </c>
      <c r="AF79" s="778">
        <f t="shared" si="41"/>
        <v>53189092.3455</v>
      </c>
      <c r="AG79" s="778">
        <f t="shared" si="41"/>
        <v>182463639.75784567</v>
      </c>
      <c r="AH79" s="778">
        <f t="shared" si="41"/>
        <v>314735230.10582167</v>
      </c>
      <c r="AI79" s="778">
        <f t="shared" si="41"/>
        <v>297622853.06323767</v>
      </c>
      <c r="AJ79" s="778">
        <f t="shared" si="41"/>
        <v>309687282.02332956</v>
      </c>
      <c r="AK79" s="778">
        <f t="shared" si="41"/>
        <v>333580250.0383082</v>
      </c>
      <c r="AL79" s="778">
        <f t="shared" si="41"/>
        <v>334418691.93670815</v>
      </c>
      <c r="AM79" s="778">
        <f t="shared" si="41"/>
        <v>146862399.59736627</v>
      </c>
      <c r="AN79" s="778">
        <f t="shared" si="41"/>
        <v>381964885.76120806</v>
      </c>
      <c r="AO79" s="778">
        <f t="shared" si="41"/>
        <v>304796846.25869286</v>
      </c>
      <c r="AP79" s="778">
        <f t="shared" si="41"/>
        <v>543282770.84524918</v>
      </c>
      <c r="AQ79" s="778">
        <f t="shared" si="41"/>
        <v>361454687.10376692</v>
      </c>
      <c r="AR79" s="778">
        <f t="shared" si="41"/>
        <v>300787204.4061197</v>
      </c>
      <c r="AS79" s="778">
        <f t="shared" si="41"/>
        <v>439948269.12593663</v>
      </c>
      <c r="AT79" s="778">
        <f t="shared" si="41"/>
        <v>536873213.37640285</v>
      </c>
      <c r="AU79" s="778">
        <f t="shared" si="41"/>
        <v>482168214.45416284</v>
      </c>
      <c r="AV79" s="778">
        <f t="shared" si="41"/>
        <v>614519638.88758898</v>
      </c>
      <c r="AW79" s="412">
        <f t="shared" si="32"/>
        <v>345895865.64884752</v>
      </c>
      <c r="AX79" s="9"/>
      <c r="AY79" s="365" t="str">
        <f t="shared" si="38"/>
        <v>C4 cost</v>
      </c>
      <c r="AZ79" s="774">
        <f>AZ9*AZ24</f>
        <v>4845000000</v>
      </c>
      <c r="BA79" s="970"/>
      <c r="BB79" s="774">
        <f>BB9*BB24</f>
        <v>4845000000</v>
      </c>
      <c r="BC79" s="970"/>
      <c r="BD79" s="778">
        <f>BD9*BD24</f>
        <v>6376875000</v>
      </c>
    </row>
    <row r="80" spans="3:56" x14ac:dyDescent="0.25">
      <c r="C80" s="411" t="s">
        <v>360</v>
      </c>
      <c r="D80" s="778">
        <f>D10*D25</f>
        <v>2441399747.6339765</v>
      </c>
      <c r="E80" s="778">
        <f t="shared" ref="E80:AV80" si="42">E10*E25</f>
        <v>2738463231.889534</v>
      </c>
      <c r="F80" s="778">
        <f t="shared" si="42"/>
        <v>2654962450.5555143</v>
      </c>
      <c r="G80" s="778">
        <f t="shared" si="42"/>
        <v>1728937087.317816</v>
      </c>
      <c r="H80" s="778">
        <f t="shared" si="42"/>
        <v>3199673460.1813035</v>
      </c>
      <c r="I80" s="778">
        <f t="shared" si="42"/>
        <v>2838879930.9807372</v>
      </c>
      <c r="J80" s="778">
        <f t="shared" si="42"/>
        <v>2808805140.8840127</v>
      </c>
      <c r="K80" s="778">
        <f t="shared" si="42"/>
        <v>3808631091.8043652</v>
      </c>
      <c r="L80" s="778">
        <f t="shared" si="42"/>
        <v>3266039578.9710517</v>
      </c>
      <c r="M80" s="778">
        <f t="shared" si="42"/>
        <v>3591146558.5226974</v>
      </c>
      <c r="N80" s="778">
        <f t="shared" si="42"/>
        <v>2209291500.2804599</v>
      </c>
      <c r="O80" s="778">
        <f t="shared" si="42"/>
        <v>2096672420.8408816</v>
      </c>
      <c r="P80" s="778">
        <f t="shared" si="42"/>
        <v>2758724047.8252678</v>
      </c>
      <c r="Q80" s="778">
        <f t="shared" si="42"/>
        <v>2823719367.4419246</v>
      </c>
      <c r="R80" s="778">
        <f t="shared" si="42"/>
        <v>3812910606.8028898</v>
      </c>
      <c r="S80" s="778">
        <f t="shared" si="42"/>
        <v>3458678704.8843966</v>
      </c>
      <c r="T80" s="778">
        <f t="shared" si="42"/>
        <v>3504774334.655076</v>
      </c>
      <c r="U80" s="778">
        <f t="shared" si="42"/>
        <v>2837815246.2526517</v>
      </c>
      <c r="V80" s="778">
        <f t="shared" si="42"/>
        <v>3938523851.1133509</v>
      </c>
      <c r="W80" s="778">
        <f t="shared" si="42"/>
        <v>2732666936.2701092</v>
      </c>
      <c r="X80" s="778">
        <f t="shared" si="42"/>
        <v>3006266048.2737222</v>
      </c>
      <c r="Y80" s="778">
        <f t="shared" si="42"/>
        <v>2467631471.9146008</v>
      </c>
      <c r="Z80" s="778">
        <f t="shared" si="42"/>
        <v>4241439991.1905761</v>
      </c>
      <c r="AA80" s="778">
        <f t="shared" si="42"/>
        <v>5055106136.0743475</v>
      </c>
      <c r="AB80" s="778">
        <f t="shared" si="42"/>
        <v>5330196766.3469677</v>
      </c>
      <c r="AC80" s="778">
        <f t="shared" si="42"/>
        <v>3773014981.524159</v>
      </c>
      <c r="AD80" s="778">
        <f t="shared" si="42"/>
        <v>2314484700.2321634</v>
      </c>
      <c r="AE80" s="778">
        <f t="shared" si="42"/>
        <v>2119646359.2959385</v>
      </c>
      <c r="AF80" s="778">
        <f t="shared" si="42"/>
        <v>3057295293.5487456</v>
      </c>
      <c r="AG80" s="778">
        <f t="shared" si="42"/>
        <v>4444591808.6966648</v>
      </c>
      <c r="AH80" s="778">
        <f t="shared" si="42"/>
        <v>3828853338.8245978</v>
      </c>
      <c r="AI80" s="778">
        <f t="shared" si="42"/>
        <v>3581272538.4799156</v>
      </c>
      <c r="AJ80" s="778">
        <f t="shared" si="42"/>
        <v>3346720334.7929931</v>
      </c>
      <c r="AK80" s="778">
        <f t="shared" si="42"/>
        <v>3307104192.6856842</v>
      </c>
      <c r="AL80" s="778">
        <f t="shared" si="42"/>
        <v>3285796820.7859201</v>
      </c>
      <c r="AM80" s="778">
        <f t="shared" si="42"/>
        <v>3077211462.3087382</v>
      </c>
      <c r="AN80" s="778">
        <f t="shared" si="42"/>
        <v>4754313398.9564648</v>
      </c>
      <c r="AO80" s="778">
        <f t="shared" si="42"/>
        <v>4806504029.9256029</v>
      </c>
      <c r="AP80" s="778">
        <f t="shared" si="42"/>
        <v>6056361075.2477808</v>
      </c>
      <c r="AQ80" s="778">
        <f t="shared" si="42"/>
        <v>4509973853.867053</v>
      </c>
      <c r="AR80" s="778">
        <f t="shared" si="42"/>
        <v>3555673802.3888831</v>
      </c>
      <c r="AS80" s="778">
        <f t="shared" si="42"/>
        <v>5257305879.5026636</v>
      </c>
      <c r="AT80" s="778">
        <f t="shared" si="42"/>
        <v>4346758122.6992807</v>
      </c>
      <c r="AU80" s="778">
        <f t="shared" si="42"/>
        <v>5700359283.1191015</v>
      </c>
      <c r="AV80" s="778">
        <f t="shared" si="42"/>
        <v>6757457513.1582241</v>
      </c>
      <c r="AW80" s="412">
        <f t="shared" si="32"/>
        <v>3582934544.4210849</v>
      </c>
      <c r="AX80" s="9"/>
      <c r="AY80" s="365" t="str">
        <f t="shared" si="38"/>
        <v>Naphtha Cost</v>
      </c>
      <c r="AZ80" s="774">
        <f>AZ10*AZ25</f>
        <v>39921525000</v>
      </c>
      <c r="BA80" s="970"/>
      <c r="BB80" s="774">
        <f>BB10*BB25</f>
        <v>60050025000</v>
      </c>
      <c r="BC80" s="970"/>
      <c r="BD80" s="778">
        <f>BD10*BD25</f>
        <v>60050025000</v>
      </c>
    </row>
    <row r="81" spans="2:57" x14ac:dyDescent="0.25">
      <c r="C81" s="411" t="s">
        <v>364</v>
      </c>
      <c r="D81" s="778">
        <f>D77*$D$2+D78*$E$2+D79*$F$2+D80*$G$2</f>
        <v>2899093051.8745003</v>
      </c>
      <c r="E81" s="778">
        <f t="shared" ref="E81:AV81" si="43">E77*$D$2+E78*$E$2+E79*$F$2+E80*$G$2</f>
        <v>2990755638.5119042</v>
      </c>
      <c r="F81" s="778">
        <f t="shared" si="43"/>
        <v>3625452415.949832</v>
      </c>
      <c r="G81" s="778">
        <f t="shared" si="43"/>
        <v>2110994046.6514425</v>
      </c>
      <c r="H81" s="778">
        <f t="shared" si="43"/>
        <v>3091034341.8068933</v>
      </c>
      <c r="I81" s="778">
        <f t="shared" si="43"/>
        <v>4057749069.642283</v>
      </c>
      <c r="J81" s="778">
        <f t="shared" si="43"/>
        <v>4323469889.5312252</v>
      </c>
      <c r="K81" s="778">
        <f t="shared" si="43"/>
        <v>4928215957.9792929</v>
      </c>
      <c r="L81" s="778">
        <f t="shared" si="43"/>
        <v>4794112589.3279839</v>
      </c>
      <c r="M81" s="778">
        <f t="shared" si="43"/>
        <v>3971915454.2875042</v>
      </c>
      <c r="N81" s="778">
        <f t="shared" si="43"/>
        <v>2677082775.1379547</v>
      </c>
      <c r="O81" s="778">
        <f t="shared" si="43"/>
        <v>2818170414.9974651</v>
      </c>
      <c r="P81" s="778">
        <f t="shared" si="43"/>
        <v>3281194886.7272139</v>
      </c>
      <c r="Q81" s="778">
        <f t="shared" si="43"/>
        <v>3352575229.9107246</v>
      </c>
      <c r="R81" s="778">
        <f t="shared" si="43"/>
        <v>4301585347.4416389</v>
      </c>
      <c r="S81" s="778">
        <f t="shared" si="43"/>
        <v>4260948967.1375623</v>
      </c>
      <c r="T81" s="778">
        <f t="shared" si="43"/>
        <v>4161979764.2973766</v>
      </c>
      <c r="U81" s="778">
        <f t="shared" si="43"/>
        <v>3685850993.3885212</v>
      </c>
      <c r="V81" s="778">
        <f t="shared" si="43"/>
        <v>4300262703.6081467</v>
      </c>
      <c r="W81" s="778">
        <f t="shared" si="43"/>
        <v>3209097169.5542874</v>
      </c>
      <c r="X81" s="778">
        <f t="shared" si="43"/>
        <v>3377993327.8330345</v>
      </c>
      <c r="Y81" s="778">
        <f t="shared" si="43"/>
        <v>3104853861.5375786</v>
      </c>
      <c r="Z81" s="778">
        <f t="shared" si="43"/>
        <v>4278197699.8883877</v>
      </c>
      <c r="AA81" s="778">
        <f t="shared" si="43"/>
        <v>5069099398.9690285</v>
      </c>
      <c r="AB81" s="778">
        <f t="shared" si="43"/>
        <v>5091973619.697279</v>
      </c>
      <c r="AC81" s="778">
        <f t="shared" si="43"/>
        <v>4159857597.1727209</v>
      </c>
      <c r="AD81" s="778">
        <f t="shared" si="43"/>
        <v>2944822805.5199561</v>
      </c>
      <c r="AE81" s="778">
        <f t="shared" si="43"/>
        <v>1830622358.2132757</v>
      </c>
      <c r="AF81" s="778">
        <f t="shared" si="43"/>
        <v>2574856818.1092992</v>
      </c>
      <c r="AG81" s="778">
        <f t="shared" si="43"/>
        <v>4019258637.4207182</v>
      </c>
      <c r="AH81" s="778">
        <f t="shared" si="43"/>
        <v>3956601967.4329882</v>
      </c>
      <c r="AI81" s="778">
        <f t="shared" si="43"/>
        <v>3762690332.5150757</v>
      </c>
      <c r="AJ81" s="778">
        <f t="shared" si="43"/>
        <v>3558484630.4393926</v>
      </c>
      <c r="AK81" s="778">
        <f t="shared" si="43"/>
        <v>3305522529.6663771</v>
      </c>
      <c r="AL81" s="778">
        <f t="shared" si="43"/>
        <v>3475057356.9716511</v>
      </c>
      <c r="AM81" s="778">
        <f t="shared" si="43"/>
        <v>3065867518.1772513</v>
      </c>
      <c r="AN81" s="778">
        <f t="shared" si="43"/>
        <v>4408931092.4858627</v>
      </c>
      <c r="AO81" s="778">
        <f t="shared" si="43"/>
        <v>4426655487.1924133</v>
      </c>
      <c r="AP81" s="778">
        <f t="shared" si="43"/>
        <v>5620664488.2197189</v>
      </c>
      <c r="AQ81" s="778">
        <f t="shared" si="43"/>
        <v>4389032501.6851454</v>
      </c>
      <c r="AR81" s="778">
        <f t="shared" si="43"/>
        <v>3620173176.6315689</v>
      </c>
      <c r="AS81" s="778">
        <f t="shared" si="43"/>
        <v>4893290241.1162701</v>
      </c>
      <c r="AT81" s="778">
        <f t="shared" si="43"/>
        <v>4364898957.7447214</v>
      </c>
      <c r="AU81" s="778">
        <f t="shared" si="43"/>
        <v>5294579206.8006392</v>
      </c>
      <c r="AV81" s="778">
        <f t="shared" si="43"/>
        <v>5977638007.6293058</v>
      </c>
      <c r="AW81" s="412">
        <f t="shared" si="32"/>
        <v>3853625873.9296308</v>
      </c>
      <c r="AX81" s="9"/>
      <c r="AY81" s="365" t="str">
        <f t="shared" si="38"/>
        <v>Feed Cost on Ethylene</v>
      </c>
      <c r="AZ81" s="774">
        <f>AZ77*$D$2+AZ78*$E$2+AZ79*$F$2+AZ80*$G$2</f>
        <v>63938110528.027893</v>
      </c>
      <c r="BA81" s="970"/>
      <c r="BB81" s="774">
        <f>BB77*$D$2+BB78*$E$2+BB79*$F$2+BB80*$G$2</f>
        <v>72217952173.863571</v>
      </c>
      <c r="BC81" s="970"/>
      <c r="BD81" s="778">
        <f>BD77*$D$2+BD78*$E$2+BD79*$F$2+BD80*$G$2</f>
        <v>65203173232.176826</v>
      </c>
    </row>
    <row r="82" spans="2:57" x14ac:dyDescent="0.25">
      <c r="C82" s="411" t="s">
        <v>365</v>
      </c>
      <c r="D82" s="778">
        <f>$D$3*D77+D78*$E$3+D79*$F$3+D80*$G$3</f>
        <v>1340049814.4088726</v>
      </c>
      <c r="E82" s="778">
        <f t="shared" ref="E82:AV82" si="44">$D$3*E77+E78*$E$3+E79*$F$3+E80*$G$3</f>
        <v>1310404082.6706033</v>
      </c>
      <c r="F82" s="778">
        <f t="shared" si="44"/>
        <v>1395717501.4510126</v>
      </c>
      <c r="G82" s="778">
        <f t="shared" si="44"/>
        <v>943807570.04653263</v>
      </c>
      <c r="H82" s="778">
        <f t="shared" si="44"/>
        <v>1542008118.2657011</v>
      </c>
      <c r="I82" s="778">
        <f t="shared" si="44"/>
        <v>1529323760.4121113</v>
      </c>
      <c r="J82" s="778">
        <f t="shared" si="44"/>
        <v>1551534445.7776024</v>
      </c>
      <c r="K82" s="778">
        <f t="shared" si="44"/>
        <v>1922485938.763936</v>
      </c>
      <c r="L82" s="778">
        <f t="shared" si="44"/>
        <v>1721744865.9152846</v>
      </c>
      <c r="M82" s="778">
        <f t="shared" si="44"/>
        <v>1791180167.8801789</v>
      </c>
      <c r="N82" s="778">
        <f t="shared" si="44"/>
        <v>1163815861.4416201</v>
      </c>
      <c r="O82" s="778">
        <f t="shared" si="44"/>
        <v>1071898622.2396065</v>
      </c>
      <c r="P82" s="778">
        <f t="shared" si="44"/>
        <v>1343817822.4391818</v>
      </c>
      <c r="Q82" s="778">
        <f t="shared" si="44"/>
        <v>1404553174.0896533</v>
      </c>
      <c r="R82" s="778">
        <f t="shared" si="44"/>
        <v>1872073205.9528165</v>
      </c>
      <c r="S82" s="778">
        <f t="shared" si="44"/>
        <v>1748865748.1676233</v>
      </c>
      <c r="T82" s="778">
        <f t="shared" si="44"/>
        <v>1732804321.1192577</v>
      </c>
      <c r="U82" s="778">
        <f t="shared" si="44"/>
        <v>1439883184.6158552</v>
      </c>
      <c r="V82" s="778">
        <f t="shared" si="44"/>
        <v>1791909367.6833434</v>
      </c>
      <c r="W82" s="778">
        <f t="shared" si="44"/>
        <v>1297613746.5438206</v>
      </c>
      <c r="X82" s="778">
        <f t="shared" si="44"/>
        <v>1417504733.0183325</v>
      </c>
      <c r="Y82" s="778">
        <f t="shared" si="44"/>
        <v>1260292646.3450396</v>
      </c>
      <c r="Z82" s="778">
        <f t="shared" si="44"/>
        <v>1950314982.0886855</v>
      </c>
      <c r="AA82" s="778">
        <f t="shared" si="44"/>
        <v>2312299515.0643115</v>
      </c>
      <c r="AB82" s="778">
        <f t="shared" si="44"/>
        <v>2392542018.7256699</v>
      </c>
      <c r="AC82" s="778">
        <f t="shared" si="44"/>
        <v>1800373910.5778284</v>
      </c>
      <c r="AD82" s="778">
        <f t="shared" si="44"/>
        <v>1214449627.7351487</v>
      </c>
      <c r="AE82" s="778">
        <f t="shared" si="44"/>
        <v>857790694.28140402</v>
      </c>
      <c r="AF82" s="778">
        <f t="shared" si="44"/>
        <v>1251866657.847959</v>
      </c>
      <c r="AG82" s="778">
        <f t="shared" si="44"/>
        <v>1888581077.3337526</v>
      </c>
      <c r="AH82" s="778">
        <f t="shared" si="44"/>
        <v>1771092285.9427137</v>
      </c>
      <c r="AI82" s="778">
        <f t="shared" si="44"/>
        <v>1667146051.4403911</v>
      </c>
      <c r="AJ82" s="778">
        <f t="shared" si="44"/>
        <v>1567632958.0951488</v>
      </c>
      <c r="AK82" s="778">
        <f t="shared" si="44"/>
        <v>1552219330.7832971</v>
      </c>
      <c r="AL82" s="778">
        <f t="shared" si="44"/>
        <v>1570195200.6739702</v>
      </c>
      <c r="AM82" s="778">
        <f t="shared" si="44"/>
        <v>1326268989.4152689</v>
      </c>
      <c r="AN82" s="778">
        <f t="shared" si="44"/>
        <v>2166572520.3349833</v>
      </c>
      <c r="AO82" s="778">
        <f t="shared" si="44"/>
        <v>2162333513.8292899</v>
      </c>
      <c r="AP82" s="778">
        <f t="shared" si="44"/>
        <v>2830183121.8190498</v>
      </c>
      <c r="AQ82" s="778">
        <f t="shared" si="44"/>
        <v>2122371372.408999</v>
      </c>
      <c r="AR82" s="778">
        <f t="shared" si="44"/>
        <v>1643900819.3428729</v>
      </c>
      <c r="AS82" s="778">
        <f t="shared" si="44"/>
        <v>2429053737.3525853</v>
      </c>
      <c r="AT82" s="778">
        <f t="shared" si="44"/>
        <v>2148099079.5154128</v>
      </c>
      <c r="AU82" s="778">
        <f t="shared" si="44"/>
        <v>2677410604.4027405</v>
      </c>
      <c r="AV82" s="778">
        <f t="shared" si="44"/>
        <v>3126482970.71207</v>
      </c>
      <c r="AW82" s="412">
        <f t="shared" si="32"/>
        <v>1711610438.6438117</v>
      </c>
      <c r="AX82" s="9"/>
      <c r="AY82" s="365" t="str">
        <f t="shared" si="38"/>
        <v>Feed cost on Propylene</v>
      </c>
      <c r="AZ82" s="774">
        <f>$D$3*AZ77+AZ78*$E$3+AZ79*$F$3+AZ80*$G$3</f>
        <v>20325157621.972099</v>
      </c>
      <c r="BA82" s="970"/>
      <c r="BB82" s="774">
        <f>$D$3*BB77+BB78*$E$3+BB79*$F$3+BB80*$G$3</f>
        <v>33055916206.136425</v>
      </c>
      <c r="BC82" s="970"/>
      <c r="BD82" s="778">
        <f>$D$3*BD77+BD78*$E$3+BD79*$F$3+BD80*$G$3</f>
        <v>28924601767.823174</v>
      </c>
    </row>
    <row r="83" spans="2:57" x14ac:dyDescent="0.25">
      <c r="C83" s="411" t="s">
        <v>369</v>
      </c>
      <c r="D83" s="779">
        <f>D81/D76</f>
        <v>0.68388661182732247</v>
      </c>
      <c r="E83" s="779">
        <f t="shared" ref="E83:AV83" si="45">E81/E76</f>
        <v>0.69533703288973958</v>
      </c>
      <c r="F83" s="779">
        <f t="shared" si="45"/>
        <v>0.72203340567819485</v>
      </c>
      <c r="G83" s="779">
        <f t="shared" si="45"/>
        <v>0.69104128893753758</v>
      </c>
      <c r="H83" s="779">
        <f t="shared" si="45"/>
        <v>0.6671715980255577</v>
      </c>
      <c r="I83" s="779">
        <f t="shared" si="45"/>
        <v>0.72627459728366883</v>
      </c>
      <c r="J83" s="779">
        <f t="shared" si="45"/>
        <v>0.73590922538510029</v>
      </c>
      <c r="K83" s="779">
        <f t="shared" si="45"/>
        <v>0.71937387325554614</v>
      </c>
      <c r="L83" s="779">
        <f t="shared" si="45"/>
        <v>0.73576081463694265</v>
      </c>
      <c r="M83" s="779">
        <f t="shared" si="45"/>
        <v>0.6891982564040019</v>
      </c>
      <c r="N83" s="779">
        <f t="shared" si="45"/>
        <v>0.69699386222854609</v>
      </c>
      <c r="O83" s="779">
        <f t="shared" si="45"/>
        <v>0.72445254519160807</v>
      </c>
      <c r="P83" s="779">
        <f t="shared" si="45"/>
        <v>0.70944559357083603</v>
      </c>
      <c r="Q83" s="779">
        <f t="shared" si="45"/>
        <v>0.70474768498816798</v>
      </c>
      <c r="R83" s="779">
        <f t="shared" si="45"/>
        <v>0.69676437565153371</v>
      </c>
      <c r="S83" s="779">
        <f t="shared" si="45"/>
        <v>0.70899839162864875</v>
      </c>
      <c r="T83" s="779">
        <f t="shared" si="45"/>
        <v>0.70604447999951025</v>
      </c>
      <c r="U83" s="779">
        <f t="shared" si="45"/>
        <v>0.71908742540830506</v>
      </c>
      <c r="V83" s="779">
        <f t="shared" si="45"/>
        <v>0.70586691467112916</v>
      </c>
      <c r="W83" s="779">
        <f t="shared" si="45"/>
        <v>0.71207078272788582</v>
      </c>
      <c r="X83" s="779">
        <f t="shared" si="45"/>
        <v>0.70440927823737332</v>
      </c>
      <c r="Y83" s="779">
        <f t="shared" si="45"/>
        <v>0.71128285291932525</v>
      </c>
      <c r="Z83" s="779">
        <f t="shared" si="45"/>
        <v>0.68687308163758753</v>
      </c>
      <c r="AA83" s="779">
        <f t="shared" si="45"/>
        <v>0.68673966249565199</v>
      </c>
      <c r="AB83" s="779">
        <f t="shared" si="45"/>
        <v>0.68033442185047011</v>
      </c>
      <c r="AC83" s="779">
        <f t="shared" si="45"/>
        <v>0.69793557377147797</v>
      </c>
      <c r="AD83" s="779">
        <f t="shared" si="45"/>
        <v>0.7080139261797036</v>
      </c>
      <c r="AE83" s="779">
        <f t="shared" si="45"/>
        <v>0.68093046807467794</v>
      </c>
      <c r="AF83" s="779">
        <f t="shared" si="45"/>
        <v>0.67286200173248645</v>
      </c>
      <c r="AG83" s="779">
        <f t="shared" si="45"/>
        <v>0.68032628363001524</v>
      </c>
      <c r="AH83" s="779">
        <f t="shared" si="45"/>
        <v>0.69078442256255312</v>
      </c>
      <c r="AI83" s="779">
        <f t="shared" si="45"/>
        <v>0.6929656929688317</v>
      </c>
      <c r="AJ83" s="779">
        <f t="shared" si="45"/>
        <v>0.69418708583637767</v>
      </c>
      <c r="AK83" s="779">
        <f t="shared" si="45"/>
        <v>0.68046483831901061</v>
      </c>
      <c r="AL83" s="779">
        <f t="shared" si="45"/>
        <v>0.68877768105097492</v>
      </c>
      <c r="AM83" s="779">
        <f t="shared" si="45"/>
        <v>0.69803557172628894</v>
      </c>
      <c r="AN83" s="779">
        <f t="shared" si="45"/>
        <v>0.67050850430518749</v>
      </c>
      <c r="AO83" s="779">
        <f t="shared" si="45"/>
        <v>0.67182620679834293</v>
      </c>
      <c r="AP83" s="779">
        <f t="shared" si="45"/>
        <v>0.66510067955111707</v>
      </c>
      <c r="AQ83" s="779">
        <f t="shared" si="45"/>
        <v>0.6740531821635376</v>
      </c>
      <c r="AR83" s="779">
        <f t="shared" si="45"/>
        <v>0.68771320072628128</v>
      </c>
      <c r="AS83" s="779">
        <f t="shared" si="45"/>
        <v>0.66826828342192768</v>
      </c>
      <c r="AT83" s="779">
        <f t="shared" si="45"/>
        <v>0.67018275343760625</v>
      </c>
      <c r="AU83" s="779">
        <f t="shared" si="45"/>
        <v>0.66414776388197838</v>
      </c>
      <c r="AV83" s="779">
        <f t="shared" si="45"/>
        <v>0.65658595946275922</v>
      </c>
      <c r="AW83" s="413">
        <f t="shared" si="32"/>
        <v>0.6940837363806962</v>
      </c>
      <c r="AX83" s="9"/>
      <c r="AY83" s="365" t="str">
        <f t="shared" si="38"/>
        <v>Ethylene Cost Factor based on Feed Yields</v>
      </c>
      <c r="AZ83" s="781">
        <f>AZ81/AZ76</f>
        <v>0.75878982541015882</v>
      </c>
      <c r="BA83" s="970"/>
      <c r="BB83" s="781">
        <f>BB81/BB76</f>
        <v>0.68600074534340549</v>
      </c>
      <c r="BC83" s="970"/>
      <c r="BD83" s="782">
        <f>BD81/BD76</f>
        <v>0.69270917359065187</v>
      </c>
    </row>
    <row r="84" spans="2:57" x14ac:dyDescent="0.25">
      <c r="C84" s="411" t="s">
        <v>370</v>
      </c>
      <c r="D84" s="779">
        <f>D82/D76</f>
        <v>0.31611338817267753</v>
      </c>
      <c r="E84" s="779">
        <f t="shared" ref="E84:AV84" si="46">E82/E76</f>
        <v>0.30466296711026042</v>
      </c>
      <c r="F84" s="779">
        <f t="shared" si="46"/>
        <v>0.2779665943218052</v>
      </c>
      <c r="G84" s="779">
        <f t="shared" si="46"/>
        <v>0.30895871106246237</v>
      </c>
      <c r="H84" s="779">
        <f t="shared" si="46"/>
        <v>0.33282840197444247</v>
      </c>
      <c r="I84" s="779">
        <f t="shared" si="46"/>
        <v>0.27372540271633122</v>
      </c>
      <c r="J84" s="779">
        <f t="shared" si="46"/>
        <v>0.26409077461489977</v>
      </c>
      <c r="K84" s="779">
        <f t="shared" si="46"/>
        <v>0.28062612674445392</v>
      </c>
      <c r="L84" s="779">
        <f t="shared" si="46"/>
        <v>0.26423918536305724</v>
      </c>
      <c r="M84" s="779">
        <f t="shared" si="46"/>
        <v>0.31080174359599799</v>
      </c>
      <c r="N84" s="779">
        <f t="shared" si="46"/>
        <v>0.30300613777145391</v>
      </c>
      <c r="O84" s="779">
        <f t="shared" si="46"/>
        <v>0.27554745480839188</v>
      </c>
      <c r="P84" s="779">
        <f t="shared" si="46"/>
        <v>0.29055440642916402</v>
      </c>
      <c r="Q84" s="779">
        <f t="shared" si="46"/>
        <v>0.29525231501183202</v>
      </c>
      <c r="R84" s="779">
        <f t="shared" si="46"/>
        <v>0.30323562434846618</v>
      </c>
      <c r="S84" s="779">
        <f t="shared" si="46"/>
        <v>0.29100160837135125</v>
      </c>
      <c r="T84" s="779">
        <f t="shared" si="46"/>
        <v>0.29395552000048969</v>
      </c>
      <c r="U84" s="779">
        <f t="shared" si="46"/>
        <v>0.28091257459169511</v>
      </c>
      <c r="V84" s="779">
        <f t="shared" si="46"/>
        <v>0.29413308532887078</v>
      </c>
      <c r="W84" s="779">
        <f t="shared" si="46"/>
        <v>0.28792921727211412</v>
      </c>
      <c r="X84" s="779">
        <f t="shared" si="46"/>
        <v>0.29559072176262674</v>
      </c>
      <c r="Y84" s="779">
        <f t="shared" si="46"/>
        <v>0.28871714708067475</v>
      </c>
      <c r="Z84" s="779">
        <f t="shared" si="46"/>
        <v>0.31312691836241241</v>
      </c>
      <c r="AA84" s="779">
        <f t="shared" si="46"/>
        <v>0.31326033750434795</v>
      </c>
      <c r="AB84" s="779">
        <f t="shared" si="46"/>
        <v>0.31966557814952989</v>
      </c>
      <c r="AC84" s="779">
        <f t="shared" si="46"/>
        <v>0.30206442622852203</v>
      </c>
      <c r="AD84" s="779">
        <f t="shared" si="46"/>
        <v>0.29198607382029634</v>
      </c>
      <c r="AE84" s="779">
        <f t="shared" si="46"/>
        <v>0.31906953192532217</v>
      </c>
      <c r="AF84" s="779">
        <f t="shared" si="46"/>
        <v>0.32713799826751355</v>
      </c>
      <c r="AG84" s="779">
        <f t="shared" si="46"/>
        <v>0.31967371636998482</v>
      </c>
      <c r="AH84" s="779">
        <f t="shared" si="46"/>
        <v>0.30921557743744688</v>
      </c>
      <c r="AI84" s="779">
        <f t="shared" si="46"/>
        <v>0.30703430703116819</v>
      </c>
      <c r="AJ84" s="779">
        <f t="shared" si="46"/>
        <v>0.30581291416362244</v>
      </c>
      <c r="AK84" s="779">
        <f t="shared" si="46"/>
        <v>0.31953516168098944</v>
      </c>
      <c r="AL84" s="779">
        <f t="shared" si="46"/>
        <v>0.31122231894902508</v>
      </c>
      <c r="AM84" s="779">
        <f t="shared" si="46"/>
        <v>0.30196442827371089</v>
      </c>
      <c r="AN84" s="779">
        <f t="shared" si="46"/>
        <v>0.3294914956948124</v>
      </c>
      <c r="AO84" s="779">
        <f t="shared" si="46"/>
        <v>0.32817379320165718</v>
      </c>
      <c r="AP84" s="779">
        <f t="shared" si="46"/>
        <v>0.33489932044888288</v>
      </c>
      <c r="AQ84" s="779">
        <f t="shared" si="46"/>
        <v>0.32594681783646229</v>
      </c>
      <c r="AR84" s="779">
        <f t="shared" si="46"/>
        <v>0.31228679927371872</v>
      </c>
      <c r="AS84" s="779">
        <f t="shared" si="46"/>
        <v>0.33173171657807243</v>
      </c>
      <c r="AT84" s="779">
        <f t="shared" si="46"/>
        <v>0.32981724656239386</v>
      </c>
      <c r="AU84" s="779">
        <f t="shared" si="46"/>
        <v>0.33585223611802167</v>
      </c>
      <c r="AV84" s="779">
        <f t="shared" si="46"/>
        <v>0.34341404053724084</v>
      </c>
      <c r="AW84" s="413">
        <f t="shared" si="32"/>
        <v>0.3059162636193038</v>
      </c>
      <c r="AX84" s="9"/>
      <c r="AY84" s="365" t="str">
        <f t="shared" si="38"/>
        <v>Propylene cost factor based on Feed Yields</v>
      </c>
      <c r="AZ84" s="781">
        <f>AZ82/AZ76</f>
        <v>0.24121017458984112</v>
      </c>
      <c r="BA84" s="970"/>
      <c r="BB84" s="781">
        <f>BB82/BB76</f>
        <v>0.31399925465659445</v>
      </c>
      <c r="BC84" s="970"/>
      <c r="BD84" s="782">
        <f>BD82/BD76</f>
        <v>0.30729082640934807</v>
      </c>
    </row>
    <row r="85" spans="2:57" s="16" customFormat="1" x14ac:dyDescent="0.25">
      <c r="C85" s="173" t="s">
        <v>583</v>
      </c>
      <c r="D85" s="777">
        <f>D14*D28+D15*D29+D16*D30+D17*D31+D18*D32</f>
        <v>1115394048.6600001</v>
      </c>
      <c r="E85" s="777">
        <f t="shared" ref="E85:AV85" si="47">E14*E28+E15*E29+E16*E30+E17*E31+E18*E32</f>
        <v>1191958611.0299997</v>
      </c>
      <c r="F85" s="777">
        <f t="shared" si="47"/>
        <v>1191437432.8800001</v>
      </c>
      <c r="G85" s="777">
        <f t="shared" si="47"/>
        <v>1178824312.1500001</v>
      </c>
      <c r="H85" s="777">
        <f t="shared" si="47"/>
        <v>1218287193.5800002</v>
      </c>
      <c r="I85" s="777">
        <f t="shared" si="47"/>
        <v>1590537095.4200001</v>
      </c>
      <c r="J85" s="777">
        <f t="shared" si="47"/>
        <v>1350446073.5700002</v>
      </c>
      <c r="K85" s="777">
        <f t="shared" si="47"/>
        <v>1893472381.1599998</v>
      </c>
      <c r="L85" s="777">
        <f t="shared" si="47"/>
        <v>1517593265.51</v>
      </c>
      <c r="M85" s="777">
        <f t="shared" si="47"/>
        <v>1443805115.5199997</v>
      </c>
      <c r="N85" s="777">
        <f t="shared" si="47"/>
        <v>1410741497.3499999</v>
      </c>
      <c r="O85" s="777">
        <f t="shared" si="47"/>
        <v>1131133232.1500001</v>
      </c>
      <c r="P85" s="777">
        <f t="shared" si="47"/>
        <v>1367321780.49</v>
      </c>
      <c r="Q85" s="777">
        <f t="shared" si="47"/>
        <v>1348143108.8099999</v>
      </c>
      <c r="R85" s="777">
        <f t="shared" si="47"/>
        <v>1694684729.8400002</v>
      </c>
      <c r="S85" s="777">
        <f t="shared" si="47"/>
        <v>1366242689.8600001</v>
      </c>
      <c r="T85" s="777">
        <f t="shared" si="47"/>
        <v>1436028268</v>
      </c>
      <c r="U85" s="777">
        <f t="shared" si="47"/>
        <v>1501047900</v>
      </c>
      <c r="V85" s="777">
        <f t="shared" si="47"/>
        <v>1815392800</v>
      </c>
      <c r="W85" s="777">
        <f t="shared" si="47"/>
        <v>1238681364</v>
      </c>
      <c r="X85" s="777">
        <f t="shared" si="47"/>
        <v>1788748700</v>
      </c>
      <c r="Y85" s="777">
        <f t="shared" si="47"/>
        <v>1254740300</v>
      </c>
      <c r="Z85" s="777">
        <f t="shared" si="47"/>
        <v>1921731500</v>
      </c>
      <c r="AA85" s="777">
        <f t="shared" si="47"/>
        <v>1987589896</v>
      </c>
      <c r="AB85" s="777">
        <f t="shared" si="47"/>
        <v>2373325896</v>
      </c>
      <c r="AC85" s="777">
        <f t="shared" si="47"/>
        <v>1745199400</v>
      </c>
      <c r="AD85" s="777">
        <f t="shared" si="47"/>
        <v>1549875600</v>
      </c>
      <c r="AE85" s="777">
        <f t="shared" si="47"/>
        <v>466540900</v>
      </c>
      <c r="AF85" s="777">
        <f t="shared" si="47"/>
        <v>642971590</v>
      </c>
      <c r="AG85" s="777">
        <f t="shared" si="47"/>
        <v>819147135</v>
      </c>
      <c r="AH85" s="777">
        <f t="shared" si="47"/>
        <v>1220454362.8999999</v>
      </c>
      <c r="AI85" s="777">
        <f t="shared" si="47"/>
        <v>1410566145.1000001</v>
      </c>
      <c r="AJ85" s="777">
        <f t="shared" si="47"/>
        <v>1471880662</v>
      </c>
      <c r="AK85" s="777">
        <f t="shared" si="47"/>
        <v>1710418645.4000001</v>
      </c>
      <c r="AL85" s="777">
        <f t="shared" si="47"/>
        <v>1725548889.7999997</v>
      </c>
      <c r="AM85" s="777">
        <f t="shared" si="47"/>
        <v>1375393238</v>
      </c>
      <c r="AN85" s="777">
        <f t="shared" si="47"/>
        <v>2103488244</v>
      </c>
      <c r="AO85" s="777">
        <f t="shared" si="47"/>
        <v>1683953266.5</v>
      </c>
      <c r="AP85" s="777">
        <f t="shared" si="47"/>
        <v>2204509038.873013</v>
      </c>
      <c r="AQ85" s="777">
        <f t="shared" si="47"/>
        <v>2106686028.4619653</v>
      </c>
      <c r="AR85" s="777">
        <f t="shared" si="47"/>
        <v>1573346188.9000001</v>
      </c>
      <c r="AS85" s="777">
        <f t="shared" si="47"/>
        <v>2154531231.3454466</v>
      </c>
      <c r="AT85" s="777">
        <f t="shared" si="47"/>
        <v>1800905398.1300001</v>
      </c>
      <c r="AU85" s="777">
        <f t="shared" si="47"/>
        <v>2592985132.5999999</v>
      </c>
      <c r="AV85" s="777">
        <f t="shared" si="47"/>
        <v>2931425607.3000002</v>
      </c>
      <c r="AW85" s="412">
        <f t="shared" si="32"/>
        <v>1569269686.5842319</v>
      </c>
      <c r="AY85" s="173" t="s">
        <v>583</v>
      </c>
      <c r="AZ85" s="775">
        <f>AZ14*AZ28+AZ15*AZ29+AZ16*AZ30+AZ17*AZ31+AZ18*AZ32</f>
        <v>18983973940.046242</v>
      </c>
      <c r="BA85" s="970"/>
      <c r="BB85" s="775">
        <f>BB14*BB28+BB15*BB29+BB16*BB30+BB17*BB31+BB18*BB32</f>
        <v>26810912216.459896</v>
      </c>
      <c r="BC85" s="970"/>
      <c r="BD85" s="777">
        <f>BD14*BD28+BD15*BD29+BD16*BD30+BD17*BD31+BD18*BD32</f>
        <v>26649581816.775173</v>
      </c>
      <c r="BE85" s="617"/>
    </row>
    <row r="86" spans="2:57" s="16" customFormat="1" ht="15" hidden="1" customHeight="1" x14ac:dyDescent="0.25">
      <c r="C86" s="409" t="s">
        <v>351</v>
      </c>
      <c r="D86" s="780" t="e">
        <f>#REF!*D83/D26</f>
        <v>#REF!</v>
      </c>
      <c r="E86" s="780" t="e">
        <f>#REF!*E83/E26</f>
        <v>#REF!</v>
      </c>
      <c r="F86" s="780" t="e">
        <f>#REF!*F83/F26</f>
        <v>#REF!</v>
      </c>
      <c r="G86" s="780" t="e">
        <f>#REF!*G83/G26</f>
        <v>#REF!</v>
      </c>
      <c r="H86" s="780" t="e">
        <f>#REF!*H83/H26</f>
        <v>#REF!</v>
      </c>
      <c r="I86" s="780" t="e">
        <f>#REF!*I83/I26</f>
        <v>#REF!</v>
      </c>
      <c r="J86" s="780" t="e">
        <f>#REF!*J83/J26</f>
        <v>#REF!</v>
      </c>
      <c r="K86" s="780" t="e">
        <f>#REF!*K83/K26</f>
        <v>#REF!</v>
      </c>
      <c r="L86" s="780" t="e">
        <f>#REF!*L83/L26</f>
        <v>#REF!</v>
      </c>
      <c r="M86" s="780" t="e">
        <f>#REF!*M83/M26</f>
        <v>#REF!</v>
      </c>
      <c r="N86" s="780" t="e">
        <f>#REF!*N83/N26</f>
        <v>#REF!</v>
      </c>
      <c r="O86" s="780" t="e">
        <f>#REF!*O83/O26</f>
        <v>#REF!</v>
      </c>
      <c r="P86" s="780" t="e">
        <f>#REF!*P83/P26</f>
        <v>#REF!</v>
      </c>
      <c r="Q86" s="780" t="e">
        <f>#REF!*Q83/Q26</f>
        <v>#REF!</v>
      </c>
      <c r="R86" s="780" t="e">
        <f>#REF!*R83/R26</f>
        <v>#REF!</v>
      </c>
      <c r="S86" s="780" t="e">
        <f>#REF!*S83/S26</f>
        <v>#REF!</v>
      </c>
      <c r="T86" s="780" t="e">
        <f>#REF!*T83/T26</f>
        <v>#REF!</v>
      </c>
      <c r="U86" s="780" t="e">
        <f>#REF!*U83/U26</f>
        <v>#REF!</v>
      </c>
      <c r="V86" s="780" t="e">
        <f>#REF!*V83/V26</f>
        <v>#REF!</v>
      </c>
      <c r="W86" s="780" t="e">
        <f>#REF!*W83/W26</f>
        <v>#REF!</v>
      </c>
      <c r="X86" s="780" t="e">
        <f>#REF!*X83/X26</f>
        <v>#REF!</v>
      </c>
      <c r="Y86" s="780" t="e">
        <f>#REF!*Y83/Y26</f>
        <v>#REF!</v>
      </c>
      <c r="Z86" s="780" t="e">
        <f>#REF!*Z83/Z26</f>
        <v>#REF!</v>
      </c>
      <c r="AA86" s="780" t="e">
        <f>#REF!*AA83/AA26</f>
        <v>#REF!</v>
      </c>
      <c r="AB86" s="780" t="e">
        <f>#REF!*AB83/AB26</f>
        <v>#REF!</v>
      </c>
      <c r="AC86" s="780" t="e">
        <f>#REF!*AC83/AC26</f>
        <v>#REF!</v>
      </c>
      <c r="AD86" s="780" t="e">
        <f>#REF!*AD83/AD26</f>
        <v>#REF!</v>
      </c>
      <c r="AE86" s="780" t="e">
        <f>#REF!*AE83/AE26</f>
        <v>#REF!</v>
      </c>
      <c r="AF86" s="780" t="e">
        <f>#REF!*AF83/AF26</f>
        <v>#REF!</v>
      </c>
      <c r="AG86" s="780" t="e">
        <f>#REF!*AG83/AG26</f>
        <v>#REF!</v>
      </c>
      <c r="AH86" s="780" t="e">
        <f>#REF!*AH83/AH26</f>
        <v>#REF!</v>
      </c>
      <c r="AI86" s="780" t="e">
        <f>#REF!*AI83/AI26</f>
        <v>#REF!</v>
      </c>
      <c r="AJ86" s="780" t="e">
        <f>#REF!*AJ83/AJ26</f>
        <v>#REF!</v>
      </c>
      <c r="AK86" s="780" t="e">
        <f>#REF!*AK83/AK26</f>
        <v>#REF!</v>
      </c>
      <c r="AL86" s="780" t="e">
        <f>#REF!*AL83/AL26</f>
        <v>#REF!</v>
      </c>
      <c r="AM86" s="780" t="e">
        <f>#REF!*AM83/AM26</f>
        <v>#REF!</v>
      </c>
      <c r="AN86" s="780" t="e">
        <f>#REF!*AN83/AN26</f>
        <v>#REF!</v>
      </c>
      <c r="AO86" s="780" t="e">
        <f>#REF!*AO83/AO26</f>
        <v>#REF!</v>
      </c>
      <c r="AP86" s="780" t="e">
        <f>#REF!*AP83/AP26</f>
        <v>#REF!</v>
      </c>
      <c r="AQ86" s="780" t="e">
        <f>#REF!*AQ83/AQ26</f>
        <v>#REF!</v>
      </c>
      <c r="AR86" s="780" t="e">
        <f>#REF!*AR83/AR26</f>
        <v>#REF!</v>
      </c>
      <c r="AS86" s="780" t="e">
        <f>#REF!*AS83/AS26</f>
        <v>#REF!</v>
      </c>
      <c r="AT86" s="780" t="e">
        <f>#REF!*AT83/AT26</f>
        <v>#REF!</v>
      </c>
      <c r="AU86" s="780" t="e">
        <f>#REF!*AU83/AU26</f>
        <v>#REF!</v>
      </c>
      <c r="AV86" s="780" t="e">
        <f>#REF!*AV83/AV26</f>
        <v>#REF!</v>
      </c>
      <c r="AW86" s="412" t="e">
        <f t="shared" si="32"/>
        <v>#REF!</v>
      </c>
      <c r="AY86" s="409" t="s">
        <v>351</v>
      </c>
      <c r="AZ86" s="776" t="e">
        <f>#REF!*AZ83/AZ26</f>
        <v>#REF!</v>
      </c>
      <c r="BA86" s="970"/>
      <c r="BB86" s="776" t="e">
        <f>#REF!*BB83/BB26</f>
        <v>#REF!</v>
      </c>
      <c r="BC86" s="970"/>
      <c r="BD86" s="780" t="e">
        <f>#REF!*BD83/BD26</f>
        <v>#REF!</v>
      </c>
    </row>
    <row r="87" spans="2:57" s="16" customFormat="1" ht="15" hidden="1" customHeight="1" x14ac:dyDescent="0.25">
      <c r="C87" s="409" t="s">
        <v>352</v>
      </c>
      <c r="D87" s="780" t="e">
        <f>D84*#REF!/D27</f>
        <v>#REF!</v>
      </c>
      <c r="E87" s="780" t="e">
        <f>E84*#REF!/E27</f>
        <v>#REF!</v>
      </c>
      <c r="F87" s="780" t="e">
        <f>F84*#REF!/F27</f>
        <v>#REF!</v>
      </c>
      <c r="G87" s="780" t="e">
        <f>G84*#REF!/G27</f>
        <v>#REF!</v>
      </c>
      <c r="H87" s="780" t="e">
        <f>H84*#REF!/H27</f>
        <v>#REF!</v>
      </c>
      <c r="I87" s="780" t="e">
        <f>I84*#REF!/I27</f>
        <v>#REF!</v>
      </c>
      <c r="J87" s="780" t="e">
        <f>J84*#REF!/J27</f>
        <v>#REF!</v>
      </c>
      <c r="K87" s="780" t="e">
        <f>K84*#REF!/K27</f>
        <v>#REF!</v>
      </c>
      <c r="L87" s="780" t="e">
        <f>L84*#REF!/L27</f>
        <v>#REF!</v>
      </c>
      <c r="M87" s="780" t="e">
        <f>M84*#REF!/M27</f>
        <v>#REF!</v>
      </c>
      <c r="N87" s="780" t="e">
        <f>N84*#REF!/N27</f>
        <v>#REF!</v>
      </c>
      <c r="O87" s="780" t="e">
        <f>O84*#REF!/O27</f>
        <v>#REF!</v>
      </c>
      <c r="P87" s="780" t="e">
        <f>P84*#REF!/P27</f>
        <v>#REF!</v>
      </c>
      <c r="Q87" s="780" t="e">
        <f>Q84*#REF!/Q27</f>
        <v>#REF!</v>
      </c>
      <c r="R87" s="780" t="e">
        <f>R84*#REF!/R27</f>
        <v>#REF!</v>
      </c>
      <c r="S87" s="780" t="e">
        <f>S84*#REF!/S27</f>
        <v>#REF!</v>
      </c>
      <c r="T87" s="780" t="e">
        <f>T84*#REF!/T27</f>
        <v>#REF!</v>
      </c>
      <c r="U87" s="780" t="e">
        <f>U84*#REF!/U27</f>
        <v>#REF!</v>
      </c>
      <c r="V87" s="780" t="e">
        <f>V84*#REF!/V27</f>
        <v>#REF!</v>
      </c>
      <c r="W87" s="780" t="e">
        <f>W84*#REF!/W27</f>
        <v>#REF!</v>
      </c>
      <c r="X87" s="780" t="e">
        <f>X84*#REF!/X27</f>
        <v>#REF!</v>
      </c>
      <c r="Y87" s="780" t="e">
        <f>Y84*#REF!/Y27</f>
        <v>#REF!</v>
      </c>
      <c r="Z87" s="780" t="e">
        <f>Z84*#REF!/Z27</f>
        <v>#REF!</v>
      </c>
      <c r="AA87" s="780" t="e">
        <f>AA84*#REF!/AA27</f>
        <v>#REF!</v>
      </c>
      <c r="AB87" s="780" t="e">
        <f>AB84*#REF!/AB27</f>
        <v>#REF!</v>
      </c>
      <c r="AC87" s="780" t="e">
        <f>AC84*#REF!/AC27</f>
        <v>#REF!</v>
      </c>
      <c r="AD87" s="780" t="e">
        <f>AD84*#REF!/AD27</f>
        <v>#REF!</v>
      </c>
      <c r="AE87" s="780" t="e">
        <f>AE84*#REF!/AE27</f>
        <v>#REF!</v>
      </c>
      <c r="AF87" s="780" t="e">
        <f>AF84*#REF!/AF27</f>
        <v>#REF!</v>
      </c>
      <c r="AG87" s="780" t="e">
        <f>AG84*#REF!/AG27</f>
        <v>#REF!</v>
      </c>
      <c r="AH87" s="780" t="e">
        <f>AH84*#REF!/AH27</f>
        <v>#REF!</v>
      </c>
      <c r="AI87" s="780" t="e">
        <f>AI84*#REF!/AI27</f>
        <v>#REF!</v>
      </c>
      <c r="AJ87" s="780" t="e">
        <f>AJ84*#REF!/AJ27</f>
        <v>#REF!</v>
      </c>
      <c r="AK87" s="780" t="e">
        <f>AK84*#REF!/AK27</f>
        <v>#REF!</v>
      </c>
      <c r="AL87" s="780" t="e">
        <f>AL84*#REF!/AL27</f>
        <v>#REF!</v>
      </c>
      <c r="AM87" s="780" t="e">
        <f>AM84*#REF!/AM27</f>
        <v>#REF!</v>
      </c>
      <c r="AN87" s="780" t="e">
        <f>AN84*#REF!/AN27</f>
        <v>#REF!</v>
      </c>
      <c r="AO87" s="780" t="e">
        <f>AO84*#REF!/AO27</f>
        <v>#REF!</v>
      </c>
      <c r="AP87" s="780" t="e">
        <f>AP84*#REF!/AP27</f>
        <v>#REF!</v>
      </c>
      <c r="AQ87" s="780" t="e">
        <f>AQ84*#REF!/AQ27</f>
        <v>#REF!</v>
      </c>
      <c r="AR87" s="780" t="e">
        <f>AR84*#REF!/AR27</f>
        <v>#REF!</v>
      </c>
      <c r="AS87" s="780" t="e">
        <f>AS84*#REF!/AS27</f>
        <v>#REF!</v>
      </c>
      <c r="AT87" s="780" t="e">
        <f>AT84*#REF!/AT27</f>
        <v>#REF!</v>
      </c>
      <c r="AU87" s="780" t="e">
        <f>AU84*#REF!/AU27</f>
        <v>#REF!</v>
      </c>
      <c r="AV87" s="780" t="e">
        <f>AV84*#REF!/AV27</f>
        <v>#REF!</v>
      </c>
      <c r="AW87" s="412" t="e">
        <f t="shared" si="32"/>
        <v>#REF!</v>
      </c>
      <c r="AY87" s="409" t="s">
        <v>352</v>
      </c>
      <c r="AZ87" s="776" t="e">
        <f>AZ84*#REF!/AZ27</f>
        <v>#REF!</v>
      </c>
      <c r="BA87" s="970"/>
      <c r="BB87" s="776" t="e">
        <f>BB84*#REF!/BB27</f>
        <v>#REF!</v>
      </c>
      <c r="BC87" s="970"/>
      <c r="BD87" s="780" t="e">
        <f>BD84*#REF!/BD27</f>
        <v>#REF!</v>
      </c>
    </row>
    <row r="88" spans="2:57" s="16" customFormat="1" ht="15" hidden="1" customHeight="1" x14ac:dyDescent="0.25">
      <c r="C88" s="409" t="s">
        <v>366</v>
      </c>
      <c r="D88" s="423" t="e">
        <f>D60-D86</f>
        <v>#REF!</v>
      </c>
      <c r="E88" s="423" t="e">
        <f t="shared" ref="E88:AV88" si="48">E60-E86</f>
        <v>#REF!</v>
      </c>
      <c r="F88" s="423" t="e">
        <f t="shared" si="48"/>
        <v>#REF!</v>
      </c>
      <c r="G88" s="423" t="e">
        <f t="shared" si="48"/>
        <v>#REF!</v>
      </c>
      <c r="H88" s="423" t="e">
        <f t="shared" si="48"/>
        <v>#REF!</v>
      </c>
      <c r="I88" s="423" t="e">
        <f t="shared" si="48"/>
        <v>#REF!</v>
      </c>
      <c r="J88" s="423" t="e">
        <f t="shared" si="48"/>
        <v>#REF!</v>
      </c>
      <c r="K88" s="423" t="e">
        <f t="shared" si="48"/>
        <v>#REF!</v>
      </c>
      <c r="L88" s="423" t="e">
        <f t="shared" si="48"/>
        <v>#REF!</v>
      </c>
      <c r="M88" s="423" t="e">
        <f t="shared" si="48"/>
        <v>#REF!</v>
      </c>
      <c r="N88" s="423" t="e">
        <f t="shared" si="48"/>
        <v>#REF!</v>
      </c>
      <c r="O88" s="423" t="e">
        <f t="shared" si="48"/>
        <v>#REF!</v>
      </c>
      <c r="P88" s="423" t="e">
        <f t="shared" si="48"/>
        <v>#REF!</v>
      </c>
      <c r="Q88" s="423" t="e">
        <f t="shared" si="48"/>
        <v>#REF!</v>
      </c>
      <c r="R88" s="423" t="e">
        <f t="shared" si="48"/>
        <v>#REF!</v>
      </c>
      <c r="S88" s="423" t="e">
        <f t="shared" si="48"/>
        <v>#REF!</v>
      </c>
      <c r="T88" s="423" t="e">
        <f t="shared" si="48"/>
        <v>#REF!</v>
      </c>
      <c r="U88" s="423" t="e">
        <f t="shared" si="48"/>
        <v>#REF!</v>
      </c>
      <c r="V88" s="423" t="e">
        <f t="shared" si="48"/>
        <v>#REF!</v>
      </c>
      <c r="W88" s="423" t="e">
        <f t="shared" si="48"/>
        <v>#REF!</v>
      </c>
      <c r="X88" s="423" t="e">
        <f t="shared" si="48"/>
        <v>#REF!</v>
      </c>
      <c r="Y88" s="423" t="e">
        <f t="shared" si="48"/>
        <v>#REF!</v>
      </c>
      <c r="Z88" s="423" t="e">
        <f t="shared" si="48"/>
        <v>#REF!</v>
      </c>
      <c r="AA88" s="423" t="e">
        <f t="shared" si="48"/>
        <v>#REF!</v>
      </c>
      <c r="AB88" s="423" t="e">
        <f t="shared" si="48"/>
        <v>#REF!</v>
      </c>
      <c r="AC88" s="423" t="e">
        <f t="shared" si="48"/>
        <v>#REF!</v>
      </c>
      <c r="AD88" s="423" t="e">
        <f t="shared" si="48"/>
        <v>#REF!</v>
      </c>
      <c r="AE88" s="423" t="e">
        <f t="shared" si="48"/>
        <v>#REF!</v>
      </c>
      <c r="AF88" s="423" t="e">
        <f t="shared" si="48"/>
        <v>#REF!</v>
      </c>
      <c r="AG88" s="423" t="e">
        <f t="shared" si="48"/>
        <v>#REF!</v>
      </c>
      <c r="AH88" s="423" t="e">
        <f t="shared" si="48"/>
        <v>#REF!</v>
      </c>
      <c r="AI88" s="423" t="e">
        <f t="shared" si="48"/>
        <v>#REF!</v>
      </c>
      <c r="AJ88" s="423" t="e">
        <f t="shared" si="48"/>
        <v>#REF!</v>
      </c>
      <c r="AK88" s="423" t="e">
        <f t="shared" si="48"/>
        <v>#REF!</v>
      </c>
      <c r="AL88" s="423" t="e">
        <f t="shared" si="48"/>
        <v>#REF!</v>
      </c>
      <c r="AM88" s="423" t="e">
        <f t="shared" si="48"/>
        <v>#REF!</v>
      </c>
      <c r="AN88" s="423" t="e">
        <f t="shared" si="48"/>
        <v>#REF!</v>
      </c>
      <c r="AO88" s="423" t="e">
        <f t="shared" si="48"/>
        <v>#REF!</v>
      </c>
      <c r="AP88" s="423" t="e">
        <f t="shared" si="48"/>
        <v>#REF!</v>
      </c>
      <c r="AQ88" s="423" t="e">
        <f t="shared" si="48"/>
        <v>#REF!</v>
      </c>
      <c r="AR88" s="423" t="e">
        <f t="shared" si="48"/>
        <v>#REF!</v>
      </c>
      <c r="AS88" s="423" t="e">
        <f t="shared" si="48"/>
        <v>#REF!</v>
      </c>
      <c r="AT88" s="423" t="e">
        <f t="shared" si="48"/>
        <v>#REF!</v>
      </c>
      <c r="AU88" s="423" t="e">
        <f t="shared" si="48"/>
        <v>#REF!</v>
      </c>
      <c r="AV88" s="423" t="e">
        <f t="shared" si="48"/>
        <v>#REF!</v>
      </c>
      <c r="AW88" s="412" t="e">
        <f t="shared" si="32"/>
        <v>#REF!</v>
      </c>
      <c r="AY88" s="409" t="s">
        <v>366</v>
      </c>
      <c r="AZ88" s="643" t="e">
        <f>AZ60-AZ86</f>
        <v>#REF!</v>
      </c>
      <c r="BA88" s="970"/>
      <c r="BB88" s="643" t="e">
        <f>BB60-BB86</f>
        <v>#REF!</v>
      </c>
      <c r="BC88" s="970"/>
      <c r="BD88" s="423" t="e">
        <f>BD60-BD86</f>
        <v>#REF!</v>
      </c>
    </row>
    <row r="89" spans="2:57" s="16" customFormat="1" ht="15" hidden="1" customHeight="1" x14ac:dyDescent="0.25">
      <c r="C89" s="409" t="s">
        <v>367</v>
      </c>
      <c r="D89" s="423" t="e">
        <f>D61-D87</f>
        <v>#REF!</v>
      </c>
      <c r="E89" s="423" t="e">
        <f t="shared" ref="E89:AV89" si="49">E61-E87</f>
        <v>#REF!</v>
      </c>
      <c r="F89" s="423" t="e">
        <f t="shared" si="49"/>
        <v>#REF!</v>
      </c>
      <c r="G89" s="423" t="e">
        <f t="shared" si="49"/>
        <v>#REF!</v>
      </c>
      <c r="H89" s="423" t="e">
        <f t="shared" si="49"/>
        <v>#REF!</v>
      </c>
      <c r="I89" s="423" t="e">
        <f t="shared" si="49"/>
        <v>#REF!</v>
      </c>
      <c r="J89" s="423" t="e">
        <f t="shared" si="49"/>
        <v>#REF!</v>
      </c>
      <c r="K89" s="423" t="e">
        <f t="shared" si="49"/>
        <v>#REF!</v>
      </c>
      <c r="L89" s="423" t="e">
        <f t="shared" si="49"/>
        <v>#REF!</v>
      </c>
      <c r="M89" s="423" t="e">
        <f t="shared" si="49"/>
        <v>#REF!</v>
      </c>
      <c r="N89" s="423" t="e">
        <f t="shared" si="49"/>
        <v>#REF!</v>
      </c>
      <c r="O89" s="423" t="e">
        <f t="shared" si="49"/>
        <v>#REF!</v>
      </c>
      <c r="P89" s="423" t="e">
        <f t="shared" si="49"/>
        <v>#REF!</v>
      </c>
      <c r="Q89" s="423" t="e">
        <f t="shared" si="49"/>
        <v>#REF!</v>
      </c>
      <c r="R89" s="423" t="e">
        <f t="shared" si="49"/>
        <v>#REF!</v>
      </c>
      <c r="S89" s="423" t="e">
        <f t="shared" si="49"/>
        <v>#REF!</v>
      </c>
      <c r="T89" s="423" t="e">
        <f t="shared" si="49"/>
        <v>#REF!</v>
      </c>
      <c r="U89" s="423" t="e">
        <f t="shared" si="49"/>
        <v>#REF!</v>
      </c>
      <c r="V89" s="423" t="e">
        <f t="shared" si="49"/>
        <v>#REF!</v>
      </c>
      <c r="W89" s="423" t="e">
        <f t="shared" si="49"/>
        <v>#REF!</v>
      </c>
      <c r="X89" s="423" t="e">
        <f t="shared" si="49"/>
        <v>#REF!</v>
      </c>
      <c r="Y89" s="423" t="e">
        <f t="shared" si="49"/>
        <v>#REF!</v>
      </c>
      <c r="Z89" s="423" t="e">
        <f t="shared" si="49"/>
        <v>#REF!</v>
      </c>
      <c r="AA89" s="423" t="e">
        <f t="shared" si="49"/>
        <v>#REF!</v>
      </c>
      <c r="AB89" s="423" t="e">
        <f t="shared" si="49"/>
        <v>#REF!</v>
      </c>
      <c r="AC89" s="423" t="e">
        <f t="shared" si="49"/>
        <v>#REF!</v>
      </c>
      <c r="AD89" s="423" t="e">
        <f t="shared" si="49"/>
        <v>#REF!</v>
      </c>
      <c r="AE89" s="423" t="e">
        <f t="shared" si="49"/>
        <v>#REF!</v>
      </c>
      <c r="AF89" s="423" t="e">
        <f t="shared" si="49"/>
        <v>#REF!</v>
      </c>
      <c r="AG89" s="423" t="e">
        <f t="shared" si="49"/>
        <v>#REF!</v>
      </c>
      <c r="AH89" s="423" t="e">
        <f t="shared" si="49"/>
        <v>#REF!</v>
      </c>
      <c r="AI89" s="423" t="e">
        <f t="shared" si="49"/>
        <v>#REF!</v>
      </c>
      <c r="AJ89" s="423" t="e">
        <f t="shared" si="49"/>
        <v>#REF!</v>
      </c>
      <c r="AK89" s="423" t="e">
        <f t="shared" si="49"/>
        <v>#REF!</v>
      </c>
      <c r="AL89" s="423" t="e">
        <f t="shared" si="49"/>
        <v>#REF!</v>
      </c>
      <c r="AM89" s="423" t="e">
        <f t="shared" si="49"/>
        <v>#REF!</v>
      </c>
      <c r="AN89" s="423" t="e">
        <f t="shared" si="49"/>
        <v>#REF!</v>
      </c>
      <c r="AO89" s="423" t="e">
        <f t="shared" si="49"/>
        <v>#REF!</v>
      </c>
      <c r="AP89" s="423" t="e">
        <f t="shared" si="49"/>
        <v>#REF!</v>
      </c>
      <c r="AQ89" s="423" t="e">
        <f t="shared" si="49"/>
        <v>#REF!</v>
      </c>
      <c r="AR89" s="423" t="e">
        <f t="shared" si="49"/>
        <v>#REF!</v>
      </c>
      <c r="AS89" s="423" t="e">
        <f t="shared" si="49"/>
        <v>#REF!</v>
      </c>
      <c r="AT89" s="423" t="e">
        <f t="shared" si="49"/>
        <v>#REF!</v>
      </c>
      <c r="AU89" s="423" t="e">
        <f t="shared" si="49"/>
        <v>#REF!</v>
      </c>
      <c r="AV89" s="423" t="e">
        <f t="shared" si="49"/>
        <v>#REF!</v>
      </c>
      <c r="AW89" s="412" t="e">
        <f t="shared" si="32"/>
        <v>#REF!</v>
      </c>
      <c r="AY89" s="409" t="s">
        <v>367</v>
      </c>
      <c r="AZ89" s="643" t="e">
        <f>AZ61-AZ87</f>
        <v>#REF!</v>
      </c>
      <c r="BA89" s="970"/>
      <c r="BB89" s="643" t="e">
        <f>BB61-BB87</f>
        <v>#REF!</v>
      </c>
      <c r="BC89" s="970"/>
      <c r="BD89" s="423" t="e">
        <f>BD61-BD87</f>
        <v>#REF!</v>
      </c>
    </row>
    <row r="90" spans="2:57" x14ac:dyDescent="0.25">
      <c r="C90" s="173" t="s">
        <v>607</v>
      </c>
      <c r="D90" s="777">
        <f>D35*D7+D8*D36+D37*D9+D10*D38+D39*D74+D44*D45</f>
        <v>757703018.40952051</v>
      </c>
      <c r="E90" s="777">
        <f t="shared" ref="E90:AV90" si="50">E35*E7+E8*E36+E37*E9+E10*E38+E39*E74+E44*E45</f>
        <v>720534806.61402845</v>
      </c>
      <c r="F90" s="777">
        <f t="shared" si="50"/>
        <v>800041576.97680664</v>
      </c>
      <c r="G90" s="777">
        <f t="shared" si="50"/>
        <v>537070727.30719316</v>
      </c>
      <c r="H90" s="777">
        <f t="shared" si="50"/>
        <v>836792682.55844665</v>
      </c>
      <c r="I90" s="777">
        <f t="shared" si="50"/>
        <v>880105623.30008578</v>
      </c>
      <c r="J90" s="777">
        <f t="shared" si="50"/>
        <v>901797280.22920358</v>
      </c>
      <c r="K90" s="777">
        <f t="shared" si="50"/>
        <v>1092101756.3514974</v>
      </c>
      <c r="L90" s="777">
        <f t="shared" si="50"/>
        <v>990063415.92355657</v>
      </c>
      <c r="M90" s="777">
        <f t="shared" si="50"/>
        <v>981718853.30274308</v>
      </c>
      <c r="N90" s="777">
        <f t="shared" si="50"/>
        <v>653221326.53235078</v>
      </c>
      <c r="O90" s="777">
        <f t="shared" si="50"/>
        <v>603494794.42322338</v>
      </c>
      <c r="P90" s="777">
        <f t="shared" si="50"/>
        <v>745844032.597574</v>
      </c>
      <c r="Q90" s="777">
        <f t="shared" si="50"/>
        <v>780832418.49278688</v>
      </c>
      <c r="R90" s="777">
        <f t="shared" si="50"/>
        <v>1032899059.4574342</v>
      </c>
      <c r="S90" s="777">
        <f t="shared" si="50"/>
        <v>977455070.05330992</v>
      </c>
      <c r="T90" s="777">
        <f t="shared" si="50"/>
        <v>964063248.87004137</v>
      </c>
      <c r="U90" s="777">
        <f t="shared" si="50"/>
        <v>817136286.4370116</v>
      </c>
      <c r="V90" s="777">
        <f t="shared" si="50"/>
        <v>984303856.2794708</v>
      </c>
      <c r="W90" s="777">
        <f t="shared" si="50"/>
        <v>718348995.70527327</v>
      </c>
      <c r="X90" s="777">
        <f t="shared" si="50"/>
        <v>783779558.0548594</v>
      </c>
      <c r="Y90" s="777">
        <f t="shared" si="50"/>
        <v>708829053.00851738</v>
      </c>
      <c r="Z90" s="777">
        <f t="shared" si="50"/>
        <v>1057143760.1999661</v>
      </c>
      <c r="AA90" s="777">
        <f t="shared" si="50"/>
        <v>1249072475.3634999</v>
      </c>
      <c r="AB90" s="777">
        <f t="shared" si="50"/>
        <v>1283827191.2557094</v>
      </c>
      <c r="AC90" s="777">
        <f t="shared" si="50"/>
        <v>991554297.1904434</v>
      </c>
      <c r="AD90" s="777">
        <f t="shared" si="50"/>
        <v>695959713.13059568</v>
      </c>
      <c r="AE90" s="777">
        <f t="shared" si="50"/>
        <v>444945592.72525567</v>
      </c>
      <c r="AF90" s="777">
        <f t="shared" si="50"/>
        <v>652899520.75285029</v>
      </c>
      <c r="AG90" s="777">
        <f t="shared" si="50"/>
        <v>994997548.45278978</v>
      </c>
      <c r="AH90" s="777">
        <f t="shared" si="50"/>
        <v>967318997.46592855</v>
      </c>
      <c r="AI90" s="777">
        <f t="shared" si="50"/>
        <v>914695164.92122233</v>
      </c>
      <c r="AJ90" s="777">
        <f t="shared" si="50"/>
        <v>863390662.40703976</v>
      </c>
      <c r="AK90" s="777">
        <f t="shared" si="50"/>
        <v>853269358.3196944</v>
      </c>
      <c r="AL90" s="777">
        <f t="shared" si="50"/>
        <v>864271077.56522965</v>
      </c>
      <c r="AM90" s="777">
        <f t="shared" si="50"/>
        <v>709310226.85821736</v>
      </c>
      <c r="AN90" s="777">
        <f t="shared" si="50"/>
        <v>1160459323.56622</v>
      </c>
      <c r="AO90" s="777">
        <f t="shared" si="50"/>
        <v>1153811745.5816288</v>
      </c>
      <c r="AP90" s="777">
        <f t="shared" si="50"/>
        <v>1520125429.0394876</v>
      </c>
      <c r="AQ90" s="777">
        <f t="shared" si="50"/>
        <v>1147566493.9640541</v>
      </c>
      <c r="AR90" s="777">
        <f t="shared" si="50"/>
        <v>886132592.37718368</v>
      </c>
      <c r="AS90" s="777">
        <f t="shared" si="50"/>
        <v>1299191922.9056456</v>
      </c>
      <c r="AT90" s="777">
        <f t="shared" si="50"/>
        <v>1166921213.6389177</v>
      </c>
      <c r="AU90" s="777">
        <f t="shared" si="50"/>
        <v>1433872759.36536</v>
      </c>
      <c r="AV90" s="777">
        <f t="shared" si="50"/>
        <v>1660920954.1719918</v>
      </c>
      <c r="AW90" s="412">
        <f t="shared" si="32"/>
        <v>938662121.38008595</v>
      </c>
      <c r="AX90" s="9"/>
      <c r="AY90" s="173" t="s">
        <v>607</v>
      </c>
      <c r="AZ90" s="775">
        <f>AZ35*AZ7+AZ8*AZ36+AZ37*AZ9+AZ10*AZ38+AZ39*AZ74+AZ44*AZ45</f>
        <v>11747837881.893574</v>
      </c>
      <c r="BA90" s="970"/>
      <c r="BB90" s="775">
        <f>BB35*BB7+BB8*BB36+BB37*BB9+BB10*BB38+BB39*BB74+BB44*BB45</f>
        <v>18884477973.945526</v>
      </c>
      <c r="BC90" s="970"/>
      <c r="BD90" s="777">
        <f>BD35*BD7+BD8*BD36+BD37*BD9+BD10*BD38+BD39*BD74+BD44*BD45</f>
        <v>15950293555.158998</v>
      </c>
    </row>
    <row r="91" spans="2:57" x14ac:dyDescent="0.25">
      <c r="C91" s="172"/>
      <c r="D91" s="334"/>
      <c r="E91" s="334"/>
      <c r="F91" s="334"/>
      <c r="G91" s="334"/>
      <c r="H91" s="334"/>
      <c r="I91" s="334"/>
      <c r="J91" s="334"/>
      <c r="K91" s="334"/>
      <c r="L91" s="334"/>
      <c r="M91" s="334"/>
      <c r="N91" s="334"/>
      <c r="O91" s="334"/>
      <c r="P91" s="334"/>
      <c r="Q91" s="334"/>
      <c r="R91" s="334"/>
      <c r="S91" s="334"/>
      <c r="T91" s="334"/>
      <c r="U91" s="334"/>
      <c r="V91" s="334"/>
      <c r="W91" s="334"/>
      <c r="X91" s="334"/>
      <c r="Y91" s="334"/>
      <c r="Z91" s="334"/>
      <c r="AA91" s="334"/>
      <c r="AB91" s="334"/>
      <c r="AC91" s="334"/>
      <c r="AD91" s="334"/>
      <c r="AE91" s="334"/>
      <c r="AF91" s="334"/>
      <c r="AG91" s="334"/>
      <c r="AH91" s="334"/>
      <c r="AI91" s="334"/>
      <c r="AJ91" s="334"/>
      <c r="AK91" s="334"/>
      <c r="AL91" s="334"/>
      <c r="AM91" s="334"/>
      <c r="AN91" s="182"/>
      <c r="AO91" s="182"/>
      <c r="AP91" s="182"/>
      <c r="AQ91" s="9"/>
      <c r="AR91" s="9"/>
      <c r="AS91" s="9"/>
      <c r="AT91" s="9"/>
      <c r="AU91" s="9"/>
      <c r="AV91" s="9"/>
      <c r="AW91" s="9"/>
      <c r="AX91" s="9"/>
      <c r="AY91" s="978"/>
      <c r="AZ91" s="978"/>
      <c r="BA91" s="970"/>
      <c r="BB91" s="761"/>
      <c r="BC91" s="970"/>
      <c r="BD91" s="761"/>
    </row>
    <row r="92" spans="2:57" x14ac:dyDescent="0.25">
      <c r="C92" s="172"/>
      <c r="D92" s="334"/>
      <c r="E92" s="334"/>
      <c r="F92" s="334"/>
      <c r="G92" s="334"/>
      <c r="H92" s="334"/>
      <c r="I92" s="334"/>
      <c r="J92" s="334"/>
      <c r="K92" s="334"/>
      <c r="L92" s="334"/>
      <c r="M92" s="334"/>
      <c r="N92" s="334"/>
      <c r="O92" s="334"/>
      <c r="P92" s="334"/>
      <c r="Q92" s="334"/>
      <c r="R92" s="334"/>
      <c r="S92" s="334"/>
      <c r="T92" s="334"/>
      <c r="U92" s="334"/>
      <c r="V92" s="334"/>
      <c r="W92" s="334"/>
      <c r="X92" s="334"/>
      <c r="Y92" s="334"/>
      <c r="Z92" s="334"/>
      <c r="AA92" s="334"/>
      <c r="AB92" s="334"/>
      <c r="AC92" s="334"/>
      <c r="AD92" s="334"/>
      <c r="AE92" s="334"/>
      <c r="AF92" s="334"/>
      <c r="AG92" s="334"/>
      <c r="AH92" s="334"/>
      <c r="AI92" s="334"/>
      <c r="AJ92" s="334"/>
      <c r="AK92" s="334"/>
      <c r="AL92" s="334"/>
      <c r="AM92" s="334"/>
      <c r="AN92" s="182"/>
      <c r="AO92" s="182"/>
      <c r="AP92" s="182"/>
      <c r="AQ92" s="9"/>
      <c r="AR92" s="9"/>
      <c r="AS92" s="9"/>
      <c r="AT92" s="9"/>
      <c r="AU92" s="9"/>
      <c r="AV92" s="9"/>
      <c r="AW92" s="9"/>
      <c r="AX92" s="9"/>
      <c r="AY92" s="9"/>
      <c r="AZ92" s="9"/>
      <c r="BA92" s="970"/>
      <c r="BB92" s="9"/>
      <c r="BC92" s="970"/>
      <c r="BD92" s="9"/>
    </row>
    <row r="93" spans="2:57" x14ac:dyDescent="0.25">
      <c r="B93" s="16"/>
      <c r="C93" s="973" t="s">
        <v>157</v>
      </c>
      <c r="D93" s="973"/>
      <c r="E93" s="973"/>
      <c r="F93" s="973"/>
      <c r="G93" s="973"/>
      <c r="H93" s="973"/>
      <c r="I93" s="973"/>
      <c r="J93" s="973"/>
      <c r="K93" s="973"/>
      <c r="L93" s="973"/>
      <c r="M93" s="973"/>
      <c r="N93" s="973"/>
      <c r="O93" s="973"/>
      <c r="P93" s="973"/>
      <c r="Q93" s="973"/>
      <c r="R93" s="973"/>
      <c r="S93" s="973"/>
      <c r="T93" s="973"/>
      <c r="U93" s="973"/>
      <c r="V93" s="973"/>
      <c r="W93" s="973"/>
      <c r="X93" s="973"/>
      <c r="Y93" s="973"/>
      <c r="Z93" s="973"/>
      <c r="AA93" s="973"/>
      <c r="AB93" s="973"/>
      <c r="AC93" s="973"/>
      <c r="AD93" s="973"/>
      <c r="AE93" s="974"/>
      <c r="AF93" s="974"/>
      <c r="AG93" s="974"/>
      <c r="AH93" s="974"/>
      <c r="AI93" s="974"/>
      <c r="AJ93" s="974"/>
      <c r="AK93" s="974"/>
      <c r="AL93" s="974"/>
      <c r="AM93" s="974"/>
      <c r="AN93" s="974"/>
      <c r="AO93" s="974"/>
      <c r="AP93" s="974"/>
      <c r="AQ93" s="974"/>
      <c r="AR93" s="974"/>
      <c r="AS93" s="974"/>
      <c r="AT93" s="974"/>
      <c r="AU93" s="974"/>
      <c r="AV93" s="974"/>
      <c r="AW93" s="974"/>
      <c r="AY93" s="364" t="str">
        <f>C93</f>
        <v>PVC  Prices India- (Data by Chemanalyst)</v>
      </c>
      <c r="BA93" s="970"/>
      <c r="BC93" s="970"/>
    </row>
    <row r="94" spans="2:57" x14ac:dyDescent="0.25">
      <c r="B94" s="16"/>
      <c r="C94" s="414" t="s">
        <v>156</v>
      </c>
      <c r="D94" s="415">
        <v>68800</v>
      </c>
      <c r="E94" s="415">
        <v>70300</v>
      </c>
      <c r="F94" s="415">
        <v>74650</v>
      </c>
      <c r="G94" s="415">
        <v>74650</v>
      </c>
      <c r="H94" s="415">
        <v>74038</v>
      </c>
      <c r="I94" s="415">
        <v>77038</v>
      </c>
      <c r="J94" s="415">
        <v>85370</v>
      </c>
      <c r="K94" s="415">
        <v>86820</v>
      </c>
      <c r="L94" s="415">
        <v>87660</v>
      </c>
      <c r="M94" s="415">
        <v>84450</v>
      </c>
      <c r="N94" s="415">
        <v>87130</v>
      </c>
      <c r="O94" s="415">
        <v>85840</v>
      </c>
      <c r="P94" s="415">
        <v>69920</v>
      </c>
      <c r="Q94" s="415">
        <v>73060</v>
      </c>
      <c r="R94" s="415">
        <v>73390</v>
      </c>
      <c r="S94" s="415">
        <v>71080</v>
      </c>
      <c r="T94" s="415">
        <v>71100</v>
      </c>
      <c r="U94" s="415">
        <v>69220</v>
      </c>
      <c r="V94" s="415">
        <v>73140</v>
      </c>
      <c r="W94" s="415">
        <v>75100</v>
      </c>
      <c r="X94" s="415">
        <v>76560</v>
      </c>
      <c r="Y94" s="415">
        <v>75820</v>
      </c>
      <c r="Z94" s="415">
        <v>74240</v>
      </c>
      <c r="AA94" s="415">
        <v>74180</v>
      </c>
      <c r="AB94" s="415">
        <v>74790</v>
      </c>
      <c r="AC94" s="415">
        <v>76180</v>
      </c>
      <c r="AD94" s="415">
        <v>75130</v>
      </c>
      <c r="AE94" s="415">
        <v>70280</v>
      </c>
      <c r="AF94" s="415">
        <v>65840</v>
      </c>
      <c r="AG94" s="415">
        <v>73050</v>
      </c>
      <c r="AH94" s="415">
        <v>75370</v>
      </c>
      <c r="AI94" s="415">
        <v>78360</v>
      </c>
      <c r="AJ94" s="415">
        <v>85450</v>
      </c>
      <c r="AK94" s="415">
        <v>93490</v>
      </c>
      <c r="AL94" s="415">
        <v>98520</v>
      </c>
      <c r="AM94" s="415">
        <v>110130</v>
      </c>
      <c r="AN94" s="415">
        <v>118350</v>
      </c>
      <c r="AO94" s="415">
        <v>118720</v>
      </c>
      <c r="AP94" s="415">
        <v>130090</v>
      </c>
      <c r="AQ94" s="415">
        <v>133480</v>
      </c>
      <c r="AR94" s="415">
        <v>134090</v>
      </c>
      <c r="AS94" s="415">
        <v>124550</v>
      </c>
      <c r="AT94" s="415">
        <v>118450</v>
      </c>
      <c r="AU94" s="415">
        <v>126560</v>
      </c>
      <c r="AV94" s="415">
        <v>132725.1</v>
      </c>
      <c r="AW94" s="412">
        <f>AVERAGE(D94:AV94)</f>
        <v>87714.691111111111</v>
      </c>
      <c r="AY94" s="364" t="str">
        <f>C94</f>
        <v>PVC Suspension  rigid grade K67 Ex Mumbai (India)</v>
      </c>
      <c r="AZ94" s="784">
        <f>AW94</f>
        <v>87714.691111111111</v>
      </c>
      <c r="BA94" s="970"/>
      <c r="BB94" s="785">
        <f>AZ94</f>
        <v>87714.691111111111</v>
      </c>
      <c r="BC94" s="970"/>
      <c r="BD94" s="785">
        <f>BB94</f>
        <v>87714.691111111111</v>
      </c>
    </row>
    <row r="95" spans="2:57" s="16" customFormat="1" ht="30" x14ac:dyDescent="0.25">
      <c r="C95" s="416" t="s">
        <v>368</v>
      </c>
      <c r="D95" s="417">
        <f>D94*0.97</f>
        <v>66736</v>
      </c>
      <c r="E95" s="417">
        <f t="shared" ref="E95:AV95" si="51">E94*0.97</f>
        <v>68191</v>
      </c>
      <c r="F95" s="417">
        <f t="shared" si="51"/>
        <v>72410.5</v>
      </c>
      <c r="G95" s="417">
        <f t="shared" si="51"/>
        <v>72410.5</v>
      </c>
      <c r="H95" s="417">
        <f t="shared" si="51"/>
        <v>71816.86</v>
      </c>
      <c r="I95" s="417">
        <f t="shared" si="51"/>
        <v>74726.86</v>
      </c>
      <c r="J95" s="417">
        <f t="shared" si="51"/>
        <v>82808.899999999994</v>
      </c>
      <c r="K95" s="417">
        <f t="shared" si="51"/>
        <v>84215.4</v>
      </c>
      <c r="L95" s="417">
        <f t="shared" si="51"/>
        <v>85030.2</v>
      </c>
      <c r="M95" s="417">
        <f t="shared" si="51"/>
        <v>81916.5</v>
      </c>
      <c r="N95" s="417">
        <f t="shared" si="51"/>
        <v>84516.099999999991</v>
      </c>
      <c r="O95" s="417">
        <f t="shared" si="51"/>
        <v>83264.800000000003</v>
      </c>
      <c r="P95" s="417">
        <f t="shared" si="51"/>
        <v>67822.399999999994</v>
      </c>
      <c r="Q95" s="417">
        <f t="shared" si="51"/>
        <v>70868.2</v>
      </c>
      <c r="R95" s="417">
        <f t="shared" si="51"/>
        <v>71188.3</v>
      </c>
      <c r="S95" s="417">
        <f t="shared" si="51"/>
        <v>68947.599999999991</v>
      </c>
      <c r="T95" s="417">
        <f t="shared" si="51"/>
        <v>68967</v>
      </c>
      <c r="U95" s="417">
        <f t="shared" si="51"/>
        <v>67143.399999999994</v>
      </c>
      <c r="V95" s="417">
        <f t="shared" si="51"/>
        <v>70945.8</v>
      </c>
      <c r="W95" s="417">
        <f t="shared" si="51"/>
        <v>72847</v>
      </c>
      <c r="X95" s="417">
        <f t="shared" si="51"/>
        <v>74263.199999999997</v>
      </c>
      <c r="Y95" s="417">
        <f t="shared" si="51"/>
        <v>73545.399999999994</v>
      </c>
      <c r="Z95" s="417">
        <f t="shared" si="51"/>
        <v>72012.800000000003</v>
      </c>
      <c r="AA95" s="417">
        <f t="shared" si="51"/>
        <v>71954.599999999991</v>
      </c>
      <c r="AB95" s="417">
        <f t="shared" si="51"/>
        <v>72546.3</v>
      </c>
      <c r="AC95" s="417">
        <f t="shared" si="51"/>
        <v>73894.599999999991</v>
      </c>
      <c r="AD95" s="417">
        <f t="shared" si="51"/>
        <v>72876.099999999991</v>
      </c>
      <c r="AE95" s="417">
        <f t="shared" si="51"/>
        <v>68171.599999999991</v>
      </c>
      <c r="AF95" s="417">
        <f t="shared" si="51"/>
        <v>63864.799999999996</v>
      </c>
      <c r="AG95" s="417">
        <f t="shared" si="51"/>
        <v>70858.5</v>
      </c>
      <c r="AH95" s="417">
        <f t="shared" si="51"/>
        <v>73108.899999999994</v>
      </c>
      <c r="AI95" s="417">
        <f t="shared" si="51"/>
        <v>76009.2</v>
      </c>
      <c r="AJ95" s="417">
        <f t="shared" si="51"/>
        <v>82886.5</v>
      </c>
      <c r="AK95" s="417">
        <f t="shared" si="51"/>
        <v>90685.3</v>
      </c>
      <c r="AL95" s="417">
        <f t="shared" si="51"/>
        <v>95564.4</v>
      </c>
      <c r="AM95" s="417">
        <f t="shared" si="51"/>
        <v>106826.09999999999</v>
      </c>
      <c r="AN95" s="417">
        <f t="shared" si="51"/>
        <v>114799.5</v>
      </c>
      <c r="AO95" s="417">
        <f t="shared" si="51"/>
        <v>115158.39999999999</v>
      </c>
      <c r="AP95" s="417">
        <f t="shared" si="51"/>
        <v>126187.3</v>
      </c>
      <c r="AQ95" s="417">
        <f t="shared" si="51"/>
        <v>129475.59999999999</v>
      </c>
      <c r="AR95" s="417">
        <f t="shared" si="51"/>
        <v>130067.3</v>
      </c>
      <c r="AS95" s="417">
        <f t="shared" si="51"/>
        <v>120813.5</v>
      </c>
      <c r="AT95" s="417">
        <f t="shared" si="51"/>
        <v>114896.5</v>
      </c>
      <c r="AU95" s="417">
        <f t="shared" si="51"/>
        <v>122763.2</v>
      </c>
      <c r="AV95" s="417">
        <f t="shared" si="51"/>
        <v>128743.34700000001</v>
      </c>
      <c r="AW95" s="418">
        <f>AVERAGE(D95:AV95)</f>
        <v>85083.250377777775</v>
      </c>
      <c r="AY95" s="364" t="str">
        <f>C95</f>
        <v>Average Revenue Per MT for PVC considered (97% OF EX-Mumbai Price TAKEN)</v>
      </c>
      <c r="AZ95" s="784">
        <f>AW95</f>
        <v>85083.250377777775</v>
      </c>
      <c r="BA95" s="970"/>
      <c r="BB95" s="785">
        <f>AZ95</f>
        <v>85083.250377777775</v>
      </c>
      <c r="BC95" s="970"/>
      <c r="BD95" s="785">
        <f>BB95</f>
        <v>85083.250377777775</v>
      </c>
    </row>
    <row r="96" spans="2:57" x14ac:dyDescent="0.25">
      <c r="C96" s="172"/>
      <c r="D96" s="334"/>
      <c r="E96" s="334"/>
      <c r="F96" s="334"/>
      <c r="G96" s="334"/>
      <c r="H96" s="334"/>
      <c r="I96" s="334"/>
      <c r="J96" s="334"/>
      <c r="K96" s="334"/>
      <c r="L96" s="334"/>
      <c r="M96" s="334"/>
      <c r="N96" s="334"/>
      <c r="O96" s="334"/>
      <c r="P96" s="334"/>
      <c r="Q96" s="334"/>
      <c r="R96" s="334"/>
      <c r="S96" s="334"/>
      <c r="T96" s="334"/>
      <c r="U96" s="334"/>
      <c r="V96" s="334"/>
      <c r="W96" s="334"/>
      <c r="X96" s="334"/>
      <c r="Y96" s="334"/>
      <c r="Z96" s="334"/>
      <c r="AA96" s="334"/>
      <c r="AB96" s="334"/>
      <c r="AC96" s="334"/>
      <c r="AD96" s="334"/>
      <c r="AE96" s="334"/>
      <c r="AF96" s="334"/>
      <c r="AG96" s="334"/>
      <c r="AH96" s="334"/>
      <c r="AI96" s="334"/>
      <c r="AJ96" s="334"/>
      <c r="AK96" s="334"/>
      <c r="AL96" s="334"/>
      <c r="AM96" s="334"/>
      <c r="AN96" s="182"/>
      <c r="AO96" s="182"/>
      <c r="AP96" s="182"/>
      <c r="AQ96" s="9"/>
      <c r="AR96" s="9"/>
      <c r="AS96" s="9"/>
      <c r="AT96" s="9"/>
      <c r="AU96" s="9"/>
      <c r="AV96" s="9"/>
      <c r="AW96" s="9"/>
      <c r="AX96" s="9"/>
      <c r="AY96" s="9"/>
      <c r="AZ96" s="9"/>
      <c r="BA96" s="970"/>
      <c r="BB96" s="9"/>
      <c r="BC96" s="970"/>
      <c r="BD96" s="9"/>
    </row>
    <row r="97" spans="3:56" x14ac:dyDescent="0.25">
      <c r="C97" s="172"/>
      <c r="D97" s="334"/>
      <c r="E97" s="334"/>
      <c r="F97" s="334"/>
      <c r="G97" s="334"/>
      <c r="H97" s="334"/>
      <c r="I97" s="334"/>
      <c r="J97" s="334"/>
      <c r="K97" s="334"/>
      <c r="L97" s="334"/>
      <c r="M97" s="334"/>
      <c r="N97" s="334"/>
      <c r="O97" s="334"/>
      <c r="P97" s="334"/>
      <c r="Q97" s="334"/>
      <c r="R97" s="334"/>
      <c r="S97" s="334"/>
      <c r="T97" s="334"/>
      <c r="U97" s="334"/>
      <c r="V97" s="334"/>
      <c r="W97" s="334"/>
      <c r="X97" s="334"/>
      <c r="Y97" s="334"/>
      <c r="Z97" s="334"/>
      <c r="AA97" s="334"/>
      <c r="AB97" s="334"/>
      <c r="AC97" s="334"/>
      <c r="AD97" s="334"/>
      <c r="AE97" s="334"/>
      <c r="AF97" s="334"/>
      <c r="AG97" s="334"/>
      <c r="AH97" s="334"/>
      <c r="AI97" s="334"/>
      <c r="AJ97" s="334"/>
      <c r="AK97" s="334"/>
      <c r="AL97" s="334"/>
      <c r="AM97" s="334"/>
      <c r="AN97" s="182"/>
      <c r="AO97" s="182"/>
      <c r="AP97" s="182"/>
      <c r="AQ97" s="9"/>
      <c r="AR97" s="9"/>
      <c r="AS97" s="9"/>
      <c r="AT97" s="9"/>
      <c r="AU97" s="9"/>
      <c r="AV97" s="9"/>
      <c r="AW97" s="9"/>
      <c r="AX97" s="9"/>
      <c r="AY97" s="9"/>
      <c r="AZ97" s="9"/>
      <c r="BA97" s="970"/>
      <c r="BB97" s="9"/>
      <c r="BC97" s="970"/>
      <c r="BD97" s="9"/>
    </row>
    <row r="98" spans="3:56" x14ac:dyDescent="0.25">
      <c r="C98" s="975" t="s">
        <v>159</v>
      </c>
      <c r="D98" s="975"/>
      <c r="E98" s="975"/>
      <c r="F98" s="975"/>
      <c r="G98" s="975"/>
      <c r="H98" s="975"/>
      <c r="I98" s="975"/>
      <c r="J98" s="975"/>
      <c r="K98" s="975"/>
      <c r="L98" s="975"/>
      <c r="M98" s="975"/>
      <c r="N98" s="975"/>
      <c r="O98" s="975"/>
      <c r="P98" s="975"/>
      <c r="Q98" s="975"/>
      <c r="R98" s="975"/>
      <c r="S98" s="975"/>
      <c r="T98" s="975"/>
      <c r="U98" s="975"/>
      <c r="V98" s="975"/>
      <c r="W98" s="975"/>
      <c r="X98" s="975"/>
      <c r="Y98" s="975"/>
      <c r="Z98" s="975"/>
      <c r="AA98" s="975"/>
      <c r="AB98" s="975"/>
      <c r="AC98" s="975"/>
      <c r="AD98" s="975"/>
      <c r="AE98" s="975"/>
      <c r="AF98" s="975"/>
      <c r="AG98" s="975"/>
      <c r="AH98" s="975"/>
      <c r="AI98" s="975"/>
      <c r="AJ98" s="975"/>
      <c r="AK98" s="975"/>
      <c r="AL98" s="975"/>
      <c r="AM98" s="975"/>
      <c r="AN98" s="975"/>
      <c r="AO98" s="975"/>
      <c r="AP98" s="975"/>
      <c r="AQ98" s="975"/>
      <c r="AR98" s="975"/>
      <c r="AS98" s="975"/>
      <c r="AT98" s="975"/>
      <c r="AU98" s="975"/>
      <c r="AV98" s="975"/>
      <c r="AW98" s="975"/>
      <c r="AY98" s="364" t="str">
        <f>C98</f>
        <v>Acetone Prices India- (Data by Chemanalyst)</v>
      </c>
      <c r="BA98" s="970"/>
      <c r="BC98" s="970"/>
    </row>
    <row r="99" spans="3:56" x14ac:dyDescent="0.25">
      <c r="C99" s="6" t="s">
        <v>158</v>
      </c>
      <c r="D99" s="6">
        <v>66560</v>
      </c>
      <c r="E99" s="6">
        <v>68920</v>
      </c>
      <c r="F99" s="6">
        <v>66980</v>
      </c>
      <c r="G99" s="6">
        <v>69750</v>
      </c>
      <c r="H99" s="6">
        <v>72465</v>
      </c>
      <c r="I99" s="6">
        <v>69700</v>
      </c>
      <c r="J99" s="6">
        <v>66450</v>
      </c>
      <c r="K99" s="6">
        <v>61800</v>
      </c>
      <c r="L99" s="6">
        <v>64200</v>
      </c>
      <c r="M99" s="6">
        <v>69340</v>
      </c>
      <c r="N99" s="6">
        <v>66200</v>
      </c>
      <c r="O99" s="6">
        <v>67300</v>
      </c>
      <c r="P99" s="6">
        <v>63460</v>
      </c>
      <c r="Q99" s="6">
        <v>62020</v>
      </c>
      <c r="R99" s="6">
        <v>60110</v>
      </c>
      <c r="S99" s="6">
        <v>57030</v>
      </c>
      <c r="T99" s="6">
        <v>54580</v>
      </c>
      <c r="U99" s="6">
        <v>51150</v>
      </c>
      <c r="V99" s="6">
        <v>49300</v>
      </c>
      <c r="W99" s="6">
        <v>50880</v>
      </c>
      <c r="X99" s="6">
        <v>56390</v>
      </c>
      <c r="Y99" s="6">
        <v>57460</v>
      </c>
      <c r="Z99" s="6">
        <v>54240</v>
      </c>
      <c r="AA99" s="6">
        <v>52760</v>
      </c>
      <c r="AB99" s="6">
        <v>54180</v>
      </c>
      <c r="AC99" s="6">
        <v>56350</v>
      </c>
      <c r="AD99" s="6">
        <v>50075</v>
      </c>
      <c r="AE99" s="6">
        <v>55010</v>
      </c>
      <c r="AF99" s="6">
        <v>56130</v>
      </c>
      <c r="AG99" s="6">
        <v>55730</v>
      </c>
      <c r="AH99" s="6">
        <v>58960</v>
      </c>
      <c r="AI99" s="6">
        <v>66830</v>
      </c>
      <c r="AJ99" s="6">
        <v>66400</v>
      </c>
      <c r="AK99" s="6">
        <v>67680</v>
      </c>
      <c r="AL99" s="6">
        <v>72030</v>
      </c>
      <c r="AM99" s="6">
        <v>80250</v>
      </c>
      <c r="AN99" s="6">
        <v>75640</v>
      </c>
      <c r="AO99" s="6">
        <v>85370</v>
      </c>
      <c r="AP99" s="6">
        <v>104400</v>
      </c>
      <c r="AQ99" s="6">
        <v>104940</v>
      </c>
      <c r="AR99" s="6">
        <v>107470</v>
      </c>
      <c r="AS99" s="6">
        <v>98400</v>
      </c>
      <c r="AT99" s="6">
        <v>73230</v>
      </c>
      <c r="AU99" s="6">
        <v>66620</v>
      </c>
      <c r="AV99" s="6">
        <v>65090</v>
      </c>
      <c r="AW99" s="179">
        <f>AVERAGE(D99:AV99)</f>
        <v>66662.888888888891</v>
      </c>
      <c r="AY99" s="364" t="str">
        <f>C99</f>
        <v>Acetone Ex-Ahmedabad (India)</v>
      </c>
      <c r="AZ99" s="786">
        <f>AW99</f>
        <v>66662.888888888891</v>
      </c>
      <c r="BA99" s="970"/>
      <c r="BB99" s="788">
        <f>AZ99</f>
        <v>66662.888888888891</v>
      </c>
      <c r="BC99" s="970"/>
      <c r="BD99" s="788">
        <f>BB99</f>
        <v>66662.888888888891</v>
      </c>
    </row>
    <row r="100" spans="3:56" x14ac:dyDescent="0.25">
      <c r="C100" s="975" t="s">
        <v>161</v>
      </c>
      <c r="D100" s="975"/>
      <c r="E100" s="975"/>
      <c r="F100" s="975"/>
      <c r="G100" s="975"/>
      <c r="H100" s="975"/>
      <c r="I100" s="975"/>
      <c r="J100" s="975"/>
      <c r="K100" s="975"/>
      <c r="L100" s="975"/>
      <c r="M100" s="975"/>
      <c r="N100" s="975"/>
      <c r="O100" s="975"/>
      <c r="P100" s="975"/>
      <c r="Q100" s="975"/>
      <c r="R100" s="975"/>
      <c r="S100" s="975"/>
      <c r="T100" s="975"/>
      <c r="U100" s="975"/>
      <c r="V100" s="975"/>
      <c r="W100" s="975"/>
      <c r="X100" s="975"/>
      <c r="Y100" s="975"/>
      <c r="Z100" s="975"/>
      <c r="AA100" s="975"/>
      <c r="AB100" s="975"/>
      <c r="AC100" s="975"/>
      <c r="AD100" s="975"/>
      <c r="AE100" s="975"/>
      <c r="AF100" s="975"/>
      <c r="AG100" s="975"/>
      <c r="AH100" s="975"/>
      <c r="AI100" s="975"/>
      <c r="AJ100" s="975"/>
      <c r="AK100" s="975"/>
      <c r="AL100" s="975"/>
      <c r="AM100" s="975"/>
      <c r="AN100" s="975"/>
      <c r="AO100" s="975"/>
      <c r="AP100" s="975"/>
      <c r="AQ100" s="975"/>
      <c r="AR100" s="975"/>
      <c r="AS100" s="975"/>
      <c r="AT100" s="975"/>
      <c r="AU100" s="975"/>
      <c r="AV100" s="975"/>
      <c r="AW100" s="975"/>
      <c r="AY100" s="364" t="str">
        <f>C100</f>
        <v>Phenol Prices India- (Data by Chemanalyst)</v>
      </c>
      <c r="BA100" s="970"/>
      <c r="BB100" s="788"/>
      <c r="BC100" s="970"/>
      <c r="BD100" s="788"/>
    </row>
    <row r="101" spans="3:56" ht="15.75" x14ac:dyDescent="0.25">
      <c r="C101" s="183" t="s">
        <v>160</v>
      </c>
      <c r="D101" s="183">
        <v>95670</v>
      </c>
      <c r="E101" s="183">
        <v>94470</v>
      </c>
      <c r="F101" s="183">
        <v>96500</v>
      </c>
      <c r="G101" s="183">
        <v>98700</v>
      </c>
      <c r="H101" s="183">
        <v>97560</v>
      </c>
      <c r="I101" s="183">
        <v>95400</v>
      </c>
      <c r="J101" s="183">
        <v>96320</v>
      </c>
      <c r="K101" s="183">
        <v>96320</v>
      </c>
      <c r="L101" s="183">
        <v>97240</v>
      </c>
      <c r="M101" s="183">
        <v>102840</v>
      </c>
      <c r="N101" s="183">
        <v>102400</v>
      </c>
      <c r="O101" s="183">
        <v>99300</v>
      </c>
      <c r="P101" s="183">
        <v>94680</v>
      </c>
      <c r="Q101" s="183">
        <v>91500</v>
      </c>
      <c r="R101" s="183">
        <v>88200</v>
      </c>
      <c r="S101" s="183">
        <v>87400</v>
      </c>
      <c r="T101" s="183">
        <v>85200</v>
      </c>
      <c r="U101" s="183">
        <v>83500</v>
      </c>
      <c r="V101" s="183">
        <v>83400</v>
      </c>
      <c r="W101" s="183">
        <v>79600</v>
      </c>
      <c r="X101" s="183">
        <v>80570</v>
      </c>
      <c r="Y101" s="183">
        <v>79300</v>
      </c>
      <c r="Z101" s="183">
        <v>75800</v>
      </c>
      <c r="AA101" s="183">
        <v>71250</v>
      </c>
      <c r="AB101" s="183">
        <v>76400</v>
      </c>
      <c r="AC101" s="183">
        <v>83500</v>
      </c>
      <c r="AD101" s="183">
        <v>81600</v>
      </c>
      <c r="AE101" s="183">
        <v>77800</v>
      </c>
      <c r="AF101" s="183">
        <v>77000</v>
      </c>
      <c r="AG101" s="183">
        <v>77650</v>
      </c>
      <c r="AH101" s="183">
        <v>79000</v>
      </c>
      <c r="AI101" s="183">
        <v>79200</v>
      </c>
      <c r="AJ101" s="183">
        <v>81000</v>
      </c>
      <c r="AK101" s="183">
        <v>80000</v>
      </c>
      <c r="AL101" s="183">
        <v>80600</v>
      </c>
      <c r="AM101" s="183">
        <v>85680</v>
      </c>
      <c r="AN101" s="183">
        <v>79080</v>
      </c>
      <c r="AO101" s="183">
        <v>85390</v>
      </c>
      <c r="AP101" s="183">
        <v>104190</v>
      </c>
      <c r="AQ101" s="183">
        <v>101680</v>
      </c>
      <c r="AR101" s="183">
        <v>104260</v>
      </c>
      <c r="AS101" s="183">
        <v>105810</v>
      </c>
      <c r="AT101" s="183">
        <v>114750</v>
      </c>
      <c r="AU101" s="183">
        <v>120930</v>
      </c>
      <c r="AV101" s="183">
        <v>121060</v>
      </c>
      <c r="AW101" s="179">
        <f>AVERAGE(D101:AV101)</f>
        <v>90437.777777777781</v>
      </c>
      <c r="AY101" s="364" t="str">
        <f>C101</f>
        <v>Phenol  Ex-Dahej (India)</v>
      </c>
      <c r="AZ101" s="787">
        <f>AW101</f>
        <v>90437.777777777781</v>
      </c>
      <c r="BA101" s="970"/>
      <c r="BB101" s="788">
        <f>AZ101</f>
        <v>90437.777777777781</v>
      </c>
      <c r="BC101" s="970"/>
      <c r="BD101" s="788">
        <f>BB101</f>
        <v>90437.777777777781</v>
      </c>
    </row>
    <row r="102" spans="3:56" x14ac:dyDescent="0.25">
      <c r="BA102" s="970"/>
      <c r="BC102" s="970"/>
    </row>
    <row r="103" spans="3:56" x14ac:dyDescent="0.25">
      <c r="C103" s="390" t="s">
        <v>610</v>
      </c>
      <c r="D103" s="190"/>
      <c r="E103" s="190"/>
      <c r="F103" s="190"/>
      <c r="G103" s="190"/>
      <c r="H103" s="190"/>
      <c r="I103" s="190"/>
      <c r="J103" s="190"/>
      <c r="K103" s="190"/>
      <c r="L103" s="190"/>
      <c r="M103" s="190"/>
      <c r="N103" s="190"/>
      <c r="O103" s="190"/>
      <c r="P103" s="190"/>
      <c r="Q103" s="190"/>
      <c r="R103" s="190"/>
      <c r="S103" s="190"/>
      <c r="T103" s="190"/>
      <c r="U103" s="190"/>
      <c r="V103" s="190"/>
      <c r="W103" s="190"/>
      <c r="X103" s="190"/>
      <c r="Y103" s="190"/>
      <c r="Z103" s="190"/>
      <c r="AA103" s="190"/>
      <c r="AB103" s="190"/>
      <c r="AC103" s="190"/>
      <c r="AD103" s="190"/>
      <c r="AE103" s="190"/>
      <c r="AF103" s="190"/>
      <c r="AG103" s="190"/>
      <c r="AH103" s="190"/>
      <c r="AI103" s="190"/>
      <c r="AJ103" s="190"/>
      <c r="AK103" s="190"/>
      <c r="AL103" s="190"/>
      <c r="AM103" s="190"/>
      <c r="AN103" s="190"/>
      <c r="AO103" s="190"/>
      <c r="AP103" s="190"/>
      <c r="AQ103" s="190"/>
      <c r="AR103" s="190"/>
      <c r="AS103" s="190"/>
      <c r="AT103" s="190"/>
      <c r="AU103" s="190"/>
      <c r="AV103" s="190"/>
      <c r="AW103" s="179"/>
      <c r="AY103" s="390" t="s">
        <v>610</v>
      </c>
      <c r="AZ103" s="645"/>
      <c r="BA103" s="970"/>
      <c r="BB103" s="609"/>
      <c r="BC103" s="970"/>
      <c r="BD103" s="609"/>
    </row>
    <row r="104" spans="3:56" x14ac:dyDescent="0.25">
      <c r="C104" s="541" t="s">
        <v>585</v>
      </c>
      <c r="D104" s="646">
        <f>D55</f>
        <v>2897669.2020791951</v>
      </c>
      <c r="E104" s="646">
        <f>E55</f>
        <v>3053854.9202593695</v>
      </c>
      <c r="F104" s="646">
        <f t="shared" ref="F104:AV104" si="52">F55</f>
        <v>3824405.9205269287</v>
      </c>
      <c r="G104" s="646">
        <f t="shared" si="52"/>
        <v>2008684.8254837201</v>
      </c>
      <c r="H104" s="646">
        <f t="shared" si="52"/>
        <v>2785706.5833061119</v>
      </c>
      <c r="I104" s="646">
        <f t="shared" si="52"/>
        <v>3890196.2585603124</v>
      </c>
      <c r="J104" s="646">
        <f t="shared" si="52"/>
        <v>3816280.8796575745</v>
      </c>
      <c r="K104" s="646">
        <f t="shared" si="52"/>
        <v>4295786.9135947628</v>
      </c>
      <c r="L104" s="646">
        <f t="shared" si="52"/>
        <v>4104226.1968806679</v>
      </c>
      <c r="M104" s="646">
        <f t="shared" si="52"/>
        <v>3661256.6523926244</v>
      </c>
      <c r="N104" s="646">
        <f t="shared" si="52"/>
        <v>3138218.4959114981</v>
      </c>
      <c r="O104" s="646">
        <f t="shared" si="52"/>
        <v>3654453.054009588</v>
      </c>
      <c r="P104" s="646">
        <f t="shared" si="52"/>
        <v>4181445.152990934</v>
      </c>
      <c r="Q104" s="646">
        <f t="shared" si="52"/>
        <v>4229534.9380382802</v>
      </c>
      <c r="R104" s="646">
        <f t="shared" si="52"/>
        <v>5151690.2652221508</v>
      </c>
      <c r="S104" s="646">
        <f t="shared" si="52"/>
        <v>4975309.5733816084</v>
      </c>
      <c r="T104" s="646">
        <f t="shared" si="52"/>
        <v>4878087.794355792</v>
      </c>
      <c r="U104" s="646">
        <f t="shared" si="52"/>
        <v>4941963.9930402245</v>
      </c>
      <c r="V104" s="646">
        <f t="shared" si="52"/>
        <v>5387066.8053081287</v>
      </c>
      <c r="W104" s="646">
        <f t="shared" si="52"/>
        <v>3882176.05355928</v>
      </c>
      <c r="X104" s="646">
        <f t="shared" si="52"/>
        <v>4349847.2956984323</v>
      </c>
      <c r="Y104" s="646">
        <f t="shared" si="52"/>
        <v>4070613.7405048162</v>
      </c>
      <c r="Z104" s="646">
        <f t="shared" si="52"/>
        <v>5028872.7538297605</v>
      </c>
      <c r="AA104" s="646">
        <f t="shared" si="52"/>
        <v>5721004.1459145965</v>
      </c>
      <c r="AB104" s="646">
        <f t="shared" si="52"/>
        <v>5536293.4408069244</v>
      </c>
      <c r="AC104" s="646">
        <f t="shared" si="52"/>
        <v>5101799.5310743842</v>
      </c>
      <c r="AD104" s="646">
        <f t="shared" si="52"/>
        <v>4576053.7431740006</v>
      </c>
      <c r="AE104" s="646">
        <f t="shared" si="52"/>
        <v>2028780.010713808</v>
      </c>
      <c r="AF104" s="646">
        <f t="shared" si="52"/>
        <v>3013900.6770731681</v>
      </c>
      <c r="AG104" s="646">
        <f t="shared" si="52"/>
        <v>4590847.9581281599</v>
      </c>
      <c r="AH104" s="646">
        <f t="shared" si="52"/>
        <v>5594649.9469002243</v>
      </c>
      <c r="AI104" s="646">
        <f t="shared" si="52"/>
        <v>5391419.2053311132</v>
      </c>
      <c r="AJ104" s="646">
        <f t="shared" si="52"/>
        <v>5107590.7410223233</v>
      </c>
      <c r="AK104" s="646">
        <f t="shared" si="52"/>
        <v>5286379.6989912847</v>
      </c>
      <c r="AL104" s="646">
        <f t="shared" si="52"/>
        <v>5229335.5267892135</v>
      </c>
      <c r="AM104" s="646">
        <f t="shared" si="52"/>
        <v>4240075.961234442</v>
      </c>
      <c r="AN104" s="646">
        <f t="shared" si="52"/>
        <v>5254818.1269237846</v>
      </c>
      <c r="AO104" s="646">
        <f t="shared" si="52"/>
        <v>4891518.6208730005</v>
      </c>
      <c r="AP104" s="646">
        <f t="shared" si="52"/>
        <v>5887405.4145619432</v>
      </c>
      <c r="AQ104" s="646">
        <f t="shared" si="52"/>
        <v>4997751.5272191307</v>
      </c>
      <c r="AR104" s="646">
        <f t="shared" si="52"/>
        <v>4326905.3444127608</v>
      </c>
      <c r="AS104" s="646">
        <f t="shared" si="52"/>
        <v>5123728.705531151</v>
      </c>
      <c r="AT104" s="646">
        <f t="shared" si="52"/>
        <v>4403911.1587938555</v>
      </c>
      <c r="AU104" s="646">
        <f t="shared" si="52"/>
        <v>5192966.1249442566</v>
      </c>
      <c r="AV104" s="646">
        <f t="shared" si="52"/>
        <v>5472356.3247667989</v>
      </c>
      <c r="AW104" s="179">
        <f t="shared" ref="AW104:AW114" si="53">AVERAGE(D104:AV104)</f>
        <v>4426152.0045282701</v>
      </c>
      <c r="AY104" s="541" t="s">
        <v>585</v>
      </c>
      <c r="AZ104" s="646">
        <f>AZ55</f>
        <v>80405107.862628803</v>
      </c>
      <c r="BA104" s="970"/>
      <c r="BB104" s="646">
        <f>BB55</f>
        <v>78183074.793043211</v>
      </c>
      <c r="BC104" s="970"/>
      <c r="BD104" s="190">
        <f>BD55</f>
        <v>70311972.272137761</v>
      </c>
    </row>
    <row r="105" spans="3:56" x14ac:dyDescent="0.25">
      <c r="C105" s="541" t="s">
        <v>586</v>
      </c>
      <c r="D105" s="646">
        <f>D56</f>
        <v>5691528.2233682042</v>
      </c>
      <c r="E105" s="646">
        <f>E56</f>
        <v>5998304.2426845748</v>
      </c>
      <c r="F105" s="646">
        <f t="shared" ref="F105:AV105" si="54">F56</f>
        <v>7511800.9394160574</v>
      </c>
      <c r="G105" s="646">
        <f t="shared" si="54"/>
        <v>3945407.6979831783</v>
      </c>
      <c r="H105" s="646">
        <f t="shared" si="54"/>
        <v>5471614.0922962474</v>
      </c>
      <c r="I105" s="646">
        <f t="shared" si="54"/>
        <v>7641024.6497944733</v>
      </c>
      <c r="J105" s="646">
        <f t="shared" si="54"/>
        <v>7495841.9405797627</v>
      </c>
      <c r="K105" s="646">
        <f t="shared" si="54"/>
        <v>8437675.5092530269</v>
      </c>
      <c r="L105" s="646">
        <f t="shared" si="54"/>
        <v>8061416.8166166842</v>
      </c>
      <c r="M105" s="646">
        <f t="shared" si="54"/>
        <v>7191347.2922081649</v>
      </c>
      <c r="N105" s="646">
        <f t="shared" si="54"/>
        <v>6164009.0344889024</v>
      </c>
      <c r="O105" s="646">
        <f t="shared" si="54"/>
        <v>7177983.8371285694</v>
      </c>
      <c r="P105" s="646">
        <f t="shared" si="54"/>
        <v>8213088.3282458428</v>
      </c>
      <c r="Q105" s="646">
        <f t="shared" si="54"/>
        <v>8307545.062180927</v>
      </c>
      <c r="R105" s="646">
        <f t="shared" si="54"/>
        <v>10118819.125911303</v>
      </c>
      <c r="S105" s="646">
        <f t="shared" si="54"/>
        <v>9772376.6524407864</v>
      </c>
      <c r="T105" s="646">
        <f t="shared" si="54"/>
        <v>9581416.1042683255</v>
      </c>
      <c r="U105" s="646">
        <f t="shared" si="54"/>
        <v>9706880.1107715722</v>
      </c>
      <c r="V105" s="646">
        <f t="shared" si="54"/>
        <v>10581139.745551683</v>
      </c>
      <c r="W105" s="646">
        <f t="shared" si="54"/>
        <v>7625271.5669070892</v>
      </c>
      <c r="X105" s="646">
        <f t="shared" si="54"/>
        <v>8543859.5382264964</v>
      </c>
      <c r="Y105" s="646">
        <f t="shared" si="54"/>
        <v>7995396.0838212976</v>
      </c>
      <c r="Z105" s="646">
        <f t="shared" si="54"/>
        <v>9877584.0905552804</v>
      </c>
      <c r="AA105" s="646">
        <f t="shared" si="54"/>
        <v>11237050.985362794</v>
      </c>
      <c r="AB105" s="646">
        <f t="shared" si="54"/>
        <v>10874246.911480166</v>
      </c>
      <c r="AC105" s="646">
        <f t="shared" si="54"/>
        <v>10020825.013511302</v>
      </c>
      <c r="AD105" s="646">
        <f t="shared" si="54"/>
        <v>8988168.4949532505</v>
      </c>
      <c r="AE105" s="646">
        <f t="shared" si="54"/>
        <v>3984878.1502379738</v>
      </c>
      <c r="AF105" s="646">
        <f t="shared" si="54"/>
        <v>5919827.1333670542</v>
      </c>
      <c r="AG105" s="646">
        <f t="shared" si="54"/>
        <v>9017226.9160779789</v>
      </c>
      <c r="AH105" s="646">
        <f t="shared" si="54"/>
        <v>10988869.278039072</v>
      </c>
      <c r="AI105" s="646">
        <f t="shared" si="54"/>
        <v>10589688.619091988</v>
      </c>
      <c r="AJ105" s="646">
        <f t="shared" si="54"/>
        <v>10032199.960949225</v>
      </c>
      <c r="AK105" s="646">
        <f t="shared" si="54"/>
        <v>10383372.689560477</v>
      </c>
      <c r="AL105" s="646">
        <f t="shared" si="54"/>
        <v>10271327.975887224</v>
      </c>
      <c r="AM105" s="646">
        <f t="shared" si="54"/>
        <v>8328249.4721187772</v>
      </c>
      <c r="AN105" s="646">
        <f t="shared" si="54"/>
        <v>10321380.251615126</v>
      </c>
      <c r="AO105" s="646">
        <f t="shared" si="54"/>
        <v>9607796.5924658738</v>
      </c>
      <c r="AP105" s="646">
        <f t="shared" si="54"/>
        <v>11563892.129352273</v>
      </c>
      <c r="AQ105" s="646">
        <f t="shared" si="54"/>
        <v>9816456.5679681133</v>
      </c>
      <c r="AR105" s="646">
        <f t="shared" si="54"/>
        <v>8498797.5404153429</v>
      </c>
      <c r="AS105" s="646">
        <f t="shared" si="54"/>
        <v>10063897.740807535</v>
      </c>
      <c r="AT105" s="646">
        <f t="shared" si="54"/>
        <v>8650050.4044755232</v>
      </c>
      <c r="AU105" s="646">
        <f t="shared" si="54"/>
        <v>10199892.1208493</v>
      </c>
      <c r="AV105" s="646">
        <f t="shared" si="54"/>
        <v>10748663.252654642</v>
      </c>
      <c r="AW105" s="179">
        <f t="shared" si="53"/>
        <v>8693735.308576433</v>
      </c>
      <c r="AY105" s="541" t="s">
        <v>586</v>
      </c>
      <c r="AZ105" s="646">
        <f>AZ56</f>
        <v>157929669.94809139</v>
      </c>
      <c r="BA105" s="970"/>
      <c r="BB105" s="646">
        <f>BB56</f>
        <v>153565209.04974958</v>
      </c>
      <c r="BC105" s="970"/>
      <c r="BD105" s="190">
        <f>BD56</f>
        <v>138104989.46546677</v>
      </c>
    </row>
    <row r="106" spans="3:56" x14ac:dyDescent="0.25">
      <c r="C106" s="621" t="s">
        <v>679</v>
      </c>
      <c r="D106" s="645">
        <f>D54</f>
        <v>216333437.2897571</v>
      </c>
      <c r="E106" s="645">
        <f>E54</f>
        <v>277688254.30769551</v>
      </c>
      <c r="F106" s="645">
        <f t="shared" ref="F106:AV106" si="55">F54</f>
        <v>349603113.50480163</v>
      </c>
      <c r="G106" s="645">
        <f t="shared" si="55"/>
        <v>177400045.94194245</v>
      </c>
      <c r="H106" s="645">
        <f t="shared" si="55"/>
        <v>267178399.20277074</v>
      </c>
      <c r="I106" s="645">
        <f t="shared" si="55"/>
        <v>404294561.7526623</v>
      </c>
      <c r="J106" s="645">
        <f t="shared" si="55"/>
        <v>405399319.49419034</v>
      </c>
      <c r="K106" s="645">
        <f t="shared" si="55"/>
        <v>462645986.80191046</v>
      </c>
      <c r="L106" s="645">
        <f t="shared" si="55"/>
        <v>435302194.65032911</v>
      </c>
      <c r="M106" s="645">
        <f t="shared" si="55"/>
        <v>415926529.53482842</v>
      </c>
      <c r="N106" s="645">
        <f t="shared" si="55"/>
        <v>337500674.55441183</v>
      </c>
      <c r="O106" s="645">
        <f t="shared" si="55"/>
        <v>370110253.58509421</v>
      </c>
      <c r="P106" s="645">
        <f t="shared" si="55"/>
        <v>419046342.10246813</v>
      </c>
      <c r="Q106" s="645">
        <f t="shared" si="55"/>
        <v>457118940.85036141</v>
      </c>
      <c r="R106" s="645">
        <f t="shared" si="55"/>
        <v>500927856.58851689</v>
      </c>
      <c r="S106" s="645">
        <f t="shared" si="55"/>
        <v>431932219.86584836</v>
      </c>
      <c r="T106" s="645">
        <f t="shared" si="55"/>
        <v>414602215.90783554</v>
      </c>
      <c r="U106" s="645">
        <f t="shared" si="55"/>
        <v>443947838.83053964</v>
      </c>
      <c r="V106" s="645">
        <f t="shared" si="55"/>
        <v>522784289.93537885</v>
      </c>
      <c r="W106" s="645">
        <f t="shared" si="55"/>
        <v>348008960.6985985</v>
      </c>
      <c r="X106" s="645">
        <f t="shared" si="55"/>
        <v>378764295.49174744</v>
      </c>
      <c r="Y106" s="645">
        <f t="shared" si="55"/>
        <v>417034923.81650889</v>
      </c>
      <c r="Z106" s="645">
        <f t="shared" si="55"/>
        <v>506720858.61939961</v>
      </c>
      <c r="AA106" s="645">
        <f t="shared" si="55"/>
        <v>629436487.86928368</v>
      </c>
      <c r="AB106" s="645">
        <f t="shared" si="55"/>
        <v>527849645.16200209</v>
      </c>
      <c r="AC106" s="645">
        <f t="shared" si="55"/>
        <v>467915347.93364948</v>
      </c>
      <c r="AD106" s="645">
        <f t="shared" si="55"/>
        <v>311759209.19357938</v>
      </c>
      <c r="AE106" s="645">
        <f t="shared" si="55"/>
        <v>166048771.61455753</v>
      </c>
      <c r="AF106" s="645">
        <f t="shared" si="55"/>
        <v>236564867.09879041</v>
      </c>
      <c r="AG106" s="645">
        <f t="shared" si="55"/>
        <v>272877980.54039478</v>
      </c>
      <c r="AH106" s="645">
        <f t="shared" si="55"/>
        <v>319867542.73654085</v>
      </c>
      <c r="AI106" s="645">
        <f t="shared" si="55"/>
        <v>351786215.10648209</v>
      </c>
      <c r="AJ106" s="645">
        <f t="shared" si="55"/>
        <v>383174290.85155672</v>
      </c>
      <c r="AK106" s="645">
        <f t="shared" si="55"/>
        <v>414075489.53348297</v>
      </c>
      <c r="AL106" s="645">
        <f t="shared" si="55"/>
        <v>446567624.3188048</v>
      </c>
      <c r="AM106" s="645">
        <f t="shared" si="55"/>
        <v>388333557.57726341</v>
      </c>
      <c r="AN106" s="645">
        <f t="shared" si="55"/>
        <v>546156624.77773046</v>
      </c>
      <c r="AO106" s="645">
        <f t="shared" si="55"/>
        <v>590303821.50764072</v>
      </c>
      <c r="AP106" s="645">
        <f t="shared" si="55"/>
        <v>636204953.06672645</v>
      </c>
      <c r="AQ106" s="645">
        <f t="shared" si="55"/>
        <v>459652724.0079782</v>
      </c>
      <c r="AR106" s="645">
        <f t="shared" si="55"/>
        <v>394353017.03321475</v>
      </c>
      <c r="AS106" s="645">
        <f t="shared" si="55"/>
        <v>505083692.36517674</v>
      </c>
      <c r="AT106" s="645">
        <f t="shared" si="55"/>
        <v>484313796.88437235</v>
      </c>
      <c r="AU106" s="645">
        <f t="shared" si="55"/>
        <v>651235312.88562787</v>
      </c>
      <c r="AV106" s="645">
        <f t="shared" si="55"/>
        <v>736911429.92432845</v>
      </c>
      <c r="AW106" s="179">
        <f t="shared" si="53"/>
        <v>419572087.00703967</v>
      </c>
      <c r="AY106" s="621" t="s">
        <v>679</v>
      </c>
      <c r="AZ106" s="645">
        <f>AZ54</f>
        <v>7600713643.7807589</v>
      </c>
      <c r="BA106" s="970"/>
      <c r="BB106" s="645">
        <f>BB54</f>
        <v>7390664338.2343254</v>
      </c>
      <c r="BC106" s="970"/>
      <c r="BD106" s="190">
        <f>BD54</f>
        <v>6646607176.7856369</v>
      </c>
    </row>
    <row r="107" spans="3:56" x14ac:dyDescent="0.25">
      <c r="C107" s="541" t="s">
        <v>597</v>
      </c>
      <c r="D107" s="646">
        <f>D58</f>
        <v>156379610.98000002</v>
      </c>
      <c r="E107" s="646">
        <f>E58</f>
        <v>164808544.76999998</v>
      </c>
      <c r="F107" s="646">
        <f t="shared" ref="F107:AV107" si="56">F58</f>
        <v>206393162.35700002</v>
      </c>
      <c r="G107" s="646">
        <f t="shared" si="56"/>
        <v>108403454.52999999</v>
      </c>
      <c r="H107" s="646">
        <f t="shared" si="56"/>
        <v>150337281.94</v>
      </c>
      <c r="I107" s="646">
        <f t="shared" si="56"/>
        <v>209943694.44000003</v>
      </c>
      <c r="J107" s="646">
        <f t="shared" si="56"/>
        <v>205954675.19999999</v>
      </c>
      <c r="K107" s="646">
        <f t="shared" si="56"/>
        <v>231832358.89000002</v>
      </c>
      <c r="L107" s="646">
        <f t="shared" si="56"/>
        <v>221494329.16</v>
      </c>
      <c r="M107" s="646">
        <f t="shared" si="56"/>
        <v>197588424.03</v>
      </c>
      <c r="N107" s="646">
        <f t="shared" si="56"/>
        <v>169361425.80000001</v>
      </c>
      <c r="O107" s="646">
        <f t="shared" si="56"/>
        <v>197221251.66</v>
      </c>
      <c r="P107" s="646">
        <f t="shared" si="56"/>
        <v>225661633.80200002</v>
      </c>
      <c r="Q107" s="646">
        <f t="shared" si="56"/>
        <v>228256913.44000003</v>
      </c>
      <c r="R107" s="646">
        <f t="shared" si="56"/>
        <v>278023219.13999999</v>
      </c>
      <c r="S107" s="646">
        <f t="shared" si="56"/>
        <v>268504415.56</v>
      </c>
      <c r="T107" s="646">
        <f t="shared" si="56"/>
        <v>263257611</v>
      </c>
      <c r="U107" s="646">
        <f t="shared" si="56"/>
        <v>266704842</v>
      </c>
      <c r="V107" s="646">
        <f t="shared" si="56"/>
        <v>290725874</v>
      </c>
      <c r="W107" s="646">
        <f t="shared" si="56"/>
        <v>209510865</v>
      </c>
      <c r="X107" s="646">
        <f t="shared" si="56"/>
        <v>234749856</v>
      </c>
      <c r="Y107" s="646">
        <f t="shared" si="56"/>
        <v>219680353</v>
      </c>
      <c r="Z107" s="646">
        <f t="shared" si="56"/>
        <v>271395080</v>
      </c>
      <c r="AA107" s="646">
        <f t="shared" si="56"/>
        <v>308747596.89999998</v>
      </c>
      <c r="AB107" s="646">
        <f t="shared" si="56"/>
        <v>298779244.33999997</v>
      </c>
      <c r="AC107" s="646">
        <f t="shared" si="56"/>
        <v>275330747</v>
      </c>
      <c r="AD107" s="646">
        <f t="shared" si="56"/>
        <v>246957625</v>
      </c>
      <c r="AE107" s="646">
        <f t="shared" si="56"/>
        <v>109487939</v>
      </c>
      <c r="AF107" s="646">
        <f t="shared" si="56"/>
        <v>162652319</v>
      </c>
      <c r="AG107" s="646">
        <f t="shared" si="56"/>
        <v>247756030</v>
      </c>
      <c r="AH107" s="646">
        <f t="shared" si="56"/>
        <v>301928592</v>
      </c>
      <c r="AI107" s="646">
        <f t="shared" si="56"/>
        <v>290960761.62</v>
      </c>
      <c r="AJ107" s="646">
        <f t="shared" si="56"/>
        <v>275643283.42000002</v>
      </c>
      <c r="AK107" s="646">
        <f t="shared" si="56"/>
        <v>285292054.81</v>
      </c>
      <c r="AL107" s="646">
        <f t="shared" si="56"/>
        <v>282213530.37</v>
      </c>
      <c r="AM107" s="646">
        <f t="shared" si="56"/>
        <v>228825784.82999998</v>
      </c>
      <c r="AN107" s="646">
        <f t="shared" si="56"/>
        <v>283588759.5</v>
      </c>
      <c r="AO107" s="646">
        <f t="shared" si="56"/>
        <v>263982437.5</v>
      </c>
      <c r="AP107" s="646">
        <f t="shared" si="56"/>
        <v>317727837.17000002</v>
      </c>
      <c r="AQ107" s="646">
        <f t="shared" si="56"/>
        <v>269715548.98000002</v>
      </c>
      <c r="AR107" s="646">
        <f t="shared" si="56"/>
        <v>233511739.02840051</v>
      </c>
      <c r="AS107" s="646">
        <f t="shared" si="56"/>
        <v>276514207.06100386</v>
      </c>
      <c r="AT107" s="646">
        <f t="shared" si="56"/>
        <v>237667540.97</v>
      </c>
      <c r="AU107" s="646">
        <f t="shared" si="56"/>
        <v>280250769.08999997</v>
      </c>
      <c r="AV107" s="646">
        <f t="shared" si="56"/>
        <v>295328725.78999996</v>
      </c>
      <c r="AW107" s="179">
        <f t="shared" si="53"/>
        <v>238867821.11285341</v>
      </c>
      <c r="AY107" s="541" t="s">
        <v>597</v>
      </c>
      <c r="AZ107" s="646">
        <f>AZ58</f>
        <v>4339252900</v>
      </c>
      <c r="BA107" s="970"/>
      <c r="BB107" s="646">
        <f>BB58</f>
        <v>4219335600</v>
      </c>
      <c r="BC107" s="970"/>
      <c r="BD107" s="190">
        <f>BD58</f>
        <v>3794552830</v>
      </c>
    </row>
    <row r="108" spans="3:56" x14ac:dyDescent="0.25">
      <c r="C108" s="541" t="s">
        <v>598</v>
      </c>
      <c r="D108" s="646">
        <f>D57</f>
        <v>395768775.92000002</v>
      </c>
      <c r="E108" s="646">
        <f>E57</f>
        <v>417100897.07999998</v>
      </c>
      <c r="F108" s="646">
        <f t="shared" ref="F108:AV108" si="57">F57</f>
        <v>522344113.22800004</v>
      </c>
      <c r="G108" s="646">
        <f t="shared" si="57"/>
        <v>274349720.12</v>
      </c>
      <c r="H108" s="646">
        <f t="shared" si="57"/>
        <v>380476723.75999999</v>
      </c>
      <c r="I108" s="646">
        <f t="shared" si="57"/>
        <v>531329873.76000005</v>
      </c>
      <c r="J108" s="646">
        <f t="shared" si="57"/>
        <v>521234380.79999995</v>
      </c>
      <c r="K108" s="646">
        <f t="shared" si="57"/>
        <v>586726161.56000006</v>
      </c>
      <c r="L108" s="646">
        <f t="shared" si="57"/>
        <v>560562460.63999999</v>
      </c>
      <c r="M108" s="646">
        <f t="shared" si="57"/>
        <v>500060898.12</v>
      </c>
      <c r="N108" s="646">
        <f t="shared" si="57"/>
        <v>428623423.20000005</v>
      </c>
      <c r="O108" s="646">
        <f t="shared" si="57"/>
        <v>499131650.63999999</v>
      </c>
      <c r="P108" s="646">
        <f t="shared" si="57"/>
        <v>571109162.00800002</v>
      </c>
      <c r="Q108" s="646">
        <f t="shared" si="57"/>
        <v>577677349.75999999</v>
      </c>
      <c r="R108" s="646">
        <f t="shared" si="57"/>
        <v>703626952.56000006</v>
      </c>
      <c r="S108" s="646">
        <f t="shared" si="57"/>
        <v>679536566.24000001</v>
      </c>
      <c r="T108" s="646">
        <f t="shared" si="57"/>
        <v>666257844</v>
      </c>
      <c r="U108" s="646">
        <f t="shared" si="57"/>
        <v>674982168</v>
      </c>
      <c r="V108" s="646">
        <f t="shared" si="57"/>
        <v>735775096</v>
      </c>
      <c r="W108" s="646">
        <f t="shared" si="57"/>
        <v>530234460</v>
      </c>
      <c r="X108" s="646">
        <f t="shared" si="57"/>
        <v>594109824</v>
      </c>
      <c r="Y108" s="646">
        <f t="shared" si="57"/>
        <v>555971612</v>
      </c>
      <c r="Z108" s="646">
        <f t="shared" si="57"/>
        <v>686852320</v>
      </c>
      <c r="AA108" s="646">
        <f t="shared" si="57"/>
        <v>781384847.5999999</v>
      </c>
      <c r="AB108" s="646">
        <f t="shared" si="57"/>
        <v>756156733.36000001</v>
      </c>
      <c r="AC108" s="646">
        <f t="shared" si="57"/>
        <v>696812788</v>
      </c>
      <c r="AD108" s="646">
        <f t="shared" si="57"/>
        <v>625005500</v>
      </c>
      <c r="AE108" s="646">
        <f t="shared" si="57"/>
        <v>277094356</v>
      </c>
      <c r="AF108" s="646">
        <f t="shared" si="57"/>
        <v>411643876</v>
      </c>
      <c r="AG108" s="646">
        <f t="shared" si="57"/>
        <v>627026120</v>
      </c>
      <c r="AH108" s="646">
        <f t="shared" si="57"/>
        <v>764127168</v>
      </c>
      <c r="AI108" s="646">
        <f t="shared" si="57"/>
        <v>736369554.48000002</v>
      </c>
      <c r="AJ108" s="646">
        <f t="shared" si="57"/>
        <v>697603761.68000007</v>
      </c>
      <c r="AK108" s="646">
        <f t="shared" si="57"/>
        <v>722023073.24000001</v>
      </c>
      <c r="AL108" s="646">
        <f t="shared" si="57"/>
        <v>714231879.48000002</v>
      </c>
      <c r="AM108" s="646">
        <f t="shared" si="57"/>
        <v>579117061.31999993</v>
      </c>
      <c r="AN108" s="646">
        <f t="shared" si="57"/>
        <v>717712338</v>
      </c>
      <c r="AO108" s="646">
        <f t="shared" si="57"/>
        <v>668092250</v>
      </c>
      <c r="AP108" s="646">
        <f t="shared" si="57"/>
        <v>804112226.68000007</v>
      </c>
      <c r="AQ108" s="646">
        <f t="shared" si="57"/>
        <v>682601727.91999996</v>
      </c>
      <c r="AR108" s="646">
        <f t="shared" si="57"/>
        <v>590976371.78570604</v>
      </c>
      <c r="AS108" s="646">
        <f t="shared" si="57"/>
        <v>699807913.36678207</v>
      </c>
      <c r="AT108" s="646">
        <f t="shared" si="57"/>
        <v>601493961.88</v>
      </c>
      <c r="AU108" s="646">
        <f t="shared" si="57"/>
        <v>709264482.36000001</v>
      </c>
      <c r="AV108" s="646">
        <f t="shared" si="57"/>
        <v>747424089.15999997</v>
      </c>
      <c r="AW108" s="179">
        <f t="shared" si="53"/>
        <v>604531655.86018872</v>
      </c>
      <c r="AY108" s="541" t="s">
        <v>598</v>
      </c>
      <c r="AZ108" s="646">
        <f>AZ57</f>
        <v>10981871600</v>
      </c>
      <c r="BA108" s="970"/>
      <c r="BB108" s="646">
        <f>BB57</f>
        <v>10678382400</v>
      </c>
      <c r="BC108" s="970"/>
      <c r="BD108" s="190">
        <f>BD57</f>
        <v>9603333320</v>
      </c>
    </row>
    <row r="109" spans="3:56" x14ac:dyDescent="0.25">
      <c r="C109" s="390" t="s">
        <v>599</v>
      </c>
      <c r="D109" s="647">
        <f>SUM(D104:D108)</f>
        <v>777071021.61520457</v>
      </c>
      <c r="E109" s="647">
        <f>SUM(E104:E108)</f>
        <v>868649855.32063937</v>
      </c>
      <c r="F109" s="647">
        <f t="shared" ref="F109:AV109" si="58">SUM(F104:F108)</f>
        <v>1089676595.9497447</v>
      </c>
      <c r="G109" s="647">
        <f t="shared" si="58"/>
        <v>566107313.11540937</v>
      </c>
      <c r="H109" s="647">
        <f t="shared" si="58"/>
        <v>806249725.57837307</v>
      </c>
      <c r="I109" s="647">
        <f t="shared" si="58"/>
        <v>1157099350.8610172</v>
      </c>
      <c r="J109" s="647">
        <f t="shared" si="58"/>
        <v>1143900498.3144276</v>
      </c>
      <c r="K109" s="647">
        <f t="shared" si="58"/>
        <v>1293937969.6747584</v>
      </c>
      <c r="L109" s="647">
        <f t="shared" si="58"/>
        <v>1229524627.4638264</v>
      </c>
      <c r="M109" s="647">
        <f t="shared" si="58"/>
        <v>1124428455.6294293</v>
      </c>
      <c r="N109" s="647">
        <f t="shared" si="58"/>
        <v>944787751.08481228</v>
      </c>
      <c r="O109" s="647">
        <f t="shared" si="58"/>
        <v>1077295592.7762322</v>
      </c>
      <c r="P109" s="647">
        <f t="shared" si="58"/>
        <v>1228211671.3937049</v>
      </c>
      <c r="Q109" s="647">
        <f t="shared" si="58"/>
        <v>1275590284.0505805</v>
      </c>
      <c r="R109" s="647">
        <f t="shared" si="58"/>
        <v>1497848537.6796503</v>
      </c>
      <c r="S109" s="647">
        <f t="shared" si="58"/>
        <v>1394720887.8916707</v>
      </c>
      <c r="T109" s="647">
        <f t="shared" si="58"/>
        <v>1358577174.8064597</v>
      </c>
      <c r="U109" s="647">
        <f t="shared" si="58"/>
        <v>1400283692.9343514</v>
      </c>
      <c r="V109" s="647">
        <f t="shared" si="58"/>
        <v>1565253466.4862387</v>
      </c>
      <c r="W109" s="647">
        <f t="shared" si="58"/>
        <v>1099261733.3190649</v>
      </c>
      <c r="X109" s="647">
        <f t="shared" si="58"/>
        <v>1220517682.3256724</v>
      </c>
      <c r="Y109" s="647">
        <f t="shared" si="58"/>
        <v>1204752898.640835</v>
      </c>
      <c r="Z109" s="647">
        <f t="shared" si="58"/>
        <v>1479874715.4637847</v>
      </c>
      <c r="AA109" s="647">
        <f t="shared" si="58"/>
        <v>1736526987.500561</v>
      </c>
      <c r="AB109" s="647">
        <f t="shared" si="58"/>
        <v>1599196163.2142892</v>
      </c>
      <c r="AC109" s="647">
        <f t="shared" si="58"/>
        <v>1455181507.4782352</v>
      </c>
      <c r="AD109" s="647">
        <f t="shared" si="58"/>
        <v>1197286556.4317067</v>
      </c>
      <c r="AE109" s="647">
        <f t="shared" si="58"/>
        <v>558644724.77550936</v>
      </c>
      <c r="AF109" s="647">
        <f t="shared" si="58"/>
        <v>819794789.90923059</v>
      </c>
      <c r="AG109" s="647">
        <f t="shared" si="58"/>
        <v>1161268205.4146008</v>
      </c>
      <c r="AH109" s="647">
        <f t="shared" si="58"/>
        <v>1402506821.9614801</v>
      </c>
      <c r="AI109" s="647">
        <f t="shared" si="58"/>
        <v>1395097639.0309052</v>
      </c>
      <c r="AJ109" s="647">
        <f t="shared" si="58"/>
        <v>1371561126.6535282</v>
      </c>
      <c r="AK109" s="647">
        <f t="shared" si="58"/>
        <v>1437060369.9720347</v>
      </c>
      <c r="AL109" s="647">
        <f t="shared" si="58"/>
        <v>1458513697.6714811</v>
      </c>
      <c r="AM109" s="647">
        <f t="shared" si="58"/>
        <v>1208844729.1606166</v>
      </c>
      <c r="AN109" s="647">
        <f t="shared" si="58"/>
        <v>1563033920.6562696</v>
      </c>
      <c r="AO109" s="647">
        <f t="shared" si="58"/>
        <v>1536877824.2209797</v>
      </c>
      <c r="AP109" s="647">
        <f t="shared" si="58"/>
        <v>1775496314.4606407</v>
      </c>
      <c r="AQ109" s="647">
        <f t="shared" si="58"/>
        <v>1426784209.0031652</v>
      </c>
      <c r="AR109" s="647">
        <f t="shared" si="58"/>
        <v>1231666830.7321494</v>
      </c>
      <c r="AS109" s="647">
        <f t="shared" si="58"/>
        <v>1496593439.2393012</v>
      </c>
      <c r="AT109" s="647">
        <f t="shared" si="58"/>
        <v>1336529261.2976418</v>
      </c>
      <c r="AU109" s="647">
        <f t="shared" si="58"/>
        <v>1656143422.5814214</v>
      </c>
      <c r="AV109" s="647">
        <f t="shared" si="58"/>
        <v>1795885264.4517498</v>
      </c>
      <c r="AW109" s="179">
        <f t="shared" si="53"/>
        <v>1276091451.2931864</v>
      </c>
      <c r="AY109" s="390" t="s">
        <v>599</v>
      </c>
      <c r="AZ109" s="647">
        <f>SUM(AZ104:AZ108)</f>
        <v>23160172921.59148</v>
      </c>
      <c r="BA109" s="970"/>
      <c r="BB109" s="608">
        <f>SUM(BB104:BB108)</f>
        <v>22520130622.077118</v>
      </c>
      <c r="BC109" s="970"/>
      <c r="BD109" s="542">
        <f>SUM(BD104:BD108)</f>
        <v>20252910288.523239</v>
      </c>
    </row>
    <row r="110" spans="3:56" x14ac:dyDescent="0.25">
      <c r="C110" s="390" t="s">
        <v>600</v>
      </c>
      <c r="D110" s="647">
        <f>(0.101511101973684*D27*0.85*D8/0.685)+(0.20964*D26*0.5/0.82)</f>
        <v>108972707.94131236</v>
      </c>
      <c r="E110" s="647">
        <f>(0.101511101973684*E27*0.85*E8/0.685)+(0.20964*E26*0.5/0.82)</f>
        <v>97604250.385557577</v>
      </c>
      <c r="F110" s="647">
        <f t="shared" ref="F110:AV110" si="59">(0.101511101973684*F27*0.85*F8/0.685)+(0.20964*F26*0.5/0.82)</f>
        <v>96291006.252201781</v>
      </c>
      <c r="G110" s="647">
        <f t="shared" si="59"/>
        <v>69703897.336256832</v>
      </c>
      <c r="H110" s="647">
        <f t="shared" si="59"/>
        <v>96637986.404554948</v>
      </c>
      <c r="I110" s="647">
        <f t="shared" si="59"/>
        <v>111660522.12609749</v>
      </c>
      <c r="J110" s="647">
        <f t="shared" si="59"/>
        <v>107312323.94603613</v>
      </c>
      <c r="K110" s="647">
        <f t="shared" si="59"/>
        <v>134889326.28248987</v>
      </c>
      <c r="L110" s="647">
        <f t="shared" si="59"/>
        <v>122521598.40859492</v>
      </c>
      <c r="M110" s="647">
        <f t="shared" si="59"/>
        <v>137429047.76996294</v>
      </c>
      <c r="N110" s="647">
        <f t="shared" si="59"/>
        <v>97522200.28304787</v>
      </c>
      <c r="O110" s="647">
        <f t="shared" si="59"/>
        <v>80157945.880604476</v>
      </c>
      <c r="P110" s="647">
        <f t="shared" si="59"/>
        <v>100455367.52433847</v>
      </c>
      <c r="Q110" s="647">
        <f t="shared" si="59"/>
        <v>102264474.81019145</v>
      </c>
      <c r="R110" s="647">
        <f t="shared" si="59"/>
        <v>132381197.6233817</v>
      </c>
      <c r="S110" s="647">
        <f t="shared" si="59"/>
        <v>125435456.1330739</v>
      </c>
      <c r="T110" s="647">
        <f t="shared" si="59"/>
        <v>123881295.61329007</v>
      </c>
      <c r="U110" s="647">
        <f t="shared" si="59"/>
        <v>105017629.64874908</v>
      </c>
      <c r="V110" s="647">
        <f t="shared" si="59"/>
        <v>108838617.94573721</v>
      </c>
      <c r="W110" s="647">
        <f t="shared" si="59"/>
        <v>79636529.798384249</v>
      </c>
      <c r="X110" s="647">
        <f t="shared" si="59"/>
        <v>89695894.920725167</v>
      </c>
      <c r="Y110" s="647">
        <f t="shared" si="59"/>
        <v>86862501.375497401</v>
      </c>
      <c r="Z110" s="647">
        <f t="shared" si="59"/>
        <v>127213000.24451229</v>
      </c>
      <c r="AA110" s="647">
        <f t="shared" si="59"/>
        <v>143741024.47748849</v>
      </c>
      <c r="AB110" s="647">
        <f t="shared" si="59"/>
        <v>184428801.34573051</v>
      </c>
      <c r="AC110" s="647">
        <f t="shared" si="59"/>
        <v>141860921.63775915</v>
      </c>
      <c r="AD110" s="647">
        <f t="shared" si="59"/>
        <v>121189715.81518678</v>
      </c>
      <c r="AE110" s="647">
        <f t="shared" si="59"/>
        <v>30538138.718956351</v>
      </c>
      <c r="AF110" s="647">
        <f t="shared" si="59"/>
        <v>74165418.317131191</v>
      </c>
      <c r="AG110" s="647">
        <f t="shared" si="59"/>
        <v>99998107.526015088</v>
      </c>
      <c r="AH110" s="647">
        <f t="shared" si="59"/>
        <v>127793208.73356806</v>
      </c>
      <c r="AI110" s="647">
        <f t="shared" si="59"/>
        <v>124542954.69015446</v>
      </c>
      <c r="AJ110" s="647">
        <f t="shared" si="59"/>
        <v>111992866.7118645</v>
      </c>
      <c r="AK110" s="647">
        <f t="shared" si="59"/>
        <v>133030820.96733837</v>
      </c>
      <c r="AL110" s="647">
        <f t="shared" si="59"/>
        <v>132833748.82318178</v>
      </c>
      <c r="AM110" s="647">
        <f t="shared" si="59"/>
        <v>102322032.0954781</v>
      </c>
      <c r="AN110" s="647">
        <f t="shared" si="59"/>
        <v>185121461.54633057</v>
      </c>
      <c r="AO110" s="647">
        <f t="shared" si="59"/>
        <v>181850819.91886312</v>
      </c>
      <c r="AP110" s="647">
        <f t="shared" si="59"/>
        <v>230542824.22503513</v>
      </c>
      <c r="AQ110" s="647">
        <f t="shared" si="59"/>
        <v>170071831.92261651</v>
      </c>
      <c r="AR110" s="647">
        <f t="shared" si="59"/>
        <v>114538991.19154519</v>
      </c>
      <c r="AS110" s="647">
        <f t="shared" si="59"/>
        <v>165802291.02912208</v>
      </c>
      <c r="AT110" s="647">
        <f t="shared" si="59"/>
        <v>158138100.04521871</v>
      </c>
      <c r="AU110" s="647">
        <f t="shared" si="59"/>
        <v>211616662.87735927</v>
      </c>
      <c r="AV110" s="647">
        <f t="shared" si="59"/>
        <v>237533399.9561592</v>
      </c>
      <c r="AW110" s="179">
        <f t="shared" si="53"/>
        <v>125023087.13837115</v>
      </c>
      <c r="AY110" s="390" t="s">
        <v>600</v>
      </c>
      <c r="AZ110" s="647">
        <f>(0.101511101973684*AZ27*0.85*AZ8/0.685)+(0.20964*AZ26*0.5/0.82)</f>
        <v>1339835970.1203363</v>
      </c>
      <c r="BA110" s="970"/>
      <c r="BB110" s="647">
        <f>(0.101511101973684*BB27*0.85*BB8/0.685)+(0.20964*BB26*0.5/0.82)</f>
        <v>2239996388.5310898</v>
      </c>
      <c r="BC110" s="970"/>
      <c r="BD110" s="542">
        <f>(0.101511101973684*BD27*0.85*BD8/0.685)+(0.20964*BD26*0.5/0.82)</f>
        <v>1864154932.1140831</v>
      </c>
    </row>
    <row r="111" spans="3:56" x14ac:dyDescent="0.25">
      <c r="C111" s="390" t="s">
        <v>601</v>
      </c>
      <c r="D111" s="647">
        <f>D76+D109+D110</f>
        <v>5125186595.8398905</v>
      </c>
      <c r="E111" s="647">
        <f>E76+E109+E110</f>
        <v>5267413826.8887043</v>
      </c>
      <c r="F111" s="647">
        <f t="shared" ref="F111:AV111" si="60">F76+F109+F110</f>
        <v>6207137519.6027918</v>
      </c>
      <c r="G111" s="647">
        <f t="shared" si="60"/>
        <v>3690612827.1496415</v>
      </c>
      <c r="H111" s="647">
        <f t="shared" si="60"/>
        <v>5535930172.055522</v>
      </c>
      <c r="I111" s="647">
        <f t="shared" si="60"/>
        <v>6855832703.0415087</v>
      </c>
      <c r="J111" s="647">
        <f t="shared" si="60"/>
        <v>7126217157.5692911</v>
      </c>
      <c r="K111" s="647">
        <f t="shared" si="60"/>
        <v>8279529192.7004776</v>
      </c>
      <c r="L111" s="647">
        <f t="shared" si="60"/>
        <v>7867903681.1156902</v>
      </c>
      <c r="M111" s="647">
        <f t="shared" si="60"/>
        <v>7024953125.5670767</v>
      </c>
      <c r="N111" s="647">
        <f t="shared" si="60"/>
        <v>4883208587.9474344</v>
      </c>
      <c r="O111" s="647">
        <f t="shared" si="60"/>
        <v>5047522575.8939085</v>
      </c>
      <c r="P111" s="647">
        <f t="shared" si="60"/>
        <v>5953679748.0844393</v>
      </c>
      <c r="Q111" s="647">
        <f t="shared" si="60"/>
        <v>6134983162.8611498</v>
      </c>
      <c r="R111" s="647">
        <f t="shared" si="60"/>
        <v>7803888288.6974878</v>
      </c>
      <c r="S111" s="647">
        <f t="shared" si="60"/>
        <v>7529971059.3299294</v>
      </c>
      <c r="T111" s="647">
        <f t="shared" si="60"/>
        <v>7377242555.8363838</v>
      </c>
      <c r="U111" s="647">
        <f t="shared" si="60"/>
        <v>6631035500.5874758</v>
      </c>
      <c r="V111" s="647">
        <f t="shared" si="60"/>
        <v>7766264155.7234659</v>
      </c>
      <c r="W111" s="647">
        <f t="shared" si="60"/>
        <v>5685609179.2155581</v>
      </c>
      <c r="X111" s="647">
        <f t="shared" si="60"/>
        <v>6105711638.097764</v>
      </c>
      <c r="Y111" s="647">
        <f t="shared" si="60"/>
        <v>5656761907.8989506</v>
      </c>
      <c r="Z111" s="647">
        <f t="shared" si="60"/>
        <v>7835600397.6853714</v>
      </c>
      <c r="AA111" s="647">
        <f t="shared" si="60"/>
        <v>9261666926.0113888</v>
      </c>
      <c r="AB111" s="647">
        <f t="shared" si="60"/>
        <v>9268140602.9829674</v>
      </c>
      <c r="AC111" s="647">
        <f t="shared" si="60"/>
        <v>7557273936.8665438</v>
      </c>
      <c r="AD111" s="647">
        <f t="shared" si="60"/>
        <v>5477748705.5019979</v>
      </c>
      <c r="AE111" s="647">
        <f t="shared" si="60"/>
        <v>3277595915.9891453</v>
      </c>
      <c r="AF111" s="647">
        <f t="shared" si="60"/>
        <v>4720683684.1836195</v>
      </c>
      <c r="AG111" s="647">
        <f t="shared" si="60"/>
        <v>7169106027.6950865</v>
      </c>
      <c r="AH111" s="647">
        <f t="shared" si="60"/>
        <v>7257994284.0707502</v>
      </c>
      <c r="AI111" s="647">
        <f t="shared" si="60"/>
        <v>6949476977.6765261</v>
      </c>
      <c r="AJ111" s="647">
        <f t="shared" si="60"/>
        <v>6609671581.8999338</v>
      </c>
      <c r="AK111" s="647">
        <f t="shared" si="60"/>
        <v>6427833051.3890467</v>
      </c>
      <c r="AL111" s="647">
        <f t="shared" si="60"/>
        <v>6636600004.1402845</v>
      </c>
      <c r="AM111" s="647">
        <f t="shared" si="60"/>
        <v>5703303268.8486156</v>
      </c>
      <c r="AN111" s="647">
        <f t="shared" si="60"/>
        <v>8323658995.0234461</v>
      </c>
      <c r="AO111" s="647">
        <f t="shared" si="60"/>
        <v>8307717645.1615458</v>
      </c>
      <c r="AP111" s="647">
        <f t="shared" si="60"/>
        <v>10456886748.724443</v>
      </c>
      <c r="AQ111" s="647">
        <f t="shared" si="60"/>
        <v>8108259915.019927</v>
      </c>
      <c r="AR111" s="647">
        <f t="shared" si="60"/>
        <v>6610279817.8981361</v>
      </c>
      <c r="AS111" s="647">
        <f t="shared" si="60"/>
        <v>8984739708.737278</v>
      </c>
      <c r="AT111" s="647">
        <f t="shared" si="60"/>
        <v>8007665398.602994</v>
      </c>
      <c r="AU111" s="647">
        <f t="shared" si="60"/>
        <v>9839749896.6621609</v>
      </c>
      <c r="AV111" s="647">
        <f t="shared" si="60"/>
        <v>11137539642.749285</v>
      </c>
      <c r="AW111" s="179">
        <f t="shared" si="53"/>
        <v>6966350851.0050011</v>
      </c>
      <c r="AY111" s="390" t="s">
        <v>601</v>
      </c>
      <c r="AZ111" s="647">
        <f>AZ76+AZ109+AZ110</f>
        <v>108763277041.71181</v>
      </c>
      <c r="BA111" s="970"/>
      <c r="BB111" s="608">
        <f>BB76+BB109+BB110</f>
        <v>130033995390.60822</v>
      </c>
      <c r="BC111" s="970"/>
      <c r="BD111" s="542">
        <f>BD76+BD109+BD110</f>
        <v>116244840220.63733</v>
      </c>
    </row>
    <row r="112" spans="3:56" x14ac:dyDescent="0.25">
      <c r="C112" s="390" t="s">
        <v>602</v>
      </c>
      <c r="D112" s="647">
        <f>D111-D85-D90</f>
        <v>3252089528.77037</v>
      </c>
      <c r="E112" s="647">
        <f>E111-E85-E90</f>
        <v>3354920409.2446761</v>
      </c>
      <c r="F112" s="647">
        <f t="shared" ref="F112:AV112" si="61">F111-F85-F90</f>
        <v>4215658509.745985</v>
      </c>
      <c r="G112" s="647">
        <f t="shared" si="61"/>
        <v>1974717787.6924481</v>
      </c>
      <c r="H112" s="647">
        <f t="shared" si="61"/>
        <v>3480850295.9170752</v>
      </c>
      <c r="I112" s="647">
        <f t="shared" si="61"/>
        <v>4385189984.3214226</v>
      </c>
      <c r="J112" s="647">
        <f t="shared" si="61"/>
        <v>4873973803.7700872</v>
      </c>
      <c r="K112" s="647">
        <f t="shared" si="61"/>
        <v>5293955055.1889801</v>
      </c>
      <c r="L112" s="647">
        <f t="shared" si="61"/>
        <v>5360246999.6821337</v>
      </c>
      <c r="M112" s="647">
        <f t="shared" si="61"/>
        <v>4599429156.7443342</v>
      </c>
      <c r="N112" s="647">
        <f t="shared" si="61"/>
        <v>2819245764.0650835</v>
      </c>
      <c r="O112" s="647">
        <f t="shared" si="61"/>
        <v>3312894549.3206849</v>
      </c>
      <c r="P112" s="647">
        <f t="shared" si="61"/>
        <v>3840513934.9968653</v>
      </c>
      <c r="Q112" s="647">
        <f t="shared" si="61"/>
        <v>4006007635.5583625</v>
      </c>
      <c r="R112" s="647">
        <f t="shared" si="61"/>
        <v>5076304499.400053</v>
      </c>
      <c r="S112" s="647">
        <f t="shared" si="61"/>
        <v>5186273299.4166183</v>
      </c>
      <c r="T112" s="647">
        <f t="shared" si="61"/>
        <v>4977151038.9663429</v>
      </c>
      <c r="U112" s="647">
        <f t="shared" si="61"/>
        <v>4312851314.1504641</v>
      </c>
      <c r="V112" s="647">
        <f t="shared" si="61"/>
        <v>4966567499.4439955</v>
      </c>
      <c r="W112" s="647">
        <f t="shared" si="61"/>
        <v>3728578819.5102849</v>
      </c>
      <c r="X112" s="647">
        <f t="shared" si="61"/>
        <v>3533183380.0429049</v>
      </c>
      <c r="Y112" s="647">
        <f t="shared" si="61"/>
        <v>3693192554.8904333</v>
      </c>
      <c r="Z112" s="647">
        <f t="shared" si="61"/>
        <v>4856725137.485405</v>
      </c>
      <c r="AA112" s="647">
        <f t="shared" si="61"/>
        <v>6025004554.6478891</v>
      </c>
      <c r="AB112" s="647">
        <f t="shared" si="61"/>
        <v>5610987515.7272577</v>
      </c>
      <c r="AC112" s="647">
        <f t="shared" si="61"/>
        <v>4820520239.6761007</v>
      </c>
      <c r="AD112" s="647">
        <f t="shared" si="61"/>
        <v>3231913392.3714023</v>
      </c>
      <c r="AE112" s="647">
        <f t="shared" si="61"/>
        <v>2366109423.2638898</v>
      </c>
      <c r="AF112" s="647">
        <f t="shared" si="61"/>
        <v>3424812573.430769</v>
      </c>
      <c r="AG112" s="647">
        <f t="shared" si="61"/>
        <v>5354961344.2422962</v>
      </c>
      <c r="AH112" s="647">
        <f t="shared" si="61"/>
        <v>5070220923.7048225</v>
      </c>
      <c r="AI112" s="647">
        <f t="shared" si="61"/>
        <v>4624215667.655303</v>
      </c>
      <c r="AJ112" s="647">
        <f t="shared" si="61"/>
        <v>4274400257.4928942</v>
      </c>
      <c r="AK112" s="647">
        <f t="shared" si="61"/>
        <v>3864145047.6693516</v>
      </c>
      <c r="AL112" s="647">
        <f t="shared" si="61"/>
        <v>4046780036.7750549</v>
      </c>
      <c r="AM112" s="647">
        <f t="shared" si="61"/>
        <v>3618599803.9903984</v>
      </c>
      <c r="AN112" s="647">
        <f t="shared" si="61"/>
        <v>5059711427.4572258</v>
      </c>
      <c r="AO112" s="647">
        <f t="shared" si="61"/>
        <v>5469952633.079917</v>
      </c>
      <c r="AP112" s="647">
        <f t="shared" si="61"/>
        <v>6732252280.8119431</v>
      </c>
      <c r="AQ112" s="647">
        <f t="shared" si="61"/>
        <v>4854007392.5939074</v>
      </c>
      <c r="AR112" s="647">
        <f t="shared" si="61"/>
        <v>4150801036.6209526</v>
      </c>
      <c r="AS112" s="647">
        <f t="shared" si="61"/>
        <v>5531016554.486186</v>
      </c>
      <c r="AT112" s="647">
        <f t="shared" si="61"/>
        <v>5039838786.8340759</v>
      </c>
      <c r="AU112" s="647">
        <f t="shared" si="61"/>
        <v>5812892004.6968002</v>
      </c>
      <c r="AV112" s="647">
        <f t="shared" si="61"/>
        <v>6545193081.2772923</v>
      </c>
      <c r="AW112" s="179">
        <f t="shared" si="53"/>
        <v>4458419043.0406818</v>
      </c>
      <c r="AY112" s="390" t="s">
        <v>602</v>
      </c>
      <c r="AZ112" s="647">
        <f>AZ111-AZ85-AZ90</f>
        <v>78031465219.771988</v>
      </c>
      <c r="BA112" s="970"/>
      <c r="BB112" s="608">
        <f>BB111-BB85-BB90</f>
        <v>84338605200.202789</v>
      </c>
      <c r="BC112" s="970"/>
      <c r="BD112" s="542">
        <f>BD111-BD85-BD90</f>
        <v>73644964848.703156</v>
      </c>
    </row>
    <row r="113" spans="3:56" x14ac:dyDescent="0.25">
      <c r="C113" s="409" t="s">
        <v>351</v>
      </c>
      <c r="D113" s="648">
        <f>D112*D83/D26</f>
        <v>44529.675883028729</v>
      </c>
      <c r="E113" s="648">
        <f>E112*E83/E26</f>
        <v>44318.07872471225</v>
      </c>
      <c r="F113" s="648">
        <f t="shared" ref="F113:AV113" si="62">F112*F83/F26</f>
        <v>46175.379869981785</v>
      </c>
      <c r="G113" s="648">
        <f t="shared" si="62"/>
        <v>39413.860971707581</v>
      </c>
      <c r="H113" s="648">
        <f t="shared" si="62"/>
        <v>48365.899482434943</v>
      </c>
      <c r="I113" s="648">
        <f t="shared" si="62"/>
        <v>47497.363138237895</v>
      </c>
      <c r="J113" s="648">
        <f t="shared" si="62"/>
        <v>54527.909832891186</v>
      </c>
      <c r="K113" s="648">
        <f t="shared" si="62"/>
        <v>51433.244835173093</v>
      </c>
      <c r="L113" s="648">
        <f t="shared" si="62"/>
        <v>55749.620158860329</v>
      </c>
      <c r="M113" s="648">
        <f t="shared" si="62"/>
        <v>50230.751347461432</v>
      </c>
      <c r="N113" s="648">
        <f t="shared" si="62"/>
        <v>36327.077184844857</v>
      </c>
      <c r="O113" s="648">
        <f t="shared" si="62"/>
        <v>38101.924471760627</v>
      </c>
      <c r="P113" s="648">
        <f t="shared" si="62"/>
        <v>37803.654064368464</v>
      </c>
      <c r="Q113" s="648">
        <f t="shared" si="62"/>
        <v>38726.170927048064</v>
      </c>
      <c r="R113" s="648">
        <f t="shared" si="62"/>
        <v>39832.320068028799</v>
      </c>
      <c r="S113" s="648">
        <f t="shared" si="62"/>
        <v>42877.779289154438</v>
      </c>
      <c r="T113" s="648">
        <f t="shared" si="62"/>
        <v>41794.103509544533</v>
      </c>
      <c r="U113" s="648">
        <f t="shared" si="62"/>
        <v>36408.127863413421</v>
      </c>
      <c r="V113" s="648">
        <f t="shared" si="62"/>
        <v>37755.35439871667</v>
      </c>
      <c r="W113" s="648">
        <f t="shared" si="62"/>
        <v>39677.382327898151</v>
      </c>
      <c r="X113" s="648">
        <f t="shared" si="62"/>
        <v>33194.717704549534</v>
      </c>
      <c r="Y113" s="648">
        <f t="shared" si="62"/>
        <v>37440.025894315797</v>
      </c>
      <c r="Z113" s="648">
        <f t="shared" si="62"/>
        <v>38485.853274703921</v>
      </c>
      <c r="AA113" s="648">
        <f t="shared" si="62"/>
        <v>41959.373190659935</v>
      </c>
      <c r="AB113" s="648">
        <f t="shared" si="62"/>
        <v>40003.168393089247</v>
      </c>
      <c r="AC113" s="648">
        <f t="shared" si="62"/>
        <v>38259.35111904388</v>
      </c>
      <c r="AD113" s="648">
        <f t="shared" si="62"/>
        <v>29010.962789294979</v>
      </c>
      <c r="AE113" s="648">
        <f t="shared" si="62"/>
        <v>46073.836743944252</v>
      </c>
      <c r="AF113" s="648">
        <f t="shared" si="62"/>
        <v>44359.395632586107</v>
      </c>
      <c r="AG113" s="648">
        <f t="shared" si="62"/>
        <v>46039.69354619932</v>
      </c>
      <c r="AH113" s="648">
        <f t="shared" si="62"/>
        <v>36320.201105919303</v>
      </c>
      <c r="AI113" s="648">
        <f t="shared" si="62"/>
        <v>34482.477212974867</v>
      </c>
      <c r="AJ113" s="648">
        <f t="shared" si="62"/>
        <v>33704.459775435491</v>
      </c>
      <c r="AK113" s="648">
        <f t="shared" si="62"/>
        <v>28857.087710318476</v>
      </c>
      <c r="AL113" s="648">
        <f t="shared" si="62"/>
        <v>30923.874410686309</v>
      </c>
      <c r="AM113" s="648">
        <f t="shared" si="62"/>
        <v>34561.789206287554</v>
      </c>
      <c r="AN113" s="648">
        <f t="shared" si="62"/>
        <v>37456.232620000221</v>
      </c>
      <c r="AO113" s="648">
        <f t="shared" si="62"/>
        <v>43586.153047871769</v>
      </c>
      <c r="AP113" s="648">
        <f t="shared" si="62"/>
        <v>44124.071012363376</v>
      </c>
      <c r="AQ113" s="648">
        <f t="shared" si="62"/>
        <v>37981.4622195091</v>
      </c>
      <c r="AR113" s="648">
        <f t="shared" si="62"/>
        <v>38274.861400602073</v>
      </c>
      <c r="AS113" s="648">
        <f t="shared" si="62"/>
        <v>41852.501986334981</v>
      </c>
      <c r="AT113" s="648">
        <f t="shared" si="62"/>
        <v>44496.216730124375</v>
      </c>
      <c r="AU113" s="648">
        <f t="shared" si="62"/>
        <v>43131.367088680854</v>
      </c>
      <c r="AV113" s="648">
        <f t="shared" si="62"/>
        <v>45560.809323890266</v>
      </c>
      <c r="AW113" s="625">
        <f t="shared" si="53"/>
        <v>40926.347144192288</v>
      </c>
      <c r="AY113" s="409" t="s">
        <v>351</v>
      </c>
      <c r="AZ113" s="648">
        <f>AZ112*AZ83/AZ26</f>
        <v>42722.766340002643</v>
      </c>
      <c r="BA113" s="970"/>
      <c r="BB113" s="655">
        <f>BB112*BB83/BB26</f>
        <v>42932.877729713808</v>
      </c>
      <c r="BC113" s="970"/>
      <c r="BD113" s="655">
        <f>BD112*BD83/BD26</f>
        <v>42093.638031452123</v>
      </c>
    </row>
    <row r="114" spans="3:56" x14ac:dyDescent="0.25">
      <c r="C114" s="409" t="s">
        <v>352</v>
      </c>
      <c r="D114" s="648">
        <f>D84*D112/D27</f>
        <v>46664.958673649024</v>
      </c>
      <c r="E114" s="648">
        <f>E84*E112/E27</f>
        <v>46594.847894082755</v>
      </c>
      <c r="F114" s="648">
        <f t="shared" ref="F114:AV114" si="63">F84*F112/F27</f>
        <v>50042.330927521296</v>
      </c>
      <c r="G114" s="648">
        <f t="shared" si="63"/>
        <v>35935.615911496927</v>
      </c>
      <c r="H114" s="648">
        <f t="shared" si="63"/>
        <v>53342.78647579164</v>
      </c>
      <c r="I114" s="648">
        <f t="shared" si="63"/>
        <v>53766.655443618176</v>
      </c>
      <c r="J114" s="648">
        <f t="shared" si="63"/>
        <v>60248.287097976863</v>
      </c>
      <c r="K114" s="648">
        <f t="shared" si="63"/>
        <v>58530.214642930237</v>
      </c>
      <c r="L114" s="648">
        <f t="shared" si="63"/>
        <v>66047.437656366455</v>
      </c>
      <c r="M114" s="648">
        <f t="shared" si="63"/>
        <v>66068.210424992212</v>
      </c>
      <c r="N114" s="648">
        <f t="shared" si="63"/>
        <v>44781.822197268157</v>
      </c>
      <c r="O114" s="648">
        <f t="shared" si="63"/>
        <v>47268.766273863548</v>
      </c>
      <c r="P114" s="648">
        <f t="shared" si="63"/>
        <v>44542.95268435288</v>
      </c>
      <c r="Q114" s="648">
        <f t="shared" si="63"/>
        <v>47754.330416730423</v>
      </c>
      <c r="R114" s="648">
        <f t="shared" si="63"/>
        <v>52151.599536163092</v>
      </c>
      <c r="S114" s="648">
        <f t="shared" si="63"/>
        <v>56707.027465518659</v>
      </c>
      <c r="T114" s="648">
        <f t="shared" si="63"/>
        <v>57001.637190958383</v>
      </c>
      <c r="U114" s="648">
        <f t="shared" si="63"/>
        <v>45386.010582497285</v>
      </c>
      <c r="V114" s="648">
        <f t="shared" si="63"/>
        <v>45632.456255444886</v>
      </c>
      <c r="W114" s="648">
        <f t="shared" si="63"/>
        <v>46707.277835065463</v>
      </c>
      <c r="X114" s="648">
        <f t="shared" si="63"/>
        <v>38327.139543711673</v>
      </c>
      <c r="Y114" s="648">
        <f t="shared" si="63"/>
        <v>48254.877045189583</v>
      </c>
      <c r="Z114" s="648">
        <f t="shared" si="63"/>
        <v>48387.520303988946</v>
      </c>
      <c r="AA114" s="648">
        <f t="shared" si="63"/>
        <v>54194.859906580125</v>
      </c>
      <c r="AB114" s="648">
        <f t="shared" si="63"/>
        <v>51634.843774786204</v>
      </c>
      <c r="AC114" s="648">
        <f t="shared" si="63"/>
        <v>48846.282466311262</v>
      </c>
      <c r="AD114" s="648">
        <f t="shared" si="63"/>
        <v>32755.074708981629</v>
      </c>
      <c r="AE114" s="648">
        <f t="shared" si="63"/>
        <v>57098.277580162103</v>
      </c>
      <c r="AF114" s="648">
        <f t="shared" si="63"/>
        <v>51205.956568261128</v>
      </c>
      <c r="AG114" s="648">
        <f t="shared" si="63"/>
        <v>59808.552649414596</v>
      </c>
      <c r="AH114" s="648">
        <f t="shared" si="63"/>
        <v>43641.890954760383</v>
      </c>
      <c r="AI114" s="648">
        <f t="shared" si="63"/>
        <v>40944.185310463239</v>
      </c>
      <c r="AJ114" s="648">
        <f t="shared" si="63"/>
        <v>41258.947473855515</v>
      </c>
      <c r="AK114" s="648">
        <f t="shared" si="63"/>
        <v>33697.819058187721</v>
      </c>
      <c r="AL114" s="648">
        <f t="shared" si="63"/>
        <v>39898.356143070821</v>
      </c>
      <c r="AM114" s="648">
        <f t="shared" si="63"/>
        <v>46605.683290545516</v>
      </c>
      <c r="AN114" s="648">
        <f t="shared" si="63"/>
        <v>47736.03590934867</v>
      </c>
      <c r="AO114" s="648">
        <f t="shared" si="63"/>
        <v>57291.665006452677</v>
      </c>
      <c r="AP114" s="648">
        <f t="shared" si="63"/>
        <v>58666.937123984455</v>
      </c>
      <c r="AQ114" s="648">
        <f t="shared" si="63"/>
        <v>51141.170776453466</v>
      </c>
      <c r="AR114" s="648">
        <f t="shared" si="63"/>
        <v>54153.454385152298</v>
      </c>
      <c r="AS114" s="648">
        <f t="shared" si="63"/>
        <v>56890.552419704487</v>
      </c>
      <c r="AT114" s="648">
        <f t="shared" si="63"/>
        <v>63924.211710077718</v>
      </c>
      <c r="AU114" s="648">
        <f t="shared" si="63"/>
        <v>59451.507901956182</v>
      </c>
      <c r="AV114" s="648">
        <f t="shared" si="63"/>
        <v>60920.186528020065</v>
      </c>
      <c r="AW114" s="625">
        <f t="shared" si="53"/>
        <v>50486.915869460201</v>
      </c>
      <c r="AY114" s="409" t="s">
        <v>352</v>
      </c>
      <c r="AZ114" s="648">
        <f>AZ84*AZ112/AZ27</f>
        <v>60923.805844969189</v>
      </c>
      <c r="BA114" s="970"/>
      <c r="BB114" s="655">
        <f>BB84*BB112/BB27</f>
        <v>51269.249344457094</v>
      </c>
      <c r="BC114" s="970"/>
      <c r="BD114" s="655">
        <f>BD84*BD112/BD27</f>
        <v>52645.661778858332</v>
      </c>
    </row>
    <row r="115" spans="3:56" x14ac:dyDescent="0.25">
      <c r="D115" s="1"/>
      <c r="BA115" s="970"/>
      <c r="BC115" s="970"/>
    </row>
    <row r="116" spans="3:56" x14ac:dyDescent="0.25">
      <c r="BA116" s="970"/>
      <c r="BC116" s="970"/>
    </row>
    <row r="117" spans="3:56" x14ac:dyDescent="0.25">
      <c r="C117" s="390" t="s">
        <v>574</v>
      </c>
      <c r="D117" s="6">
        <f>VLOOKUP('Ethylene-Propylene COP'!D5,'USD to INR'!$B$2:$G$560,6,TRUE)</f>
        <v>63.34</v>
      </c>
      <c r="E117" s="6">
        <f>VLOOKUP('Ethylene-Propylene COP'!E5,'USD to INR'!$B$2:$G$560,6,TRUE)</f>
        <v>64.13</v>
      </c>
      <c r="F117" s="6">
        <f>VLOOKUP('Ethylene-Propylene COP'!F5,'USD to INR'!$B$2:$G$560,6,TRUE)</f>
        <v>65.22</v>
      </c>
      <c r="G117" s="6">
        <f>VLOOKUP('Ethylene-Propylene COP'!G5,'USD to INR'!$B$2:$G$560,6,TRUE)</f>
        <v>64.930000000000007</v>
      </c>
      <c r="H117" s="6">
        <f>VLOOKUP('Ethylene-Propylene COP'!H5,'USD to INR'!$B$2:$G$560,6,TRUE)</f>
        <v>66.819999999999993</v>
      </c>
      <c r="I117" s="6">
        <f>VLOOKUP('Ethylene-Propylene COP'!I5,'USD to INR'!$B$2:$G$560,6,TRUE)</f>
        <v>66.995000000000005</v>
      </c>
      <c r="J117" s="6">
        <f>VLOOKUP('Ethylene-Propylene COP'!J5,'USD to INR'!$B$2:$G$560,6,TRUE)</f>
        <v>68.805000000000007</v>
      </c>
      <c r="K117" s="6">
        <f>VLOOKUP('Ethylene-Propylene COP'!K5,'USD to INR'!$B$2:$G$560,6,TRUE)</f>
        <v>68.545000000000002</v>
      </c>
      <c r="L117" s="6">
        <f>VLOOKUP('Ethylene-Propylene COP'!L5,'USD to INR'!$B$2:$G$560,6,TRUE)</f>
        <v>71.004999999999995</v>
      </c>
      <c r="M117" s="6">
        <f>VLOOKUP('Ethylene-Propylene COP'!M5,'USD to INR'!$B$2:$G$560,6,TRUE)</f>
        <v>73.77</v>
      </c>
      <c r="N117" s="6">
        <f>VLOOKUP('Ethylene-Propylene COP'!N5,'USD to INR'!$B$2:$G$560,6,TRUE)</f>
        <v>72.44</v>
      </c>
      <c r="O117" s="6">
        <f>VLOOKUP('Ethylene-Propylene COP'!O5,'USD to INR'!$B$2:$G$560,6,TRUE)</f>
        <v>69.650000000000006</v>
      </c>
      <c r="P117" s="6">
        <f>VLOOKUP('Ethylene-Propylene COP'!P5,'USD to INR'!$B$2:$G$560,6,TRUE)</f>
        <v>69.55</v>
      </c>
      <c r="Q117" s="6">
        <f>VLOOKUP('Ethylene-Propylene COP'!Q5,'USD to INR'!$B$2:$G$560,6,TRUE)</f>
        <v>71.435000000000002</v>
      </c>
      <c r="R117" s="6">
        <f>VLOOKUP('Ethylene-Propylene COP'!R5,'USD to INR'!$B$2:$G$560,6,TRUE)</f>
        <v>71</v>
      </c>
      <c r="S117" s="6">
        <f>VLOOKUP('Ethylene-Propylene COP'!S5,'USD to INR'!$B$2:$G$560,6,TRUE)</f>
        <v>69.17</v>
      </c>
      <c r="T117" s="6">
        <f>VLOOKUP('Ethylene-Propylene COP'!T5,'USD to INR'!$B$2:$G$560,6,TRUE)</f>
        <v>69.094999999999999</v>
      </c>
      <c r="U117" s="6">
        <f>VLOOKUP('Ethylene-Propylene COP'!U5,'USD to INR'!$B$2:$G$560,6,TRUE)</f>
        <v>69.58</v>
      </c>
      <c r="V117" s="6">
        <f>VLOOKUP('Ethylene-Propylene COP'!V5,'USD to INR'!$B$2:$G$560,6,TRUE)</f>
        <v>68.45</v>
      </c>
      <c r="W117" s="6">
        <f>VLOOKUP('Ethylene-Propylene COP'!W5,'USD to INR'!$B$2:$G$560,6,TRUE)</f>
        <v>69.7</v>
      </c>
      <c r="X117" s="6">
        <f>VLOOKUP('Ethylene-Propylene COP'!X5,'USD to INR'!$B$2:$G$560,6,TRUE)</f>
        <v>71.644999999999996</v>
      </c>
      <c r="Y117" s="6">
        <f>VLOOKUP('Ethylene-Propylene COP'!Y5,'USD to INR'!$B$2:$G$560,6,TRUE)</f>
        <v>70.825000000000003</v>
      </c>
      <c r="Z117" s="6">
        <f>VLOOKUP('Ethylene-Propylene COP'!Z5,'USD to INR'!$B$2:$G$560,6,TRUE)</f>
        <v>70.760000000000005</v>
      </c>
      <c r="AA117" s="6">
        <f>VLOOKUP('Ethylene-Propylene COP'!AA5,'USD to INR'!$B$2:$G$560,6,TRUE)</f>
        <v>71.283000000000001</v>
      </c>
      <c r="AB117" s="6">
        <f>VLOOKUP('Ethylene-Propylene COP'!AB5,'USD to INR'!$B$2:$G$560,6,TRUE)</f>
        <v>71.77</v>
      </c>
      <c r="AC117" s="6">
        <f>VLOOKUP('Ethylene-Propylene COP'!AC5,'USD to INR'!$B$2:$G$560,6,TRUE)</f>
        <v>71.555000000000007</v>
      </c>
      <c r="AD117" s="6">
        <f>VLOOKUP('Ethylene-Propylene COP'!AD5,'USD to INR'!$B$2:$G$560,6,TRUE)</f>
        <v>74.004000000000005</v>
      </c>
      <c r="AE117" s="6">
        <f>VLOOKUP('Ethylene-Propylene COP'!AE5,'USD to INR'!$B$2:$G$560,6,TRUE)</f>
        <v>76.241</v>
      </c>
      <c r="AF117" s="6">
        <f>VLOOKUP('Ethylene-Propylene COP'!AF5,'USD to INR'!$B$2:$G$560,6,TRUE)</f>
        <v>75.748999999999995</v>
      </c>
      <c r="AG117" s="6">
        <f>VLOOKUP('Ethylene-Propylene COP'!AG5,'USD to INR'!$B$2:$G$560,6,TRUE)</f>
        <v>75.56</v>
      </c>
      <c r="AH117" s="6">
        <f>VLOOKUP('Ethylene-Propylene COP'!AH5,'USD to INR'!$B$2:$G$560,6,TRUE)</f>
        <v>74.635999999999996</v>
      </c>
      <c r="AI117" s="6">
        <f>VLOOKUP('Ethylene-Propylene COP'!AI5,'USD to INR'!$B$2:$G$560,6,TRUE)</f>
        <v>74.915999999999997</v>
      </c>
      <c r="AJ117" s="6">
        <f>VLOOKUP('Ethylene-Propylene COP'!AJ5,'USD to INR'!$B$2:$G$560,6,TRUE)</f>
        <v>73.289000000000001</v>
      </c>
      <c r="AK117" s="6">
        <f>VLOOKUP('Ethylene-Propylene COP'!AK5,'USD to INR'!$B$2:$G$560,6,TRUE)</f>
        <v>73.290000000000006</v>
      </c>
      <c r="AL117" s="6">
        <f>VLOOKUP('Ethylene-Propylene COP'!AL5,'USD to INR'!$B$2:$G$560,6,TRUE)</f>
        <v>73.974000000000004</v>
      </c>
      <c r="AM117" s="6">
        <f>VLOOKUP('Ethylene-Propylene COP'!AM5,'USD to INR'!$B$2:$G$560,6,TRUE)</f>
        <v>73.757000000000005</v>
      </c>
      <c r="AN117" s="6">
        <f>VLOOKUP('Ethylene-Propylene COP'!AN5,'USD to INR'!$B$2:$G$560,6,TRUE)</f>
        <v>73.12</v>
      </c>
      <c r="AO117" s="6">
        <f>VLOOKUP('Ethylene-Propylene COP'!AO5,'USD to INR'!$B$2:$G$560,6,TRUE)</f>
        <v>72.81</v>
      </c>
      <c r="AP117" s="6">
        <f>VLOOKUP('Ethylene-Propylene COP'!AP5,'USD to INR'!$B$2:$G$560,6,TRUE)</f>
        <v>73.180000000000007</v>
      </c>
      <c r="AQ117" s="6">
        <f>VLOOKUP('Ethylene-Propylene COP'!AQ5,'USD to INR'!$B$2:$G$560,6,TRUE)</f>
        <v>73.37</v>
      </c>
      <c r="AR117" s="6">
        <f>VLOOKUP('Ethylene-Propylene COP'!AR5,'USD to INR'!$B$2:$G$560,6,TRUE)</f>
        <v>74.05</v>
      </c>
      <c r="AS117" s="6">
        <f>VLOOKUP('Ethylene-Propylene COP'!AS5,'USD to INR'!$B$2:$G$560,6,TRUE)</f>
        <v>72.86</v>
      </c>
      <c r="AT117" s="6">
        <f>VLOOKUP('Ethylene-Propylene COP'!AT5,'USD to INR'!$B$2:$G$560,6,TRUE)</f>
        <v>74.512</v>
      </c>
      <c r="AU117" s="6">
        <f>VLOOKUP('Ethylene-Propylene COP'!AU5,'USD to INR'!$B$2:$G$560,6,TRUE)</f>
        <v>74.239999999999995</v>
      </c>
      <c r="AV117" s="6">
        <f>VLOOKUP('Ethylene-Propylene COP'!AV5,'USD to INR'!$B$2:$G$560,6,TRUE)</f>
        <v>72.981999999999999</v>
      </c>
      <c r="AY117" s="365" t="str">
        <f t="shared" ref="AY117:AY149" si="64">C117</f>
        <v>USD rate in INR</v>
      </c>
      <c r="AZ117" s="644">
        <v>72.981999999999999</v>
      </c>
      <c r="BA117" s="970"/>
      <c r="BB117" s="605">
        <v>72.981999999999999</v>
      </c>
      <c r="BC117" s="970"/>
      <c r="BD117" s="605">
        <v>72.981999999999999</v>
      </c>
    </row>
    <row r="118" spans="3:56" s="362" customFormat="1" x14ac:dyDescent="0.25">
      <c r="C118" s="8" t="s">
        <v>508</v>
      </c>
      <c r="D118" s="542">
        <f>SUM(D119:D124)</f>
        <v>55892.040973648051</v>
      </c>
      <c r="E118" s="542">
        <f t="shared" ref="E118:AV118" si="65">SUM(E119:E124)</f>
        <v>55670.710346049018</v>
      </c>
      <c r="F118" s="542">
        <f t="shared" si="65"/>
        <v>57613.447344000946</v>
      </c>
      <c r="G118" s="542">
        <f t="shared" si="65"/>
        <v>50540.898576406129</v>
      </c>
      <c r="H118" s="542">
        <f t="shared" si="65"/>
        <v>59904.73085862695</v>
      </c>
      <c r="I118" s="542">
        <f t="shared" si="65"/>
        <v>58996.241842596843</v>
      </c>
      <c r="J118" s="542">
        <f t="shared" si="65"/>
        <v>66350.193685204184</v>
      </c>
      <c r="K118" s="542">
        <f t="shared" si="65"/>
        <v>63113.174097591058</v>
      </c>
      <c r="L118" s="542">
        <f t="shared" si="65"/>
        <v>67628.102686167898</v>
      </c>
      <c r="M118" s="542">
        <f t="shared" si="65"/>
        <v>61855.365909444663</v>
      </c>
      <c r="N118" s="542">
        <f t="shared" si="65"/>
        <v>47312.122735347722</v>
      </c>
      <c r="O118" s="542">
        <f t="shared" si="65"/>
        <v>49168.61299746162</v>
      </c>
      <c r="P118" s="542">
        <f t="shared" si="65"/>
        <v>48856.622151329415</v>
      </c>
      <c r="Q118" s="542">
        <f t="shared" si="65"/>
        <v>49821.574789692277</v>
      </c>
      <c r="R118" s="542">
        <f t="shared" si="65"/>
        <v>50978.606791158127</v>
      </c>
      <c r="S118" s="542">
        <f t="shared" si="65"/>
        <v>54164.157136455542</v>
      </c>
      <c r="T118" s="542">
        <f t="shared" si="65"/>
        <v>53030.63227098358</v>
      </c>
      <c r="U118" s="542">
        <f t="shared" si="65"/>
        <v>47396.901745130439</v>
      </c>
      <c r="V118" s="542">
        <f t="shared" si="65"/>
        <v>48806.100701057636</v>
      </c>
      <c r="W118" s="542">
        <f t="shared" si="65"/>
        <v>50816.54191498147</v>
      </c>
      <c r="X118" s="542">
        <f t="shared" si="65"/>
        <v>44035.674718958813</v>
      </c>
      <c r="Y118" s="542">
        <f t="shared" si="65"/>
        <v>48476.267085454325</v>
      </c>
      <c r="Z118" s="542">
        <f t="shared" si="65"/>
        <v>49570.202525340304</v>
      </c>
      <c r="AA118" s="542">
        <f t="shared" si="65"/>
        <v>53203.504357430291</v>
      </c>
      <c r="AB118" s="542">
        <f t="shared" si="65"/>
        <v>51157.314139171351</v>
      </c>
      <c r="AC118" s="542">
        <f t="shared" si="65"/>
        <v>49333.281270519903</v>
      </c>
      <c r="AD118" s="542">
        <f t="shared" si="65"/>
        <v>39659.467077602545</v>
      </c>
      <c r="AE118" s="542">
        <f t="shared" si="65"/>
        <v>57507.233234165687</v>
      </c>
      <c r="AF118" s="542">
        <f t="shared" si="65"/>
        <v>55713.927831685069</v>
      </c>
      <c r="AG118" s="542">
        <f t="shared" si="65"/>
        <v>57471.519449324493</v>
      </c>
      <c r="AH118" s="542">
        <f t="shared" si="65"/>
        <v>47304.930356791592</v>
      </c>
      <c r="AI118" s="542">
        <f t="shared" si="65"/>
        <v>45382.671164771709</v>
      </c>
      <c r="AJ118" s="542">
        <f t="shared" si="65"/>
        <v>44568.864925105525</v>
      </c>
      <c r="AK118" s="542">
        <f t="shared" si="65"/>
        <v>39498.513744993128</v>
      </c>
      <c r="AL118" s="542">
        <f t="shared" si="65"/>
        <v>41660.372633577877</v>
      </c>
      <c r="AM118" s="542">
        <f t="shared" si="65"/>
        <v>45465.63150977678</v>
      </c>
      <c r="AN118" s="542">
        <f t="shared" si="65"/>
        <v>48493.219320520235</v>
      </c>
      <c r="AO118" s="542">
        <f t="shared" si="65"/>
        <v>54905.116088073875</v>
      </c>
      <c r="AP118" s="542">
        <f t="shared" si="65"/>
        <v>55467.778278932092</v>
      </c>
      <c r="AQ118" s="542">
        <f t="shared" si="65"/>
        <v>49042.609481606523</v>
      </c>
      <c r="AR118" s="542">
        <f t="shared" si="65"/>
        <v>49349.505025029772</v>
      </c>
      <c r="AS118" s="542">
        <f t="shared" si="65"/>
        <v>53091.717077706395</v>
      </c>
      <c r="AT118" s="542">
        <f t="shared" si="65"/>
        <v>55857.042699710095</v>
      </c>
      <c r="AU118" s="542">
        <f t="shared" si="65"/>
        <v>54429.409974760172</v>
      </c>
      <c r="AV118" s="542">
        <f t="shared" si="65"/>
        <v>56970.606552789221</v>
      </c>
      <c r="AW118" s="179">
        <f>AVERAGE(D118:AV118)</f>
        <v>52122.959112825141</v>
      </c>
      <c r="AY118" s="365" t="str">
        <f t="shared" si="64"/>
        <v>LLDPE Cost of Production</v>
      </c>
      <c r="AZ118" s="647">
        <f>SUM(AZ119:AZ124)</f>
        <v>54002.013591642768</v>
      </c>
      <c r="BA118" s="970"/>
      <c r="BB118" s="608">
        <f>SUM(BB119:BB124)</f>
        <v>54221.790105280641</v>
      </c>
      <c r="BC118" s="970"/>
      <c r="BD118" s="608">
        <f>SUM(BD119:BD124)</f>
        <v>53343.94538089892</v>
      </c>
    </row>
    <row r="119" spans="3:56" ht="15" hidden="1" customHeight="1" x14ac:dyDescent="0.25">
      <c r="C119" s="6" t="s">
        <v>506</v>
      </c>
      <c r="D119" s="190">
        <f>1.046*D113</f>
        <v>46578.040973648051</v>
      </c>
      <c r="E119" s="190">
        <f t="shared" ref="E119:AV119" si="66">1.046*E113</f>
        <v>46356.710346049018</v>
      </c>
      <c r="F119" s="190">
        <f t="shared" si="66"/>
        <v>48299.447344000946</v>
      </c>
      <c r="G119" s="190">
        <f t="shared" si="66"/>
        <v>41226.898576406129</v>
      </c>
      <c r="H119" s="190">
        <f t="shared" si="66"/>
        <v>50590.73085862695</v>
      </c>
      <c r="I119" s="190">
        <f t="shared" si="66"/>
        <v>49682.241842596843</v>
      </c>
      <c r="J119" s="190">
        <f t="shared" si="66"/>
        <v>57036.193685204184</v>
      </c>
      <c r="K119" s="190">
        <f t="shared" si="66"/>
        <v>53799.174097591058</v>
      </c>
      <c r="L119" s="190">
        <f t="shared" si="66"/>
        <v>58314.102686167906</v>
      </c>
      <c r="M119" s="190">
        <f t="shared" si="66"/>
        <v>52541.365909444663</v>
      </c>
      <c r="N119" s="190">
        <f t="shared" si="66"/>
        <v>37998.122735347722</v>
      </c>
      <c r="O119" s="190">
        <f t="shared" si="66"/>
        <v>39854.61299746162</v>
      </c>
      <c r="P119" s="190">
        <f t="shared" si="66"/>
        <v>39542.622151329415</v>
      </c>
      <c r="Q119" s="190">
        <f t="shared" si="66"/>
        <v>40507.574789692277</v>
      </c>
      <c r="R119" s="190">
        <f t="shared" si="66"/>
        <v>41664.606791158127</v>
      </c>
      <c r="S119" s="190">
        <f t="shared" si="66"/>
        <v>44850.157136455542</v>
      </c>
      <c r="T119" s="190">
        <f t="shared" si="66"/>
        <v>43716.63227098358</v>
      </c>
      <c r="U119" s="190">
        <f t="shared" si="66"/>
        <v>38082.901745130439</v>
      </c>
      <c r="V119" s="190">
        <f t="shared" si="66"/>
        <v>39492.100701057636</v>
      </c>
      <c r="W119" s="190">
        <f t="shared" si="66"/>
        <v>41502.54191498147</v>
      </c>
      <c r="X119" s="190">
        <f t="shared" si="66"/>
        <v>34721.674718958813</v>
      </c>
      <c r="Y119" s="190">
        <f t="shared" si="66"/>
        <v>39162.267085454325</v>
      </c>
      <c r="Z119" s="190">
        <f t="shared" si="66"/>
        <v>40256.202525340304</v>
      </c>
      <c r="AA119" s="190">
        <f t="shared" si="66"/>
        <v>43889.504357430291</v>
      </c>
      <c r="AB119" s="190">
        <f t="shared" si="66"/>
        <v>41843.314139171351</v>
      </c>
      <c r="AC119" s="190">
        <f t="shared" si="66"/>
        <v>40019.281270519903</v>
      </c>
      <c r="AD119" s="190">
        <f t="shared" si="66"/>
        <v>30345.467077602549</v>
      </c>
      <c r="AE119" s="190">
        <f t="shared" si="66"/>
        <v>48193.233234165687</v>
      </c>
      <c r="AF119" s="190">
        <f t="shared" si="66"/>
        <v>46399.927831685069</v>
      </c>
      <c r="AG119" s="190">
        <f t="shared" si="66"/>
        <v>48157.519449324493</v>
      </c>
      <c r="AH119" s="190">
        <f t="shared" si="66"/>
        <v>37990.930356791592</v>
      </c>
      <c r="AI119" s="190">
        <f t="shared" si="66"/>
        <v>36068.671164771709</v>
      </c>
      <c r="AJ119" s="190">
        <f t="shared" si="66"/>
        <v>35254.864925105525</v>
      </c>
      <c r="AK119" s="190">
        <f t="shared" si="66"/>
        <v>30184.513744993128</v>
      </c>
      <c r="AL119" s="190">
        <f t="shared" si="66"/>
        <v>32346.372633577881</v>
      </c>
      <c r="AM119" s="190">
        <f t="shared" si="66"/>
        <v>36151.63150977678</v>
      </c>
      <c r="AN119" s="190">
        <f t="shared" si="66"/>
        <v>39179.219320520235</v>
      </c>
      <c r="AO119" s="190">
        <f t="shared" si="66"/>
        <v>45591.116088073875</v>
      </c>
      <c r="AP119" s="190">
        <f t="shared" si="66"/>
        <v>46153.778278932092</v>
      </c>
      <c r="AQ119" s="190">
        <f t="shared" si="66"/>
        <v>39728.609481606523</v>
      </c>
      <c r="AR119" s="190">
        <f t="shared" si="66"/>
        <v>40035.505025029772</v>
      </c>
      <c r="AS119" s="190">
        <f t="shared" si="66"/>
        <v>43777.717077706395</v>
      </c>
      <c r="AT119" s="190">
        <f t="shared" si="66"/>
        <v>46543.042699710095</v>
      </c>
      <c r="AU119" s="190">
        <f t="shared" si="66"/>
        <v>45115.409974760172</v>
      </c>
      <c r="AV119" s="190">
        <f t="shared" si="66"/>
        <v>47656.606552789221</v>
      </c>
      <c r="AW119" s="179">
        <f t="shared" ref="AW119:AW127" si="67">AVERAGE(D119:AV119)</f>
        <v>42808.959112825149</v>
      </c>
      <c r="AY119" s="364" t="str">
        <f t="shared" si="64"/>
        <v>Raw materials</v>
      </c>
      <c r="AZ119" s="646">
        <f>1.046*AZ113</f>
        <v>44688.013591642768</v>
      </c>
      <c r="BA119" s="970"/>
      <c r="BB119" s="609">
        <f>1.046*BB113</f>
        <v>44907.790105280641</v>
      </c>
      <c r="BC119" s="970"/>
      <c r="BD119" s="609">
        <f>1.046*BD113</f>
        <v>44029.94538089892</v>
      </c>
    </row>
    <row r="120" spans="3:56" ht="15" hidden="1" customHeight="1" x14ac:dyDescent="0.25">
      <c r="C120" s="6" t="s">
        <v>510</v>
      </c>
      <c r="D120" s="190">
        <v>2500</v>
      </c>
      <c r="E120" s="190">
        <v>2500</v>
      </c>
      <c r="F120" s="190">
        <v>2500</v>
      </c>
      <c r="G120" s="190">
        <v>2500</v>
      </c>
      <c r="H120" s="190">
        <v>2500</v>
      </c>
      <c r="I120" s="190">
        <v>2500</v>
      </c>
      <c r="J120" s="190">
        <v>2500</v>
      </c>
      <c r="K120" s="190">
        <v>2500</v>
      </c>
      <c r="L120" s="190">
        <v>2500</v>
      </c>
      <c r="M120" s="190">
        <v>2500</v>
      </c>
      <c r="N120" s="190">
        <v>2500</v>
      </c>
      <c r="O120" s="190">
        <v>2500</v>
      </c>
      <c r="P120" s="190">
        <v>2500</v>
      </c>
      <c r="Q120" s="190">
        <v>2500</v>
      </c>
      <c r="R120" s="190">
        <v>2500</v>
      </c>
      <c r="S120" s="190">
        <v>2500</v>
      </c>
      <c r="T120" s="190">
        <v>2500</v>
      </c>
      <c r="U120" s="190">
        <v>2500</v>
      </c>
      <c r="V120" s="190">
        <v>2500</v>
      </c>
      <c r="W120" s="190">
        <v>2500</v>
      </c>
      <c r="X120" s="190">
        <v>2500</v>
      </c>
      <c r="Y120" s="190">
        <v>2500</v>
      </c>
      <c r="Z120" s="190">
        <v>2500</v>
      </c>
      <c r="AA120" s="190">
        <v>2500</v>
      </c>
      <c r="AB120" s="190">
        <v>2500</v>
      </c>
      <c r="AC120" s="190">
        <v>2500</v>
      </c>
      <c r="AD120" s="190">
        <v>2500</v>
      </c>
      <c r="AE120" s="190">
        <v>2500</v>
      </c>
      <c r="AF120" s="190">
        <v>2500</v>
      </c>
      <c r="AG120" s="190">
        <v>2500</v>
      </c>
      <c r="AH120" s="190">
        <v>2500</v>
      </c>
      <c r="AI120" s="190">
        <v>2500</v>
      </c>
      <c r="AJ120" s="190">
        <v>2500</v>
      </c>
      <c r="AK120" s="190">
        <v>2500</v>
      </c>
      <c r="AL120" s="190">
        <v>2500</v>
      </c>
      <c r="AM120" s="190">
        <v>2500</v>
      </c>
      <c r="AN120" s="190">
        <v>2500</v>
      </c>
      <c r="AO120" s="190">
        <v>2500</v>
      </c>
      <c r="AP120" s="190">
        <v>2500</v>
      </c>
      <c r="AQ120" s="190">
        <v>2500</v>
      </c>
      <c r="AR120" s="190">
        <v>2500</v>
      </c>
      <c r="AS120" s="190">
        <v>2500</v>
      </c>
      <c r="AT120" s="190">
        <v>2500</v>
      </c>
      <c r="AU120" s="190">
        <v>2500</v>
      </c>
      <c r="AV120" s="190">
        <v>2500</v>
      </c>
      <c r="AW120" s="179">
        <f t="shared" si="67"/>
        <v>2500</v>
      </c>
      <c r="AY120" s="364" t="str">
        <f t="shared" si="64"/>
        <v>Cat-Chem+ additive</v>
      </c>
      <c r="AZ120" s="646">
        <v>2500</v>
      </c>
      <c r="BA120" s="970"/>
      <c r="BB120" s="609">
        <v>2500</v>
      </c>
      <c r="BC120" s="970"/>
      <c r="BD120" s="609">
        <v>2500</v>
      </c>
    </row>
    <row r="121" spans="3:56" ht="15" hidden="1" customHeight="1" x14ac:dyDescent="0.25">
      <c r="C121" s="6" t="s">
        <v>511</v>
      </c>
      <c r="D121" s="190">
        <v>3000</v>
      </c>
      <c r="E121" s="190">
        <v>3000</v>
      </c>
      <c r="F121" s="190">
        <v>3000</v>
      </c>
      <c r="G121" s="190">
        <v>3000</v>
      </c>
      <c r="H121" s="190">
        <v>3000</v>
      </c>
      <c r="I121" s="190">
        <v>3000</v>
      </c>
      <c r="J121" s="190">
        <v>3000</v>
      </c>
      <c r="K121" s="190">
        <v>3000</v>
      </c>
      <c r="L121" s="190">
        <v>3000</v>
      </c>
      <c r="M121" s="190">
        <v>3000</v>
      </c>
      <c r="N121" s="190">
        <v>3000</v>
      </c>
      <c r="O121" s="190">
        <v>3000</v>
      </c>
      <c r="P121" s="190">
        <v>3000</v>
      </c>
      <c r="Q121" s="190">
        <v>3000</v>
      </c>
      <c r="R121" s="190">
        <v>3000</v>
      </c>
      <c r="S121" s="190">
        <v>3000</v>
      </c>
      <c r="T121" s="190">
        <v>3000</v>
      </c>
      <c r="U121" s="190">
        <v>3000</v>
      </c>
      <c r="V121" s="190">
        <v>3000</v>
      </c>
      <c r="W121" s="190">
        <v>3000</v>
      </c>
      <c r="X121" s="190">
        <v>3000</v>
      </c>
      <c r="Y121" s="190">
        <v>3000</v>
      </c>
      <c r="Z121" s="190">
        <v>3000</v>
      </c>
      <c r="AA121" s="190">
        <v>3000</v>
      </c>
      <c r="AB121" s="190">
        <v>3000</v>
      </c>
      <c r="AC121" s="190">
        <v>3000</v>
      </c>
      <c r="AD121" s="190">
        <v>3000</v>
      </c>
      <c r="AE121" s="190">
        <v>3000</v>
      </c>
      <c r="AF121" s="190">
        <v>3000</v>
      </c>
      <c r="AG121" s="190">
        <v>3000</v>
      </c>
      <c r="AH121" s="190">
        <v>3000</v>
      </c>
      <c r="AI121" s="190">
        <v>3000</v>
      </c>
      <c r="AJ121" s="190">
        <v>3000</v>
      </c>
      <c r="AK121" s="190">
        <v>3000</v>
      </c>
      <c r="AL121" s="190">
        <v>3000</v>
      </c>
      <c r="AM121" s="190">
        <v>3000</v>
      </c>
      <c r="AN121" s="190">
        <v>3000</v>
      </c>
      <c r="AO121" s="190">
        <v>3000</v>
      </c>
      <c r="AP121" s="190">
        <v>3000</v>
      </c>
      <c r="AQ121" s="190">
        <v>3000</v>
      </c>
      <c r="AR121" s="190">
        <v>3000</v>
      </c>
      <c r="AS121" s="190">
        <v>3000</v>
      </c>
      <c r="AT121" s="190">
        <v>3000</v>
      </c>
      <c r="AU121" s="190">
        <v>3000</v>
      </c>
      <c r="AV121" s="190">
        <v>3000</v>
      </c>
      <c r="AW121" s="179">
        <f t="shared" si="67"/>
        <v>3000</v>
      </c>
      <c r="AY121" s="364" t="str">
        <f t="shared" si="64"/>
        <v>Utilities</v>
      </c>
      <c r="AZ121" s="646">
        <v>3000</v>
      </c>
      <c r="BA121" s="970"/>
      <c r="BB121" s="609">
        <v>3000</v>
      </c>
      <c r="BC121" s="970"/>
      <c r="BD121" s="609">
        <v>3000</v>
      </c>
    </row>
    <row r="122" spans="3:56" ht="15" hidden="1" customHeight="1" x14ac:dyDescent="0.25">
      <c r="C122" s="6" t="s">
        <v>512</v>
      </c>
      <c r="D122" s="190">
        <v>2100</v>
      </c>
      <c r="E122" s="190">
        <v>2100</v>
      </c>
      <c r="F122" s="190">
        <v>2100</v>
      </c>
      <c r="G122" s="190">
        <v>2100</v>
      </c>
      <c r="H122" s="190">
        <v>2100</v>
      </c>
      <c r="I122" s="190">
        <v>2100</v>
      </c>
      <c r="J122" s="190">
        <v>2100</v>
      </c>
      <c r="K122" s="190">
        <v>2100</v>
      </c>
      <c r="L122" s="190">
        <v>2100</v>
      </c>
      <c r="M122" s="190">
        <v>2100</v>
      </c>
      <c r="N122" s="190">
        <v>2100</v>
      </c>
      <c r="O122" s="190">
        <v>2100</v>
      </c>
      <c r="P122" s="190">
        <v>2100</v>
      </c>
      <c r="Q122" s="190">
        <v>2100</v>
      </c>
      <c r="R122" s="190">
        <v>2100</v>
      </c>
      <c r="S122" s="190">
        <v>2100</v>
      </c>
      <c r="T122" s="190">
        <v>2100</v>
      </c>
      <c r="U122" s="190">
        <v>2100</v>
      </c>
      <c r="V122" s="190">
        <v>2100</v>
      </c>
      <c r="W122" s="190">
        <v>2100</v>
      </c>
      <c r="X122" s="190">
        <v>2100</v>
      </c>
      <c r="Y122" s="190">
        <v>2100</v>
      </c>
      <c r="Z122" s="190">
        <v>2100</v>
      </c>
      <c r="AA122" s="190">
        <v>2100</v>
      </c>
      <c r="AB122" s="190">
        <v>2100</v>
      </c>
      <c r="AC122" s="190">
        <v>2100</v>
      </c>
      <c r="AD122" s="190">
        <v>2100</v>
      </c>
      <c r="AE122" s="190">
        <v>2100</v>
      </c>
      <c r="AF122" s="190">
        <v>2100</v>
      </c>
      <c r="AG122" s="190">
        <v>2100</v>
      </c>
      <c r="AH122" s="190">
        <v>2100</v>
      </c>
      <c r="AI122" s="190">
        <v>2100</v>
      </c>
      <c r="AJ122" s="190">
        <v>2100</v>
      </c>
      <c r="AK122" s="190">
        <v>2100</v>
      </c>
      <c r="AL122" s="190">
        <v>2100</v>
      </c>
      <c r="AM122" s="190">
        <v>2100</v>
      </c>
      <c r="AN122" s="190">
        <v>2100</v>
      </c>
      <c r="AO122" s="190">
        <v>2100</v>
      </c>
      <c r="AP122" s="190">
        <v>2100</v>
      </c>
      <c r="AQ122" s="190">
        <v>2100</v>
      </c>
      <c r="AR122" s="190">
        <v>2100</v>
      </c>
      <c r="AS122" s="190">
        <v>2100</v>
      </c>
      <c r="AT122" s="190">
        <v>2100</v>
      </c>
      <c r="AU122" s="190">
        <v>2100</v>
      </c>
      <c r="AV122" s="190">
        <v>2100</v>
      </c>
      <c r="AW122" s="179">
        <f t="shared" si="67"/>
        <v>2100</v>
      </c>
      <c r="AY122" s="364" t="str">
        <f t="shared" si="64"/>
        <v>Overheads</v>
      </c>
      <c r="AZ122" s="646">
        <v>2100</v>
      </c>
      <c r="BA122" s="970"/>
      <c r="BB122" s="609">
        <v>2100</v>
      </c>
      <c r="BC122" s="970"/>
      <c r="BD122" s="609">
        <v>2100</v>
      </c>
    </row>
    <row r="123" spans="3:56" ht="15" hidden="1" customHeight="1" x14ac:dyDescent="0.25">
      <c r="C123" s="541" t="s">
        <v>513</v>
      </c>
      <c r="D123" s="190">
        <v>1814</v>
      </c>
      <c r="E123" s="190">
        <v>1814</v>
      </c>
      <c r="F123" s="190">
        <v>1814</v>
      </c>
      <c r="G123" s="190">
        <v>1814</v>
      </c>
      <c r="H123" s="190">
        <v>1814</v>
      </c>
      <c r="I123" s="190">
        <v>1814</v>
      </c>
      <c r="J123" s="190">
        <v>1814</v>
      </c>
      <c r="K123" s="190">
        <v>1814</v>
      </c>
      <c r="L123" s="190">
        <v>1814</v>
      </c>
      <c r="M123" s="190">
        <v>1814</v>
      </c>
      <c r="N123" s="190">
        <v>1814</v>
      </c>
      <c r="O123" s="190">
        <v>1814</v>
      </c>
      <c r="P123" s="190">
        <v>1814</v>
      </c>
      <c r="Q123" s="190">
        <v>1814</v>
      </c>
      <c r="R123" s="190">
        <v>1814</v>
      </c>
      <c r="S123" s="190">
        <v>1814</v>
      </c>
      <c r="T123" s="190">
        <v>1814</v>
      </c>
      <c r="U123" s="190">
        <v>1814</v>
      </c>
      <c r="V123" s="190">
        <v>1814</v>
      </c>
      <c r="W123" s="190">
        <v>1814</v>
      </c>
      <c r="X123" s="190">
        <v>1814</v>
      </c>
      <c r="Y123" s="190">
        <v>1814</v>
      </c>
      <c r="Z123" s="190">
        <v>1814</v>
      </c>
      <c r="AA123" s="190">
        <v>1814</v>
      </c>
      <c r="AB123" s="190">
        <v>1814</v>
      </c>
      <c r="AC123" s="190">
        <v>1814</v>
      </c>
      <c r="AD123" s="190">
        <v>1814</v>
      </c>
      <c r="AE123" s="190">
        <v>1814</v>
      </c>
      <c r="AF123" s="190">
        <v>1814</v>
      </c>
      <c r="AG123" s="190">
        <v>1814</v>
      </c>
      <c r="AH123" s="190">
        <v>1814</v>
      </c>
      <c r="AI123" s="190">
        <v>1814</v>
      </c>
      <c r="AJ123" s="190">
        <v>1814</v>
      </c>
      <c r="AK123" s="190">
        <v>1814</v>
      </c>
      <c r="AL123" s="190">
        <v>1814</v>
      </c>
      <c r="AM123" s="190">
        <v>1814</v>
      </c>
      <c r="AN123" s="190">
        <v>1814</v>
      </c>
      <c r="AO123" s="190">
        <v>1814</v>
      </c>
      <c r="AP123" s="190">
        <v>1814</v>
      </c>
      <c r="AQ123" s="190">
        <v>1814</v>
      </c>
      <c r="AR123" s="190">
        <v>1814</v>
      </c>
      <c r="AS123" s="190">
        <v>1814</v>
      </c>
      <c r="AT123" s="190">
        <v>1814</v>
      </c>
      <c r="AU123" s="190">
        <v>1814</v>
      </c>
      <c r="AV123" s="190">
        <v>1814</v>
      </c>
      <c r="AW123" s="179">
        <f t="shared" si="67"/>
        <v>1814</v>
      </c>
      <c r="AY123" s="364" t="str">
        <f t="shared" si="64"/>
        <v>Depreciation</v>
      </c>
      <c r="AZ123" s="646">
        <v>1814</v>
      </c>
      <c r="BA123" s="970"/>
      <c r="BB123" s="609">
        <v>1814</v>
      </c>
      <c r="BC123" s="970"/>
      <c r="BD123" s="609">
        <v>1814</v>
      </c>
    </row>
    <row r="124" spans="3:56" ht="15" hidden="1" customHeight="1" x14ac:dyDescent="0.25">
      <c r="C124" s="541" t="s">
        <v>514</v>
      </c>
      <c r="D124" s="543">
        <v>-100</v>
      </c>
      <c r="E124" s="543">
        <v>-100</v>
      </c>
      <c r="F124" s="543">
        <v>-100</v>
      </c>
      <c r="G124" s="543">
        <v>-100</v>
      </c>
      <c r="H124" s="543">
        <v>-100</v>
      </c>
      <c r="I124" s="543">
        <v>-100</v>
      </c>
      <c r="J124" s="543">
        <v>-100</v>
      </c>
      <c r="K124" s="543">
        <v>-100</v>
      </c>
      <c r="L124" s="543">
        <v>-100</v>
      </c>
      <c r="M124" s="543">
        <v>-100</v>
      </c>
      <c r="N124" s="543">
        <v>-100</v>
      </c>
      <c r="O124" s="543">
        <v>-100</v>
      </c>
      <c r="P124" s="543">
        <v>-100</v>
      </c>
      <c r="Q124" s="543">
        <v>-100</v>
      </c>
      <c r="R124" s="543">
        <v>-100</v>
      </c>
      <c r="S124" s="543">
        <v>-100</v>
      </c>
      <c r="T124" s="543">
        <v>-100</v>
      </c>
      <c r="U124" s="543">
        <v>-100</v>
      </c>
      <c r="V124" s="543">
        <v>-100</v>
      </c>
      <c r="W124" s="543">
        <v>-100</v>
      </c>
      <c r="X124" s="543">
        <v>-100</v>
      </c>
      <c r="Y124" s="543">
        <v>-100</v>
      </c>
      <c r="Z124" s="543">
        <v>-100</v>
      </c>
      <c r="AA124" s="543">
        <v>-100</v>
      </c>
      <c r="AB124" s="543">
        <v>-100</v>
      </c>
      <c r="AC124" s="543">
        <v>-100</v>
      </c>
      <c r="AD124" s="543">
        <v>-100</v>
      </c>
      <c r="AE124" s="543">
        <v>-100</v>
      </c>
      <c r="AF124" s="543">
        <v>-100</v>
      </c>
      <c r="AG124" s="543">
        <v>-100</v>
      </c>
      <c r="AH124" s="543">
        <v>-100</v>
      </c>
      <c r="AI124" s="543">
        <v>-100</v>
      </c>
      <c r="AJ124" s="543">
        <v>-100</v>
      </c>
      <c r="AK124" s="543">
        <v>-100</v>
      </c>
      <c r="AL124" s="543">
        <v>-100</v>
      </c>
      <c r="AM124" s="543">
        <v>-100</v>
      </c>
      <c r="AN124" s="543">
        <v>-100</v>
      </c>
      <c r="AO124" s="543">
        <v>-100</v>
      </c>
      <c r="AP124" s="543">
        <v>-100</v>
      </c>
      <c r="AQ124" s="543">
        <v>-100</v>
      </c>
      <c r="AR124" s="543">
        <v>-100</v>
      </c>
      <c r="AS124" s="543">
        <v>-100</v>
      </c>
      <c r="AT124" s="543">
        <v>-100</v>
      </c>
      <c r="AU124" s="543">
        <v>-100</v>
      </c>
      <c r="AV124" s="543">
        <v>-100</v>
      </c>
      <c r="AW124" s="179">
        <f t="shared" si="67"/>
        <v>-100</v>
      </c>
      <c r="AY124" s="364" t="str">
        <f t="shared" si="64"/>
        <v>Co-product/Byprodcut Credit</v>
      </c>
      <c r="AZ124" s="649">
        <v>-100</v>
      </c>
      <c r="BA124" s="970"/>
      <c r="BB124" s="610">
        <v>-100</v>
      </c>
      <c r="BC124" s="970"/>
      <c r="BD124" s="610">
        <v>-100</v>
      </c>
    </row>
    <row r="125" spans="3:56" x14ac:dyDescent="0.25">
      <c r="C125" s="541" t="s">
        <v>570</v>
      </c>
      <c r="D125" s="190">
        <f>'Polymer Prices'!E41</f>
        <v>77120</v>
      </c>
      <c r="E125" s="190">
        <f>'Polymer Prices'!F41</f>
        <v>78330</v>
      </c>
      <c r="F125" s="190">
        <f>'Polymer Prices'!G41</f>
        <v>78330</v>
      </c>
      <c r="G125" s="190">
        <f>'Polymer Prices'!H41</f>
        <v>79710</v>
      </c>
      <c r="H125" s="190">
        <f>'Polymer Prices'!I41</f>
        <v>81840</v>
      </c>
      <c r="I125" s="190">
        <f>'Polymer Prices'!J41</f>
        <v>82290</v>
      </c>
      <c r="J125" s="190">
        <f>'Polymer Prices'!K41</f>
        <v>81605</v>
      </c>
      <c r="K125" s="190">
        <f>'Polymer Prices'!L41</f>
        <v>80450</v>
      </c>
      <c r="L125" s="190">
        <f>'Polymer Prices'!M41</f>
        <v>82290</v>
      </c>
      <c r="M125" s="190">
        <f>'Polymer Prices'!N41</f>
        <v>84860</v>
      </c>
      <c r="N125" s="190">
        <f>'Polymer Prices'!O41</f>
        <v>82790</v>
      </c>
      <c r="O125" s="190">
        <f>'Polymer Prices'!P41</f>
        <v>75410</v>
      </c>
      <c r="P125" s="190">
        <f>'Polymer Prices'!Q41</f>
        <v>75535</v>
      </c>
      <c r="Q125" s="190">
        <f>'Polymer Prices'!R41</f>
        <v>75515</v>
      </c>
      <c r="R125" s="190">
        <f>'Polymer Prices'!S41</f>
        <v>76895</v>
      </c>
      <c r="S125" s="190">
        <f>'Polymer Prices'!T41</f>
        <v>76895</v>
      </c>
      <c r="T125" s="190">
        <f>'Polymer Prices'!U41</f>
        <v>73118.75</v>
      </c>
      <c r="U125" s="190">
        <f>'Polymer Prices'!V41</f>
        <v>69505.666666666672</v>
      </c>
      <c r="V125" s="190">
        <f>'Polymer Prices'!W41</f>
        <v>68825</v>
      </c>
      <c r="W125" s="190">
        <f>'Polymer Prices'!X41</f>
        <v>69518</v>
      </c>
      <c r="X125" s="190">
        <f>'Polymer Prices'!Y41</f>
        <v>66726.666666666672</v>
      </c>
      <c r="Y125" s="190">
        <f>'Polymer Prices'!Z41</f>
        <v>68260</v>
      </c>
      <c r="Z125" s="190">
        <f>'Polymer Prices'!AA41</f>
        <v>65340</v>
      </c>
      <c r="AA125" s="190">
        <f>'Polymer Prices'!AB41</f>
        <v>64110</v>
      </c>
      <c r="AB125" s="190">
        <f>'Polymer Prices'!AC41</f>
        <v>65725</v>
      </c>
      <c r="AC125" s="190">
        <f>'Polymer Prices'!AD41</f>
        <v>66420</v>
      </c>
      <c r="AD125" s="190">
        <f>'Polymer Prices'!AE41</f>
        <v>66430</v>
      </c>
      <c r="AE125" s="190">
        <f>'Polymer Prices'!AF41</f>
        <v>62745</v>
      </c>
      <c r="AF125" s="190">
        <f>'Polymer Prices'!AG41</f>
        <v>59985</v>
      </c>
      <c r="AG125" s="190">
        <f>'Polymer Prices'!AH41</f>
        <v>63743.333333333336</v>
      </c>
      <c r="AH125" s="190">
        <f>'Polymer Prices'!AI41</f>
        <v>67265</v>
      </c>
      <c r="AI125" s="190">
        <f>'Polymer Prices'!AJ41</f>
        <v>67680</v>
      </c>
      <c r="AJ125" s="190">
        <f>'Polymer Prices'!AK41</f>
        <v>68533.333333333328</v>
      </c>
      <c r="AK125" s="190">
        <f>'Polymer Prices'!AL41</f>
        <v>71170</v>
      </c>
      <c r="AL125" s="190">
        <f>'Polymer Prices'!AM41</f>
        <v>74566.666666666672</v>
      </c>
      <c r="AM125" s="190">
        <f>'Polymer Prices'!AN41</f>
        <v>80425</v>
      </c>
      <c r="AN125" s="190">
        <f>'Polymer Prices'!AO41</f>
        <v>79965</v>
      </c>
      <c r="AO125" s="190">
        <f>'Polymer Prices'!AP41</f>
        <v>83513.333333333328</v>
      </c>
      <c r="AP125" s="190">
        <f>'Polymer Prices'!AQ41</f>
        <v>94750</v>
      </c>
      <c r="AQ125" s="190">
        <f>'Polymer Prices'!AR41</f>
        <v>97356.666666666672</v>
      </c>
      <c r="AR125" s="190">
        <f>'Polymer Prices'!AS41</f>
        <v>88703.333333333328</v>
      </c>
      <c r="AS125" s="190">
        <f>'Polymer Prices'!AT41</f>
        <v>85010</v>
      </c>
      <c r="AT125" s="190">
        <f>'Polymer Prices'!AU41</f>
        <v>87430</v>
      </c>
      <c r="AU125" s="190">
        <f>'Polymer Prices'!AV41</f>
        <v>92103.333333333328</v>
      </c>
      <c r="AV125" s="190">
        <f>'Polymer Prices'!AW41</f>
        <v>94270</v>
      </c>
      <c r="AW125" s="179">
        <f t="shared" si="67"/>
        <v>76290.20185185186</v>
      </c>
      <c r="AY125" s="364" t="str">
        <f t="shared" si="64"/>
        <v>LLDPE OPaL Price</v>
      </c>
      <c r="AZ125" s="646">
        <f>AW125</f>
        <v>76290.20185185186</v>
      </c>
      <c r="BA125" s="970"/>
      <c r="BB125" s="609">
        <f>AW125</f>
        <v>76290.20185185186</v>
      </c>
      <c r="BC125" s="970"/>
      <c r="BD125" s="609">
        <f>AW125</f>
        <v>76290.20185185186</v>
      </c>
    </row>
    <row r="126" spans="3:56" x14ac:dyDescent="0.25">
      <c r="C126" s="541" t="s">
        <v>571</v>
      </c>
      <c r="D126" s="190">
        <f>D125-D118</f>
        <v>21227.959026351949</v>
      </c>
      <c r="E126" s="190">
        <f t="shared" ref="E126:AV126" si="68">E125-E118</f>
        <v>22659.289653950982</v>
      </c>
      <c r="F126" s="190">
        <f t="shared" si="68"/>
        <v>20716.552655999054</v>
      </c>
      <c r="G126" s="190">
        <f t="shared" si="68"/>
        <v>29169.101423593871</v>
      </c>
      <c r="H126" s="190">
        <f t="shared" si="68"/>
        <v>21935.26914137305</v>
      </c>
      <c r="I126" s="190">
        <f t="shared" si="68"/>
        <v>23293.758157403157</v>
      </c>
      <c r="J126" s="190">
        <f t="shared" si="68"/>
        <v>15254.806314795816</v>
      </c>
      <c r="K126" s="190">
        <f t="shared" si="68"/>
        <v>17336.825902408942</v>
      </c>
      <c r="L126" s="190">
        <f t="shared" si="68"/>
        <v>14661.897313832102</v>
      </c>
      <c r="M126" s="190">
        <f t="shared" si="68"/>
        <v>23004.634090555337</v>
      </c>
      <c r="N126" s="190">
        <f t="shared" si="68"/>
        <v>35477.877264652278</v>
      </c>
      <c r="O126" s="190">
        <f t="shared" si="68"/>
        <v>26241.38700253838</v>
      </c>
      <c r="P126" s="190">
        <f t="shared" si="68"/>
        <v>26678.377848670585</v>
      </c>
      <c r="Q126" s="190">
        <f t="shared" si="68"/>
        <v>25693.425210307723</v>
      </c>
      <c r="R126" s="190">
        <f t="shared" si="68"/>
        <v>25916.393208841873</v>
      </c>
      <c r="S126" s="190">
        <f t="shared" si="68"/>
        <v>22730.842863544458</v>
      </c>
      <c r="T126" s="190">
        <f t="shared" si="68"/>
        <v>20088.11772901642</v>
      </c>
      <c r="U126" s="190">
        <f t="shared" si="68"/>
        <v>22108.764921536233</v>
      </c>
      <c r="V126" s="190">
        <f t="shared" si="68"/>
        <v>20018.899298942364</v>
      </c>
      <c r="W126" s="190">
        <f t="shared" si="68"/>
        <v>18701.45808501853</v>
      </c>
      <c r="X126" s="190">
        <f t="shared" si="68"/>
        <v>22690.991947707858</v>
      </c>
      <c r="Y126" s="190">
        <f t="shared" si="68"/>
        <v>19783.732914545675</v>
      </c>
      <c r="Z126" s="190">
        <f t="shared" si="68"/>
        <v>15769.797474659696</v>
      </c>
      <c r="AA126" s="190">
        <f t="shared" si="68"/>
        <v>10906.495642569709</v>
      </c>
      <c r="AB126" s="190">
        <f t="shared" si="68"/>
        <v>14567.685860828649</v>
      </c>
      <c r="AC126" s="190">
        <f t="shared" si="68"/>
        <v>17086.718729480097</v>
      </c>
      <c r="AD126" s="190">
        <f t="shared" si="68"/>
        <v>26770.532922397455</v>
      </c>
      <c r="AE126" s="190">
        <f t="shared" si="68"/>
        <v>5237.7667658343125</v>
      </c>
      <c r="AF126" s="190">
        <f t="shared" si="68"/>
        <v>4271.0721683149313</v>
      </c>
      <c r="AG126" s="190">
        <f t="shared" si="68"/>
        <v>6271.8138840088432</v>
      </c>
      <c r="AH126" s="190">
        <f t="shared" si="68"/>
        <v>19960.069643208408</v>
      </c>
      <c r="AI126" s="190">
        <f t="shared" si="68"/>
        <v>22297.328835228291</v>
      </c>
      <c r="AJ126" s="190">
        <f t="shared" si="68"/>
        <v>23964.468408227804</v>
      </c>
      <c r="AK126" s="190">
        <f t="shared" si="68"/>
        <v>31671.486255006872</v>
      </c>
      <c r="AL126" s="190">
        <f t="shared" si="68"/>
        <v>32906.294033088794</v>
      </c>
      <c r="AM126" s="190">
        <f t="shared" si="68"/>
        <v>34959.36849022322</v>
      </c>
      <c r="AN126" s="190">
        <f t="shared" si="68"/>
        <v>31471.780679479765</v>
      </c>
      <c r="AO126" s="190">
        <f t="shared" si="68"/>
        <v>28608.217245259453</v>
      </c>
      <c r="AP126" s="190">
        <f t="shared" si="68"/>
        <v>39282.221721067908</v>
      </c>
      <c r="AQ126" s="190">
        <f t="shared" si="68"/>
        <v>48314.057185060148</v>
      </c>
      <c r="AR126" s="190">
        <f t="shared" si="68"/>
        <v>39353.828308303557</v>
      </c>
      <c r="AS126" s="190">
        <f t="shared" si="68"/>
        <v>31918.282922293605</v>
      </c>
      <c r="AT126" s="190">
        <f t="shared" si="68"/>
        <v>31572.957300289905</v>
      </c>
      <c r="AU126" s="190">
        <f t="shared" si="68"/>
        <v>37673.923358573156</v>
      </c>
      <c r="AV126" s="190">
        <f t="shared" si="68"/>
        <v>37299.393447210779</v>
      </c>
      <c r="AW126" s="179">
        <f t="shared" si="67"/>
        <v>24167.242739026708</v>
      </c>
      <c r="AY126" s="364" t="str">
        <f t="shared" si="64"/>
        <v>Contribution Per MT INR</v>
      </c>
      <c r="AZ126" s="646">
        <f>AZ125-AZ118</f>
        <v>22288.188260209092</v>
      </c>
      <c r="BA126" s="970"/>
      <c r="BB126" s="609">
        <f>BB125-BB118</f>
        <v>22068.411746571219</v>
      </c>
      <c r="BC126" s="970"/>
      <c r="BD126" s="609">
        <f>BD125-BD118</f>
        <v>22946.25647095294</v>
      </c>
    </row>
    <row r="127" spans="3:56" x14ac:dyDescent="0.25">
      <c r="C127" s="541" t="s">
        <v>572</v>
      </c>
      <c r="D127" s="190">
        <f>D126/D117</f>
        <v>335.14302220321991</v>
      </c>
      <c r="E127" s="190">
        <f t="shared" ref="E127:AV127" si="69">E126/E117</f>
        <v>353.33369178155283</v>
      </c>
      <c r="F127" s="190">
        <f t="shared" si="69"/>
        <v>317.64110174791557</v>
      </c>
      <c r="G127" s="190">
        <f t="shared" si="69"/>
        <v>449.23920258114691</v>
      </c>
      <c r="H127" s="190">
        <f t="shared" si="69"/>
        <v>328.27400690471495</v>
      </c>
      <c r="I127" s="190">
        <f t="shared" si="69"/>
        <v>347.693979511951</v>
      </c>
      <c r="J127" s="190">
        <f t="shared" si="69"/>
        <v>221.71072327295713</v>
      </c>
      <c r="K127" s="190">
        <f t="shared" si="69"/>
        <v>252.92619304703393</v>
      </c>
      <c r="L127" s="190">
        <f t="shared" si="69"/>
        <v>206.49105434592076</v>
      </c>
      <c r="M127" s="190">
        <f t="shared" si="69"/>
        <v>311.84267440091281</v>
      </c>
      <c r="N127" s="190">
        <f t="shared" si="69"/>
        <v>489.75534600569131</v>
      </c>
      <c r="O127" s="190">
        <f t="shared" si="69"/>
        <v>376.7607609840399</v>
      </c>
      <c r="P127" s="190">
        <f t="shared" si="69"/>
        <v>383.58559092265403</v>
      </c>
      <c r="Q127" s="190">
        <f t="shared" si="69"/>
        <v>359.67558214191536</v>
      </c>
      <c r="R127" s="190">
        <f t="shared" si="69"/>
        <v>365.0196226597447</v>
      </c>
      <c r="S127" s="190">
        <f t="shared" si="69"/>
        <v>328.62285475703999</v>
      </c>
      <c r="T127" s="190">
        <f t="shared" si="69"/>
        <v>290.73185800732932</v>
      </c>
      <c r="U127" s="190">
        <f t="shared" si="69"/>
        <v>317.74597472745376</v>
      </c>
      <c r="V127" s="190">
        <f t="shared" si="69"/>
        <v>292.46017967775549</v>
      </c>
      <c r="W127" s="190">
        <f t="shared" si="69"/>
        <v>268.31360236755421</v>
      </c>
      <c r="X127" s="190">
        <f t="shared" si="69"/>
        <v>316.71424311128283</v>
      </c>
      <c r="Y127" s="190">
        <f t="shared" si="69"/>
        <v>279.33262145493364</v>
      </c>
      <c r="Z127" s="190">
        <f t="shared" si="69"/>
        <v>222.86316385895555</v>
      </c>
      <c r="AA127" s="190">
        <f t="shared" si="69"/>
        <v>153.00275861803948</v>
      </c>
      <c r="AB127" s="190">
        <f t="shared" si="69"/>
        <v>202.97737022194022</v>
      </c>
      <c r="AC127" s="190">
        <f t="shared" si="69"/>
        <v>238.79140143218638</v>
      </c>
      <c r="AD127" s="190">
        <f t="shared" si="69"/>
        <v>361.7444046591732</v>
      </c>
      <c r="AE127" s="190">
        <f t="shared" si="69"/>
        <v>68.700132026525267</v>
      </c>
      <c r="AF127" s="190">
        <f t="shared" si="69"/>
        <v>56.384535351158846</v>
      </c>
      <c r="AG127" s="190">
        <f t="shared" si="69"/>
        <v>83.004418793129204</v>
      </c>
      <c r="AH127" s="190">
        <f t="shared" si="69"/>
        <v>267.43219951777172</v>
      </c>
      <c r="AI127" s="190">
        <f t="shared" si="69"/>
        <v>297.63106459539074</v>
      </c>
      <c r="AJ127" s="190">
        <f t="shared" si="69"/>
        <v>326.98588339625053</v>
      </c>
      <c r="AK127" s="190">
        <f t="shared" si="69"/>
        <v>432.13925849374908</v>
      </c>
      <c r="AL127" s="190">
        <f t="shared" si="69"/>
        <v>444.83594280542883</v>
      </c>
      <c r="AM127" s="190">
        <f t="shared" si="69"/>
        <v>473.98034749546781</v>
      </c>
      <c r="AN127" s="190">
        <f t="shared" si="69"/>
        <v>430.41275546334469</v>
      </c>
      <c r="AO127" s="190">
        <f t="shared" si="69"/>
        <v>392.91604512099235</v>
      </c>
      <c r="AP127" s="190">
        <f t="shared" si="69"/>
        <v>536.78903690991945</v>
      </c>
      <c r="AQ127" s="190">
        <f t="shared" si="69"/>
        <v>658.4988031219865</v>
      </c>
      <c r="AR127" s="190">
        <f t="shared" si="69"/>
        <v>531.44940321814397</v>
      </c>
      <c r="AS127" s="190">
        <f t="shared" si="69"/>
        <v>438.07689983933028</v>
      </c>
      <c r="AT127" s="190">
        <f t="shared" si="69"/>
        <v>423.72983278250354</v>
      </c>
      <c r="AU127" s="190">
        <f t="shared" si="69"/>
        <v>507.46125213595309</v>
      </c>
      <c r="AV127" s="190">
        <f t="shared" si="69"/>
        <v>511.07661405840867</v>
      </c>
      <c r="AW127" s="581">
        <f t="shared" si="67"/>
        <v>338.97549801178815</v>
      </c>
      <c r="AY127" s="365" t="str">
        <f t="shared" si="64"/>
        <v>Contribution Per MT USD</v>
      </c>
      <c r="AZ127" s="646">
        <f>AZ126/AZ117</f>
        <v>305.39294977130106</v>
      </c>
      <c r="BA127" s="970"/>
      <c r="BB127" s="609">
        <f>BB126/BB117</f>
        <v>302.38157006619741</v>
      </c>
      <c r="BC127" s="970"/>
      <c r="BD127" s="609">
        <f>BD126/BD117</f>
        <v>314.40980612963386</v>
      </c>
    </row>
    <row r="128" spans="3:56" x14ac:dyDescent="0.25">
      <c r="C128" s="120"/>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Y128" s="364">
        <f t="shared" si="64"/>
        <v>0</v>
      </c>
      <c r="AZ128" s="1"/>
      <c r="BA128" s="970"/>
      <c r="BB128" s="1"/>
      <c r="BC128" s="970"/>
      <c r="BD128" s="1"/>
    </row>
    <row r="129" spans="3:56" s="362" customFormat="1" x14ac:dyDescent="0.25">
      <c r="C129" s="8" t="s">
        <v>507</v>
      </c>
      <c r="D129" s="542">
        <f>SUM(D130:D135)</f>
        <v>61046.753194840741</v>
      </c>
      <c r="E129" s="542">
        <f t="shared" ref="E129:AV129" si="70">SUM(E130:E135)</f>
        <v>60820.344235442113</v>
      </c>
      <c r="F129" s="542">
        <f t="shared" si="70"/>
        <v>62807.656460880513</v>
      </c>
      <c r="G129" s="542">
        <f t="shared" si="70"/>
        <v>55572.831239727115</v>
      </c>
      <c r="H129" s="542">
        <f t="shared" si="70"/>
        <v>65151.512446205394</v>
      </c>
      <c r="I129" s="542">
        <f t="shared" si="70"/>
        <v>64222.178557914551</v>
      </c>
      <c r="J129" s="542">
        <f t="shared" si="70"/>
        <v>71744.863521193562</v>
      </c>
      <c r="K129" s="542">
        <f t="shared" si="70"/>
        <v>68433.571973635204</v>
      </c>
      <c r="L129" s="542">
        <f t="shared" si="70"/>
        <v>73052.093569980556</v>
      </c>
      <c r="M129" s="542">
        <f t="shared" si="70"/>
        <v>67146.903941783734</v>
      </c>
      <c r="N129" s="542">
        <f t="shared" si="70"/>
        <v>52269.972587783996</v>
      </c>
      <c r="O129" s="542">
        <f t="shared" si="70"/>
        <v>54169.059184783873</v>
      </c>
      <c r="P129" s="542">
        <f t="shared" si="70"/>
        <v>53849.90984887426</v>
      </c>
      <c r="Q129" s="542">
        <f t="shared" si="70"/>
        <v>54837.002891941433</v>
      </c>
      <c r="R129" s="542">
        <f t="shared" si="70"/>
        <v>56020.582472790818</v>
      </c>
      <c r="S129" s="542">
        <f t="shared" si="70"/>
        <v>59279.22383939525</v>
      </c>
      <c r="T129" s="542">
        <f t="shared" si="70"/>
        <v>58119.69075521265</v>
      </c>
      <c r="U129" s="542">
        <f t="shared" si="70"/>
        <v>52356.696813852366</v>
      </c>
      <c r="V129" s="542">
        <f t="shared" si="70"/>
        <v>53798.229206626842</v>
      </c>
      <c r="W129" s="542">
        <f t="shared" si="70"/>
        <v>55854.799090851026</v>
      </c>
      <c r="X129" s="542">
        <f t="shared" si="70"/>
        <v>48918.347943868001</v>
      </c>
      <c r="Y129" s="542">
        <f t="shared" si="70"/>
        <v>53460.827706917902</v>
      </c>
      <c r="Z129" s="542">
        <f t="shared" si="70"/>
        <v>54579.863003933198</v>
      </c>
      <c r="AA129" s="542">
        <f t="shared" si="70"/>
        <v>58296.529314006133</v>
      </c>
      <c r="AB129" s="542">
        <f t="shared" si="70"/>
        <v>56203.3901806055</v>
      </c>
      <c r="AC129" s="542">
        <f t="shared" si="70"/>
        <v>54337.505697376953</v>
      </c>
      <c r="AD129" s="542">
        <f t="shared" si="70"/>
        <v>44441.730184545631</v>
      </c>
      <c r="AE129" s="542">
        <f t="shared" si="70"/>
        <v>62699.005316020353</v>
      </c>
      <c r="AF129" s="542">
        <f t="shared" si="70"/>
        <v>60864.553326867135</v>
      </c>
      <c r="AG129" s="542">
        <f t="shared" si="70"/>
        <v>62662.472094433273</v>
      </c>
      <c r="AH129" s="542">
        <f t="shared" si="70"/>
        <v>52262.615183333655</v>
      </c>
      <c r="AI129" s="542">
        <f t="shared" si="70"/>
        <v>50296.25061788311</v>
      </c>
      <c r="AJ129" s="542">
        <f t="shared" si="70"/>
        <v>49463.771959715974</v>
      </c>
      <c r="AK129" s="542">
        <f t="shared" si="70"/>
        <v>44277.08385004077</v>
      </c>
      <c r="AL129" s="542">
        <f t="shared" si="70"/>
        <v>46488.54561943435</v>
      </c>
      <c r="AM129" s="542">
        <f t="shared" si="70"/>
        <v>50381.114450727684</v>
      </c>
      <c r="AN129" s="542">
        <f t="shared" si="70"/>
        <v>53478.168903400241</v>
      </c>
      <c r="AO129" s="542">
        <f t="shared" si="70"/>
        <v>60037.183761222797</v>
      </c>
      <c r="AP129" s="542">
        <f t="shared" si="70"/>
        <v>60612.755983228817</v>
      </c>
      <c r="AQ129" s="542">
        <f t="shared" si="70"/>
        <v>54040.16457487474</v>
      </c>
      <c r="AR129" s="542">
        <f t="shared" si="70"/>
        <v>54354.101698644219</v>
      </c>
      <c r="AS129" s="542">
        <f t="shared" si="70"/>
        <v>58182.177125378432</v>
      </c>
      <c r="AT129" s="542">
        <f t="shared" si="70"/>
        <v>61010.951901233086</v>
      </c>
      <c r="AU129" s="542">
        <f t="shared" si="70"/>
        <v>59550.56278488852</v>
      </c>
      <c r="AV129" s="542">
        <f t="shared" si="70"/>
        <v>62150.06597656259</v>
      </c>
      <c r="AW129" s="179">
        <f>AVERAGE(D129:AV129)</f>
        <v>57191.191444285752</v>
      </c>
      <c r="AY129" s="365" t="str">
        <f t="shared" si="64"/>
        <v>HDPE  Cost of Production</v>
      </c>
      <c r="AZ129" s="647">
        <f>SUM(AZ130:AZ135)</f>
        <v>59113.359983802831</v>
      </c>
      <c r="BA129" s="970"/>
      <c r="BB129" s="608">
        <f>SUM(BB130:BB135)</f>
        <v>59338.179170793774</v>
      </c>
      <c r="BC129" s="970"/>
      <c r="BD129" s="608">
        <f>SUM(BD130:BD135)</f>
        <v>58440.192693653771</v>
      </c>
    </row>
    <row r="130" spans="3:56" ht="15" hidden="1" customHeight="1" x14ac:dyDescent="0.25">
      <c r="C130" s="6" t="s">
        <v>506</v>
      </c>
      <c r="D130" s="190">
        <f>1.07*D113</f>
        <v>47646.753194840741</v>
      </c>
      <c r="E130" s="190">
        <f t="shared" ref="E130:AV130" si="71">1.07*E113</f>
        <v>47420.344235442113</v>
      </c>
      <c r="F130" s="190">
        <f t="shared" si="71"/>
        <v>49407.656460880513</v>
      </c>
      <c r="G130" s="190">
        <f t="shared" si="71"/>
        <v>42172.831239727115</v>
      </c>
      <c r="H130" s="190">
        <f t="shared" si="71"/>
        <v>51751.512446205394</v>
      </c>
      <c r="I130" s="190">
        <f t="shared" si="71"/>
        <v>50822.178557914551</v>
      </c>
      <c r="J130" s="190">
        <f t="shared" si="71"/>
        <v>58344.863521193569</v>
      </c>
      <c r="K130" s="190">
        <f t="shared" si="71"/>
        <v>55033.571973635211</v>
      </c>
      <c r="L130" s="190">
        <f t="shared" si="71"/>
        <v>59652.093569980556</v>
      </c>
      <c r="M130" s="190">
        <f t="shared" si="71"/>
        <v>53746.903941783734</v>
      </c>
      <c r="N130" s="190">
        <f t="shared" si="71"/>
        <v>38869.972587783996</v>
      </c>
      <c r="O130" s="190">
        <f t="shared" si="71"/>
        <v>40769.059184783873</v>
      </c>
      <c r="P130" s="190">
        <f t="shared" si="71"/>
        <v>40449.90984887426</v>
      </c>
      <c r="Q130" s="190">
        <f t="shared" si="71"/>
        <v>41437.002891941433</v>
      </c>
      <c r="R130" s="190">
        <f t="shared" si="71"/>
        <v>42620.582472790818</v>
      </c>
      <c r="S130" s="190">
        <f t="shared" si="71"/>
        <v>45879.22383939525</v>
      </c>
      <c r="T130" s="190">
        <f t="shared" si="71"/>
        <v>44719.69075521265</v>
      </c>
      <c r="U130" s="190">
        <f t="shared" si="71"/>
        <v>38956.696813852366</v>
      </c>
      <c r="V130" s="190">
        <f t="shared" si="71"/>
        <v>40398.229206626842</v>
      </c>
      <c r="W130" s="190">
        <f t="shared" si="71"/>
        <v>42454.799090851026</v>
      </c>
      <c r="X130" s="190">
        <f t="shared" si="71"/>
        <v>35518.347943868001</v>
      </c>
      <c r="Y130" s="190">
        <f t="shared" si="71"/>
        <v>40060.827706917902</v>
      </c>
      <c r="Z130" s="190">
        <f t="shared" si="71"/>
        <v>41179.863003933198</v>
      </c>
      <c r="AA130" s="190">
        <f t="shared" si="71"/>
        <v>44896.529314006133</v>
      </c>
      <c r="AB130" s="190">
        <f t="shared" si="71"/>
        <v>42803.3901806055</v>
      </c>
      <c r="AC130" s="190">
        <f t="shared" si="71"/>
        <v>40937.505697376953</v>
      </c>
      <c r="AD130" s="190">
        <f t="shared" si="71"/>
        <v>31041.730184545631</v>
      </c>
      <c r="AE130" s="190">
        <f t="shared" si="71"/>
        <v>49299.005316020353</v>
      </c>
      <c r="AF130" s="190">
        <f t="shared" si="71"/>
        <v>47464.553326867135</v>
      </c>
      <c r="AG130" s="190">
        <f t="shared" si="71"/>
        <v>49262.472094433273</v>
      </c>
      <c r="AH130" s="190">
        <f t="shared" si="71"/>
        <v>38862.615183333655</v>
      </c>
      <c r="AI130" s="190">
        <f t="shared" si="71"/>
        <v>36896.25061788311</v>
      </c>
      <c r="AJ130" s="190">
        <f t="shared" si="71"/>
        <v>36063.771959715974</v>
      </c>
      <c r="AK130" s="190">
        <f t="shared" si="71"/>
        <v>30877.08385004077</v>
      </c>
      <c r="AL130" s="190">
        <f t="shared" si="71"/>
        <v>33088.54561943435</v>
      </c>
      <c r="AM130" s="190">
        <f t="shared" si="71"/>
        <v>36981.114450727684</v>
      </c>
      <c r="AN130" s="190">
        <f t="shared" si="71"/>
        <v>40078.168903400241</v>
      </c>
      <c r="AO130" s="190">
        <f t="shared" si="71"/>
        <v>46637.183761222797</v>
      </c>
      <c r="AP130" s="190">
        <f t="shared" si="71"/>
        <v>47212.755983228817</v>
      </c>
      <c r="AQ130" s="190">
        <f t="shared" si="71"/>
        <v>40640.16457487474</v>
      </c>
      <c r="AR130" s="190">
        <f t="shared" si="71"/>
        <v>40954.101698644219</v>
      </c>
      <c r="AS130" s="190">
        <f t="shared" si="71"/>
        <v>44782.177125378432</v>
      </c>
      <c r="AT130" s="190">
        <f t="shared" si="71"/>
        <v>47610.951901233086</v>
      </c>
      <c r="AU130" s="190">
        <f t="shared" si="71"/>
        <v>46150.56278488852</v>
      </c>
      <c r="AV130" s="190">
        <f t="shared" si="71"/>
        <v>48750.06597656259</v>
      </c>
      <c r="AW130" s="179">
        <f t="shared" ref="AW130:AW138" si="72">AVERAGE(D130:AV130)</f>
        <v>43791.191444285767</v>
      </c>
      <c r="AY130" s="364" t="str">
        <f t="shared" si="64"/>
        <v>Raw materials</v>
      </c>
      <c r="AZ130" s="646">
        <f>1.07*AZ113</f>
        <v>45713.359983802831</v>
      </c>
      <c r="BA130" s="970"/>
      <c r="BB130" s="609">
        <f>1.07*BB113</f>
        <v>45938.179170793774</v>
      </c>
      <c r="BC130" s="970"/>
      <c r="BD130" s="609">
        <f>1.07*BD113</f>
        <v>45040.192693653771</v>
      </c>
    </row>
    <row r="131" spans="3:56" ht="15" hidden="1" customHeight="1" x14ac:dyDescent="0.25">
      <c r="C131" s="6" t="s">
        <v>510</v>
      </c>
      <c r="D131" s="190">
        <v>4000</v>
      </c>
      <c r="E131" s="190">
        <v>4000</v>
      </c>
      <c r="F131" s="190">
        <v>4000</v>
      </c>
      <c r="G131" s="190">
        <v>4000</v>
      </c>
      <c r="H131" s="190">
        <v>4000</v>
      </c>
      <c r="I131" s="190">
        <v>4000</v>
      </c>
      <c r="J131" s="190">
        <v>4000</v>
      </c>
      <c r="K131" s="190">
        <v>4000</v>
      </c>
      <c r="L131" s="190">
        <v>4000</v>
      </c>
      <c r="M131" s="190">
        <v>4000</v>
      </c>
      <c r="N131" s="190">
        <v>4000</v>
      </c>
      <c r="O131" s="190">
        <v>4000</v>
      </c>
      <c r="P131" s="190">
        <v>4000</v>
      </c>
      <c r="Q131" s="190">
        <v>4000</v>
      </c>
      <c r="R131" s="190">
        <v>4000</v>
      </c>
      <c r="S131" s="190">
        <v>4000</v>
      </c>
      <c r="T131" s="190">
        <v>4000</v>
      </c>
      <c r="U131" s="190">
        <v>4000</v>
      </c>
      <c r="V131" s="190">
        <v>4000</v>
      </c>
      <c r="W131" s="190">
        <v>4000</v>
      </c>
      <c r="X131" s="190">
        <v>4000</v>
      </c>
      <c r="Y131" s="190">
        <v>4000</v>
      </c>
      <c r="Z131" s="190">
        <v>4000</v>
      </c>
      <c r="AA131" s="190">
        <v>4000</v>
      </c>
      <c r="AB131" s="190">
        <v>4000</v>
      </c>
      <c r="AC131" s="190">
        <v>4000</v>
      </c>
      <c r="AD131" s="190">
        <v>4000</v>
      </c>
      <c r="AE131" s="190">
        <v>4000</v>
      </c>
      <c r="AF131" s="190">
        <v>4000</v>
      </c>
      <c r="AG131" s="190">
        <v>4000</v>
      </c>
      <c r="AH131" s="190">
        <v>4000</v>
      </c>
      <c r="AI131" s="190">
        <v>4000</v>
      </c>
      <c r="AJ131" s="190">
        <v>4000</v>
      </c>
      <c r="AK131" s="190">
        <v>4000</v>
      </c>
      <c r="AL131" s="190">
        <v>4000</v>
      </c>
      <c r="AM131" s="190">
        <v>4000</v>
      </c>
      <c r="AN131" s="190">
        <v>4000</v>
      </c>
      <c r="AO131" s="190">
        <v>4000</v>
      </c>
      <c r="AP131" s="190">
        <v>4000</v>
      </c>
      <c r="AQ131" s="190">
        <v>4000</v>
      </c>
      <c r="AR131" s="190">
        <v>4000</v>
      </c>
      <c r="AS131" s="190">
        <v>4000</v>
      </c>
      <c r="AT131" s="190">
        <v>4000</v>
      </c>
      <c r="AU131" s="190">
        <v>4000</v>
      </c>
      <c r="AV131" s="190">
        <v>4000</v>
      </c>
      <c r="AW131" s="179">
        <f t="shared" si="72"/>
        <v>4000</v>
      </c>
      <c r="AY131" s="364" t="str">
        <f t="shared" si="64"/>
        <v>Cat-Chem+ additive</v>
      </c>
      <c r="AZ131" s="646">
        <v>4000</v>
      </c>
      <c r="BA131" s="970"/>
      <c r="BB131" s="609">
        <v>4000</v>
      </c>
      <c r="BC131" s="970"/>
      <c r="BD131" s="609">
        <v>4000</v>
      </c>
    </row>
    <row r="132" spans="3:56" ht="15" hidden="1" customHeight="1" x14ac:dyDescent="0.25">
      <c r="C132" s="6" t="s">
        <v>511</v>
      </c>
      <c r="D132" s="190">
        <v>3500</v>
      </c>
      <c r="E132" s="190">
        <v>3500</v>
      </c>
      <c r="F132" s="190">
        <v>3500</v>
      </c>
      <c r="G132" s="190">
        <v>3500</v>
      </c>
      <c r="H132" s="190">
        <v>3500</v>
      </c>
      <c r="I132" s="190">
        <v>3500</v>
      </c>
      <c r="J132" s="190">
        <v>3500</v>
      </c>
      <c r="K132" s="190">
        <v>3500</v>
      </c>
      <c r="L132" s="190">
        <v>3500</v>
      </c>
      <c r="M132" s="190">
        <v>3500</v>
      </c>
      <c r="N132" s="190">
        <v>3500</v>
      </c>
      <c r="O132" s="190">
        <v>3500</v>
      </c>
      <c r="P132" s="190">
        <v>3500</v>
      </c>
      <c r="Q132" s="190">
        <v>3500</v>
      </c>
      <c r="R132" s="190">
        <v>3500</v>
      </c>
      <c r="S132" s="190">
        <v>3500</v>
      </c>
      <c r="T132" s="190">
        <v>3500</v>
      </c>
      <c r="U132" s="190">
        <v>3500</v>
      </c>
      <c r="V132" s="190">
        <v>3500</v>
      </c>
      <c r="W132" s="190">
        <v>3500</v>
      </c>
      <c r="X132" s="190">
        <v>3500</v>
      </c>
      <c r="Y132" s="190">
        <v>3500</v>
      </c>
      <c r="Z132" s="190">
        <v>3500</v>
      </c>
      <c r="AA132" s="190">
        <v>3500</v>
      </c>
      <c r="AB132" s="190">
        <v>3500</v>
      </c>
      <c r="AC132" s="190">
        <v>3500</v>
      </c>
      <c r="AD132" s="190">
        <v>3500</v>
      </c>
      <c r="AE132" s="190">
        <v>3500</v>
      </c>
      <c r="AF132" s="190">
        <v>3500</v>
      </c>
      <c r="AG132" s="190">
        <v>3500</v>
      </c>
      <c r="AH132" s="190">
        <v>3500</v>
      </c>
      <c r="AI132" s="190">
        <v>3500</v>
      </c>
      <c r="AJ132" s="190">
        <v>3500</v>
      </c>
      <c r="AK132" s="190">
        <v>3500</v>
      </c>
      <c r="AL132" s="190">
        <v>3500</v>
      </c>
      <c r="AM132" s="190">
        <v>3500</v>
      </c>
      <c r="AN132" s="190">
        <v>3500</v>
      </c>
      <c r="AO132" s="190">
        <v>3500</v>
      </c>
      <c r="AP132" s="190">
        <v>3500</v>
      </c>
      <c r="AQ132" s="190">
        <v>3500</v>
      </c>
      <c r="AR132" s="190">
        <v>3500</v>
      </c>
      <c r="AS132" s="190">
        <v>3500</v>
      </c>
      <c r="AT132" s="190">
        <v>3500</v>
      </c>
      <c r="AU132" s="190">
        <v>3500</v>
      </c>
      <c r="AV132" s="190">
        <v>3500</v>
      </c>
      <c r="AW132" s="179">
        <f t="shared" si="72"/>
        <v>3500</v>
      </c>
      <c r="AY132" s="364" t="str">
        <f t="shared" si="64"/>
        <v>Utilities</v>
      </c>
      <c r="AZ132" s="646">
        <v>3500</v>
      </c>
      <c r="BA132" s="970"/>
      <c r="BB132" s="609">
        <v>3500</v>
      </c>
      <c r="BC132" s="970"/>
      <c r="BD132" s="609">
        <v>3500</v>
      </c>
    </row>
    <row r="133" spans="3:56" ht="15" hidden="1" customHeight="1" x14ac:dyDescent="0.25">
      <c r="C133" s="6" t="s">
        <v>512</v>
      </c>
      <c r="D133" s="190">
        <v>1200</v>
      </c>
      <c r="E133" s="190">
        <v>1200</v>
      </c>
      <c r="F133" s="190">
        <v>1200</v>
      </c>
      <c r="G133" s="190">
        <v>1200</v>
      </c>
      <c r="H133" s="190">
        <v>1200</v>
      </c>
      <c r="I133" s="190">
        <v>1200</v>
      </c>
      <c r="J133" s="190">
        <v>1200</v>
      </c>
      <c r="K133" s="190">
        <v>1200</v>
      </c>
      <c r="L133" s="190">
        <v>1200</v>
      </c>
      <c r="M133" s="190">
        <v>1200</v>
      </c>
      <c r="N133" s="190">
        <v>1200</v>
      </c>
      <c r="O133" s="190">
        <v>1200</v>
      </c>
      <c r="P133" s="190">
        <v>1200</v>
      </c>
      <c r="Q133" s="190">
        <v>1200</v>
      </c>
      <c r="R133" s="190">
        <v>1200</v>
      </c>
      <c r="S133" s="190">
        <v>1200</v>
      </c>
      <c r="T133" s="190">
        <v>1200</v>
      </c>
      <c r="U133" s="190">
        <v>1200</v>
      </c>
      <c r="V133" s="190">
        <v>1200</v>
      </c>
      <c r="W133" s="190">
        <v>1200</v>
      </c>
      <c r="X133" s="190">
        <v>1200</v>
      </c>
      <c r="Y133" s="190">
        <v>1200</v>
      </c>
      <c r="Z133" s="190">
        <v>1200</v>
      </c>
      <c r="AA133" s="190">
        <v>1200</v>
      </c>
      <c r="AB133" s="190">
        <v>1200</v>
      </c>
      <c r="AC133" s="190">
        <v>1200</v>
      </c>
      <c r="AD133" s="190">
        <v>1200</v>
      </c>
      <c r="AE133" s="190">
        <v>1200</v>
      </c>
      <c r="AF133" s="190">
        <v>1200</v>
      </c>
      <c r="AG133" s="190">
        <v>1200</v>
      </c>
      <c r="AH133" s="190">
        <v>1200</v>
      </c>
      <c r="AI133" s="190">
        <v>1200</v>
      </c>
      <c r="AJ133" s="190">
        <v>1200</v>
      </c>
      <c r="AK133" s="190">
        <v>1200</v>
      </c>
      <c r="AL133" s="190">
        <v>1200</v>
      </c>
      <c r="AM133" s="190">
        <v>1200</v>
      </c>
      <c r="AN133" s="190">
        <v>1200</v>
      </c>
      <c r="AO133" s="190">
        <v>1200</v>
      </c>
      <c r="AP133" s="190">
        <v>1200</v>
      </c>
      <c r="AQ133" s="190">
        <v>1200</v>
      </c>
      <c r="AR133" s="190">
        <v>1200</v>
      </c>
      <c r="AS133" s="190">
        <v>1200</v>
      </c>
      <c r="AT133" s="190">
        <v>1200</v>
      </c>
      <c r="AU133" s="190">
        <v>1200</v>
      </c>
      <c r="AV133" s="190">
        <v>1200</v>
      </c>
      <c r="AW133" s="179">
        <f t="shared" si="72"/>
        <v>1200</v>
      </c>
      <c r="AY133" s="364" t="str">
        <f t="shared" si="64"/>
        <v>Overheads</v>
      </c>
      <c r="AZ133" s="646">
        <v>1200</v>
      </c>
      <c r="BA133" s="970"/>
      <c r="BB133" s="609">
        <v>1200</v>
      </c>
      <c r="BC133" s="970"/>
      <c r="BD133" s="609">
        <v>1200</v>
      </c>
    </row>
    <row r="134" spans="3:56" ht="15" hidden="1" customHeight="1" x14ac:dyDescent="0.25">
      <c r="C134" s="541" t="s">
        <v>513</v>
      </c>
      <c r="D134" s="190">
        <v>2700</v>
      </c>
      <c r="E134" s="190">
        <v>2700</v>
      </c>
      <c r="F134" s="190">
        <v>2700</v>
      </c>
      <c r="G134" s="190">
        <v>2700</v>
      </c>
      <c r="H134" s="190">
        <v>2700</v>
      </c>
      <c r="I134" s="190">
        <v>2700</v>
      </c>
      <c r="J134" s="190">
        <v>2700</v>
      </c>
      <c r="K134" s="190">
        <v>2700</v>
      </c>
      <c r="L134" s="190">
        <v>2700</v>
      </c>
      <c r="M134" s="190">
        <v>2700</v>
      </c>
      <c r="N134" s="190">
        <v>2700</v>
      </c>
      <c r="O134" s="190">
        <v>2700</v>
      </c>
      <c r="P134" s="190">
        <v>2700</v>
      </c>
      <c r="Q134" s="190">
        <v>2700</v>
      </c>
      <c r="R134" s="190">
        <v>2700</v>
      </c>
      <c r="S134" s="190">
        <v>2700</v>
      </c>
      <c r="T134" s="190">
        <v>2700</v>
      </c>
      <c r="U134" s="190">
        <v>2700</v>
      </c>
      <c r="V134" s="190">
        <v>2700</v>
      </c>
      <c r="W134" s="190">
        <v>2700</v>
      </c>
      <c r="X134" s="190">
        <v>2700</v>
      </c>
      <c r="Y134" s="190">
        <v>2700</v>
      </c>
      <c r="Z134" s="190">
        <v>2700</v>
      </c>
      <c r="AA134" s="190">
        <v>2700</v>
      </c>
      <c r="AB134" s="190">
        <v>2700</v>
      </c>
      <c r="AC134" s="190">
        <v>2700</v>
      </c>
      <c r="AD134" s="190">
        <v>2700</v>
      </c>
      <c r="AE134" s="190">
        <v>2700</v>
      </c>
      <c r="AF134" s="190">
        <v>2700</v>
      </c>
      <c r="AG134" s="190">
        <v>2700</v>
      </c>
      <c r="AH134" s="190">
        <v>2700</v>
      </c>
      <c r="AI134" s="190">
        <v>2700</v>
      </c>
      <c r="AJ134" s="190">
        <v>2700</v>
      </c>
      <c r="AK134" s="190">
        <v>2700</v>
      </c>
      <c r="AL134" s="190">
        <v>2700</v>
      </c>
      <c r="AM134" s="190">
        <v>2700</v>
      </c>
      <c r="AN134" s="190">
        <v>2700</v>
      </c>
      <c r="AO134" s="190">
        <v>2700</v>
      </c>
      <c r="AP134" s="190">
        <v>2700</v>
      </c>
      <c r="AQ134" s="190">
        <v>2700</v>
      </c>
      <c r="AR134" s="190">
        <v>2700</v>
      </c>
      <c r="AS134" s="190">
        <v>2700</v>
      </c>
      <c r="AT134" s="190">
        <v>2700</v>
      </c>
      <c r="AU134" s="190">
        <v>2700</v>
      </c>
      <c r="AV134" s="190">
        <v>2700</v>
      </c>
      <c r="AW134" s="179">
        <f t="shared" si="72"/>
        <v>2700</v>
      </c>
      <c r="AY134" s="364" t="str">
        <f t="shared" si="64"/>
        <v>Depreciation</v>
      </c>
      <c r="AZ134" s="646">
        <v>2700</v>
      </c>
      <c r="BA134" s="970"/>
      <c r="BB134" s="609">
        <v>2700</v>
      </c>
      <c r="BC134" s="970"/>
      <c r="BD134" s="609">
        <v>2700</v>
      </c>
    </row>
    <row r="135" spans="3:56" ht="15" hidden="1" customHeight="1" x14ac:dyDescent="0.25">
      <c r="C135" s="541" t="s">
        <v>514</v>
      </c>
      <c r="D135" s="543">
        <v>2000</v>
      </c>
      <c r="E135" s="543">
        <v>2000</v>
      </c>
      <c r="F135" s="543">
        <v>2000</v>
      </c>
      <c r="G135" s="543">
        <v>2000</v>
      </c>
      <c r="H135" s="543">
        <v>2000</v>
      </c>
      <c r="I135" s="543">
        <v>2000</v>
      </c>
      <c r="J135" s="543">
        <v>2000</v>
      </c>
      <c r="K135" s="543">
        <v>2000</v>
      </c>
      <c r="L135" s="543">
        <v>2000</v>
      </c>
      <c r="M135" s="543">
        <v>2000</v>
      </c>
      <c r="N135" s="543">
        <v>2000</v>
      </c>
      <c r="O135" s="543">
        <v>2000</v>
      </c>
      <c r="P135" s="543">
        <v>2000</v>
      </c>
      <c r="Q135" s="543">
        <v>2000</v>
      </c>
      <c r="R135" s="543">
        <v>2000</v>
      </c>
      <c r="S135" s="543">
        <v>2000</v>
      </c>
      <c r="T135" s="543">
        <v>2000</v>
      </c>
      <c r="U135" s="543">
        <v>2000</v>
      </c>
      <c r="V135" s="543">
        <v>2000</v>
      </c>
      <c r="W135" s="543">
        <v>2000</v>
      </c>
      <c r="X135" s="543">
        <v>2000</v>
      </c>
      <c r="Y135" s="543">
        <v>2000</v>
      </c>
      <c r="Z135" s="543">
        <v>2000</v>
      </c>
      <c r="AA135" s="543">
        <v>2000</v>
      </c>
      <c r="AB135" s="543">
        <v>2000</v>
      </c>
      <c r="AC135" s="543">
        <v>2000</v>
      </c>
      <c r="AD135" s="543">
        <v>2000</v>
      </c>
      <c r="AE135" s="543">
        <v>2000</v>
      </c>
      <c r="AF135" s="543">
        <v>2000</v>
      </c>
      <c r="AG135" s="543">
        <v>2000</v>
      </c>
      <c r="AH135" s="543">
        <v>2000</v>
      </c>
      <c r="AI135" s="543">
        <v>2000</v>
      </c>
      <c r="AJ135" s="543">
        <v>2000</v>
      </c>
      <c r="AK135" s="543">
        <v>2000</v>
      </c>
      <c r="AL135" s="543">
        <v>2000</v>
      </c>
      <c r="AM135" s="543">
        <v>2000</v>
      </c>
      <c r="AN135" s="543">
        <v>2000</v>
      </c>
      <c r="AO135" s="543">
        <v>2000</v>
      </c>
      <c r="AP135" s="543">
        <v>2000</v>
      </c>
      <c r="AQ135" s="543">
        <v>2000</v>
      </c>
      <c r="AR135" s="543">
        <v>2000</v>
      </c>
      <c r="AS135" s="543">
        <v>2000</v>
      </c>
      <c r="AT135" s="543">
        <v>2000</v>
      </c>
      <c r="AU135" s="543">
        <v>2000</v>
      </c>
      <c r="AV135" s="543">
        <v>2000</v>
      </c>
      <c r="AW135" s="179">
        <f t="shared" si="72"/>
        <v>2000</v>
      </c>
      <c r="AY135" s="364" t="str">
        <f t="shared" si="64"/>
        <v>Co-product/Byprodcut Credit</v>
      </c>
      <c r="AZ135" s="649">
        <v>2000</v>
      </c>
      <c r="BA135" s="970"/>
      <c r="BB135" s="610">
        <v>2000</v>
      </c>
      <c r="BC135" s="970"/>
      <c r="BD135" s="610">
        <v>2000</v>
      </c>
    </row>
    <row r="136" spans="3:56" x14ac:dyDescent="0.25">
      <c r="C136" s="541" t="s">
        <v>573</v>
      </c>
      <c r="D136" s="190">
        <f>'Polymer Prices'!E40</f>
        <v>80539.58795362903</v>
      </c>
      <c r="E136" s="190">
        <f>'Polymer Prices'!F40</f>
        <v>86934.170866935485</v>
      </c>
      <c r="F136" s="190">
        <f>'Polymer Prices'!G40</f>
        <v>89341.653225806454</v>
      </c>
      <c r="G136" s="190">
        <f>'Polymer Prices'!H40</f>
        <v>91140.766129032243</v>
      </c>
      <c r="H136" s="190">
        <f>'Polymer Prices'!I40</f>
        <v>96099.868951612909</v>
      </c>
      <c r="I136" s="190">
        <f>'Polymer Prices'!J40</f>
        <v>97828.508064516122</v>
      </c>
      <c r="J136" s="190">
        <f>'Polymer Prices'!K40</f>
        <v>97836.572580645152</v>
      </c>
      <c r="K136" s="190">
        <f>'Polymer Prices'!L40</f>
        <v>97190.645161290318</v>
      </c>
      <c r="L136" s="190">
        <f>'Polymer Prices'!M40</f>
        <v>97364.107862903213</v>
      </c>
      <c r="M136" s="190">
        <f>'Polymer Prices'!N40</f>
        <v>98086.408770161288</v>
      </c>
      <c r="N136" s="190">
        <f>'Polymer Prices'!O40</f>
        <v>93706.549059139783</v>
      </c>
      <c r="O136" s="190">
        <f>'Polymer Prices'!P40</f>
        <v>83380.277217741939</v>
      </c>
      <c r="P136" s="190">
        <f>'Polymer Prices'!Q40</f>
        <v>81038.145161290318</v>
      </c>
      <c r="Q136" s="190">
        <f>'Polymer Prices'!R40</f>
        <v>79961.224798387091</v>
      </c>
      <c r="R136" s="190">
        <f>'Polymer Prices'!S40</f>
        <v>79961.224798387091</v>
      </c>
      <c r="S136" s="190">
        <f>'Polymer Prices'!T40</f>
        <v>79961.224798387091</v>
      </c>
      <c r="T136" s="190">
        <f>'Polymer Prices'!U40</f>
        <v>77660.846774193546</v>
      </c>
      <c r="U136" s="190">
        <f>'Polymer Prices'!V40</f>
        <v>72853.889616935485</v>
      </c>
      <c r="V136" s="190">
        <f>'Polymer Prices'!W40</f>
        <v>70820.866935483864</v>
      </c>
      <c r="W136" s="190">
        <f>'Polymer Prices'!X40</f>
        <v>71429.147177419349</v>
      </c>
      <c r="X136" s="190">
        <f>'Polymer Prices'!Y40</f>
        <v>70584.057459677424</v>
      </c>
      <c r="Y136" s="190">
        <f>'Polymer Prices'!Z40</f>
        <v>70105.042002688162</v>
      </c>
      <c r="Z136" s="190">
        <f>'Polymer Prices'!AA40</f>
        <v>67182.930947580651</v>
      </c>
      <c r="AA136" s="190">
        <f>'Polymer Prices'!AB40</f>
        <v>66724.662298387091</v>
      </c>
      <c r="AB136" s="190">
        <f>'Polymer Prices'!AC40</f>
        <v>67824.059979838712</v>
      </c>
      <c r="AC136" s="190">
        <f>'Polymer Prices'!AD40</f>
        <v>68500.904737903227</v>
      </c>
      <c r="AD136" s="190">
        <f>'Polymer Prices'!AE40</f>
        <v>68724.480846774197</v>
      </c>
      <c r="AE136" s="190">
        <f>'Polymer Prices'!AF40</f>
        <v>66429.480846774182</v>
      </c>
      <c r="AF136" s="190">
        <f>'Polymer Prices'!AG40</f>
        <v>63588.351814516129</v>
      </c>
      <c r="AG136" s="190">
        <f>'Polymer Prices'!AH40</f>
        <v>66402.384072580651</v>
      </c>
      <c r="AH136" s="190">
        <f>'Polymer Prices'!AI40</f>
        <v>70905.260416666657</v>
      </c>
      <c r="AI136" s="190">
        <f>'Polymer Prices'!AJ40</f>
        <v>72930.645161290318</v>
      </c>
      <c r="AJ136" s="190">
        <f>'Polymer Prices'!AK40</f>
        <v>74167.31182795699</v>
      </c>
      <c r="AK136" s="190">
        <f>'Polymer Prices'!AL40</f>
        <v>76190.645161290318</v>
      </c>
      <c r="AL136" s="190">
        <f>'Polymer Prices'!AM40</f>
        <v>78563.440860215051</v>
      </c>
      <c r="AM136" s="190">
        <f>'Polymer Prices'!AN40</f>
        <v>82576.774193548394</v>
      </c>
      <c r="AN136" s="190">
        <f>'Polymer Prices'!AO40</f>
        <v>83057.285786290318</v>
      </c>
      <c r="AO136" s="190">
        <f>'Polymer Prices'!AP40</f>
        <v>87461.036626344096</v>
      </c>
      <c r="AP136" s="190">
        <f>'Polymer Prices'!AQ40</f>
        <v>95744.682459677424</v>
      </c>
      <c r="AQ136" s="190">
        <f>'Polymer Prices'!AR40</f>
        <v>100247.4932795699</v>
      </c>
      <c r="AR136" s="190">
        <f>'Polymer Prices'!AS40</f>
        <v>93822.923387096787</v>
      </c>
      <c r="AS136" s="190">
        <f>'Polymer Prices'!AT40</f>
        <v>89059.213709677409</v>
      </c>
      <c r="AT136" s="190">
        <f>'Polymer Prices'!AU40</f>
        <v>89672.547043010738</v>
      </c>
      <c r="AU136" s="190">
        <f>'Polymer Prices'!AV40</f>
        <v>92655.342741935485</v>
      </c>
      <c r="AV136" s="190">
        <f>'Polymer Prices'!AW40</f>
        <v>93595.342741935485</v>
      </c>
      <c r="AW136" s="179">
        <f t="shared" si="72"/>
        <v>81774.488584602761</v>
      </c>
      <c r="AY136" s="364" t="str">
        <f t="shared" si="64"/>
        <v>HDPE OPaL Price</v>
      </c>
      <c r="AZ136" s="646">
        <f>AW136</f>
        <v>81774.488584602761</v>
      </c>
      <c r="BA136" s="970"/>
      <c r="BB136" s="609">
        <f>AW136</f>
        <v>81774.488584602761</v>
      </c>
      <c r="BC136" s="970"/>
      <c r="BD136" s="609">
        <f>AW136</f>
        <v>81774.488584602761</v>
      </c>
    </row>
    <row r="137" spans="3:56" x14ac:dyDescent="0.25">
      <c r="C137" s="541" t="s">
        <v>571</v>
      </c>
      <c r="D137" s="190">
        <f>D136-D129</f>
        <v>19492.834758788289</v>
      </c>
      <c r="E137" s="190">
        <f t="shared" ref="E137:AV137" si="73">E136-E129</f>
        <v>26113.826631493372</v>
      </c>
      <c r="F137" s="190">
        <f t="shared" si="73"/>
        <v>26533.996764925942</v>
      </c>
      <c r="G137" s="190">
        <f t="shared" si="73"/>
        <v>35567.934889305128</v>
      </c>
      <c r="H137" s="190">
        <f t="shared" si="73"/>
        <v>30948.356505407515</v>
      </c>
      <c r="I137" s="190">
        <f t="shared" si="73"/>
        <v>33606.329506601571</v>
      </c>
      <c r="J137" s="190">
        <f t="shared" si="73"/>
        <v>26091.70905945159</v>
      </c>
      <c r="K137" s="190">
        <f t="shared" si="73"/>
        <v>28757.073187655114</v>
      </c>
      <c r="L137" s="190">
        <f t="shared" si="73"/>
        <v>24312.014292922657</v>
      </c>
      <c r="M137" s="190">
        <f t="shared" si="73"/>
        <v>30939.504828377554</v>
      </c>
      <c r="N137" s="190">
        <f t="shared" si="73"/>
        <v>41436.576471355787</v>
      </c>
      <c r="O137" s="190">
        <f t="shared" si="73"/>
        <v>29211.218032958066</v>
      </c>
      <c r="P137" s="190">
        <f t="shared" si="73"/>
        <v>27188.235312416058</v>
      </c>
      <c r="Q137" s="190">
        <f t="shared" si="73"/>
        <v>25124.221906445659</v>
      </c>
      <c r="R137" s="190">
        <f t="shared" si="73"/>
        <v>23940.642325596273</v>
      </c>
      <c r="S137" s="190">
        <f t="shared" si="73"/>
        <v>20682.000958991841</v>
      </c>
      <c r="T137" s="190">
        <f t="shared" si="73"/>
        <v>19541.156018980895</v>
      </c>
      <c r="U137" s="190">
        <f t="shared" si="73"/>
        <v>20497.192803083119</v>
      </c>
      <c r="V137" s="190">
        <f t="shared" si="73"/>
        <v>17022.637728857022</v>
      </c>
      <c r="W137" s="190">
        <f t="shared" si="73"/>
        <v>15574.348086568323</v>
      </c>
      <c r="X137" s="190">
        <f t="shared" si="73"/>
        <v>21665.709515809423</v>
      </c>
      <c r="Y137" s="190">
        <f t="shared" si="73"/>
        <v>16644.21429577026</v>
      </c>
      <c r="Z137" s="190">
        <f t="shared" si="73"/>
        <v>12603.067943647453</v>
      </c>
      <c r="AA137" s="190">
        <f t="shared" si="73"/>
        <v>8428.1329843809581</v>
      </c>
      <c r="AB137" s="190">
        <f t="shared" si="73"/>
        <v>11620.669799233212</v>
      </c>
      <c r="AC137" s="190">
        <f t="shared" si="73"/>
        <v>14163.399040526274</v>
      </c>
      <c r="AD137" s="190">
        <f t="shared" si="73"/>
        <v>24282.750662228565</v>
      </c>
      <c r="AE137" s="190">
        <f t="shared" si="73"/>
        <v>3730.4755307538289</v>
      </c>
      <c r="AF137" s="190">
        <f t="shared" si="73"/>
        <v>2723.7984876489936</v>
      </c>
      <c r="AG137" s="190">
        <f t="shared" si="73"/>
        <v>3739.9119781473782</v>
      </c>
      <c r="AH137" s="190">
        <f t="shared" si="73"/>
        <v>18642.645233333002</v>
      </c>
      <c r="AI137" s="190">
        <f t="shared" si="73"/>
        <v>22634.394543407208</v>
      </c>
      <c r="AJ137" s="190">
        <f t="shared" si="73"/>
        <v>24703.539868241016</v>
      </c>
      <c r="AK137" s="190">
        <f t="shared" si="73"/>
        <v>31913.561311249548</v>
      </c>
      <c r="AL137" s="190">
        <f t="shared" si="73"/>
        <v>32074.895240780701</v>
      </c>
      <c r="AM137" s="190">
        <f t="shared" si="73"/>
        <v>32195.65974282071</v>
      </c>
      <c r="AN137" s="190">
        <f t="shared" si="73"/>
        <v>29579.116882890077</v>
      </c>
      <c r="AO137" s="190">
        <f t="shared" si="73"/>
        <v>27423.852865121298</v>
      </c>
      <c r="AP137" s="190">
        <f t="shared" si="73"/>
        <v>35131.926476448607</v>
      </c>
      <c r="AQ137" s="190">
        <f t="shared" si="73"/>
        <v>46207.328704695159</v>
      </c>
      <c r="AR137" s="190">
        <f t="shared" si="73"/>
        <v>39468.821688452568</v>
      </c>
      <c r="AS137" s="190">
        <f t="shared" si="73"/>
        <v>30877.036584298978</v>
      </c>
      <c r="AT137" s="190">
        <f t="shared" si="73"/>
        <v>28661.595141777652</v>
      </c>
      <c r="AU137" s="190">
        <f t="shared" si="73"/>
        <v>33104.779957046965</v>
      </c>
      <c r="AV137" s="190">
        <f t="shared" si="73"/>
        <v>31445.276765372895</v>
      </c>
      <c r="AW137" s="179">
        <f t="shared" si="72"/>
        <v>24583.29714031699</v>
      </c>
      <c r="AY137" s="364" t="str">
        <f t="shared" si="64"/>
        <v>Contribution Per MT INR</v>
      </c>
      <c r="AZ137" s="646">
        <f>AZ136-AZ129</f>
        <v>22661.12860079993</v>
      </c>
      <c r="BA137" s="970"/>
      <c r="BB137" s="609">
        <f>BB136-BB129</f>
        <v>22436.309413808987</v>
      </c>
      <c r="BC137" s="970"/>
      <c r="BD137" s="609">
        <f>BD136-BD129</f>
        <v>23334.29589094899</v>
      </c>
    </row>
    <row r="138" spans="3:56" x14ac:dyDescent="0.25">
      <c r="C138" s="541" t="s">
        <v>572</v>
      </c>
      <c r="D138" s="190">
        <f>D137/D117</f>
        <v>307.74920680120442</v>
      </c>
      <c r="E138" s="190">
        <f t="shared" ref="E138:AV138" si="74">E137/E117</f>
        <v>407.20141324642714</v>
      </c>
      <c r="F138" s="190">
        <f t="shared" si="74"/>
        <v>406.83834352845662</v>
      </c>
      <c r="G138" s="190">
        <f t="shared" si="74"/>
        <v>547.78892483143579</v>
      </c>
      <c r="H138" s="190">
        <f t="shared" si="74"/>
        <v>463.16007939849624</v>
      </c>
      <c r="I138" s="190">
        <f t="shared" si="74"/>
        <v>501.62444222108468</v>
      </c>
      <c r="J138" s="190">
        <f t="shared" si="74"/>
        <v>379.21239821890254</v>
      </c>
      <c r="K138" s="190">
        <f t="shared" si="74"/>
        <v>419.53568002998196</v>
      </c>
      <c r="L138" s="190">
        <f t="shared" si="74"/>
        <v>342.39862394088669</v>
      </c>
      <c r="M138" s="190">
        <f t="shared" si="74"/>
        <v>419.40497259560198</v>
      </c>
      <c r="N138" s="190">
        <f t="shared" si="74"/>
        <v>572.01237536382916</v>
      </c>
      <c r="O138" s="190">
        <f t="shared" si="74"/>
        <v>419.40011533320984</v>
      </c>
      <c r="P138" s="190">
        <f t="shared" si="74"/>
        <v>390.91639557751341</v>
      </c>
      <c r="Q138" s="190">
        <f t="shared" si="74"/>
        <v>351.70745301946744</v>
      </c>
      <c r="R138" s="190">
        <f t="shared" si="74"/>
        <v>337.19214543093341</v>
      </c>
      <c r="S138" s="190">
        <f t="shared" si="74"/>
        <v>299.0024715771554</v>
      </c>
      <c r="T138" s="190">
        <f t="shared" si="74"/>
        <v>282.81577565642806</v>
      </c>
      <c r="U138" s="190">
        <f t="shared" si="74"/>
        <v>294.58454732801266</v>
      </c>
      <c r="V138" s="190">
        <f t="shared" si="74"/>
        <v>248.68718376708577</v>
      </c>
      <c r="W138" s="190">
        <f t="shared" si="74"/>
        <v>223.44832261934465</v>
      </c>
      <c r="X138" s="190">
        <f t="shared" si="74"/>
        <v>302.40365016134308</v>
      </c>
      <c r="Y138" s="190">
        <f t="shared" si="74"/>
        <v>235.00479062153562</v>
      </c>
      <c r="Z138" s="190">
        <f t="shared" si="74"/>
        <v>178.11006138563386</v>
      </c>
      <c r="AA138" s="190">
        <f t="shared" si="74"/>
        <v>118.23482435336557</v>
      </c>
      <c r="AB138" s="190">
        <f t="shared" si="74"/>
        <v>161.91542147461632</v>
      </c>
      <c r="AC138" s="190">
        <f t="shared" si="74"/>
        <v>197.93723765671544</v>
      </c>
      <c r="AD138" s="190">
        <f t="shared" si="74"/>
        <v>328.12754259538082</v>
      </c>
      <c r="AE138" s="190">
        <f t="shared" si="74"/>
        <v>48.930044605315103</v>
      </c>
      <c r="AF138" s="190">
        <f t="shared" si="74"/>
        <v>35.958210506396043</v>
      </c>
      <c r="AG138" s="190">
        <f t="shared" si="74"/>
        <v>49.49592347998118</v>
      </c>
      <c r="AH138" s="190">
        <f t="shared" si="74"/>
        <v>249.78087294781344</v>
      </c>
      <c r="AI138" s="190">
        <f t="shared" si="74"/>
        <v>302.13031319620922</v>
      </c>
      <c r="AJ138" s="190">
        <f t="shared" si="74"/>
        <v>337.07022702235008</v>
      </c>
      <c r="AK138" s="190">
        <f t="shared" si="74"/>
        <v>435.44223374607105</v>
      </c>
      <c r="AL138" s="190">
        <f t="shared" si="74"/>
        <v>433.59687512883852</v>
      </c>
      <c r="AM138" s="190">
        <f t="shared" si="74"/>
        <v>436.50988709981027</v>
      </c>
      <c r="AN138" s="190">
        <f t="shared" si="74"/>
        <v>404.52840375943759</v>
      </c>
      <c r="AO138" s="190">
        <f t="shared" si="74"/>
        <v>376.64953804589067</v>
      </c>
      <c r="AP138" s="190">
        <f t="shared" si="74"/>
        <v>480.07551894573112</v>
      </c>
      <c r="AQ138" s="190">
        <f t="shared" si="74"/>
        <v>629.78504436002663</v>
      </c>
      <c r="AR138" s="190">
        <f t="shared" si="74"/>
        <v>533.00231854763763</v>
      </c>
      <c r="AS138" s="190">
        <f t="shared" si="74"/>
        <v>423.78584386904993</v>
      </c>
      <c r="AT138" s="190">
        <f t="shared" si="74"/>
        <v>384.6574396309004</v>
      </c>
      <c r="AU138" s="190">
        <f t="shared" si="74"/>
        <v>445.91567830074041</v>
      </c>
      <c r="AV138" s="190">
        <f t="shared" si="74"/>
        <v>430.86345626829763</v>
      </c>
      <c r="AW138" s="581">
        <f t="shared" si="72"/>
        <v>346.10204951543426</v>
      </c>
      <c r="AY138" s="365" t="str">
        <f t="shared" si="64"/>
        <v>Contribution Per MT USD</v>
      </c>
      <c r="AZ138" s="646">
        <f>AZ137/AZ117</f>
        <v>310.5029815680569</v>
      </c>
      <c r="BA138" s="970"/>
      <c r="BB138" s="609">
        <f>BB137/BB117</f>
        <v>307.42250710872526</v>
      </c>
      <c r="BC138" s="970"/>
      <c r="BD138" s="609">
        <f>BD137/BD117</f>
        <v>319.72672564398056</v>
      </c>
    </row>
    <row r="139" spans="3:56" x14ac:dyDescent="0.25">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Y139" s="364">
        <f t="shared" si="64"/>
        <v>0</v>
      </c>
      <c r="AZ139" s="1"/>
      <c r="BA139" s="970"/>
      <c r="BB139" s="1"/>
      <c r="BC139" s="970"/>
      <c r="BD139" s="1"/>
    </row>
    <row r="140" spans="3:56" s="362" customFormat="1" x14ac:dyDescent="0.25">
      <c r="C140" s="8" t="s">
        <v>509</v>
      </c>
      <c r="D140" s="542">
        <f>SUM(D141:D146)</f>
        <v>55751.541648657825</v>
      </c>
      <c r="E140" s="542">
        <f t="shared" ref="E140:AV140" si="75">SUM(E141:E146)</f>
        <v>55677.99544089281</v>
      </c>
      <c r="F140" s="542">
        <f t="shared" si="75"/>
        <v>59294.405142969837</v>
      </c>
      <c r="G140" s="542">
        <f t="shared" si="75"/>
        <v>44496.461091160272</v>
      </c>
      <c r="H140" s="542">
        <f t="shared" si="75"/>
        <v>62756.583013105424</v>
      </c>
      <c r="I140" s="542">
        <f t="shared" si="75"/>
        <v>63201.221560355465</v>
      </c>
      <c r="J140" s="542">
        <f t="shared" si="75"/>
        <v>70000.453165777726</v>
      </c>
      <c r="K140" s="542">
        <f t="shared" si="75"/>
        <v>68198.195160433825</v>
      </c>
      <c r="L140" s="542">
        <f t="shared" si="75"/>
        <v>76083.762101528409</v>
      </c>
      <c r="M140" s="542">
        <f t="shared" si="75"/>
        <v>76105.552735816833</v>
      </c>
      <c r="N140" s="542">
        <f t="shared" si="75"/>
        <v>53776.131484934296</v>
      </c>
      <c r="O140" s="542">
        <f t="shared" si="75"/>
        <v>56384.935821282859</v>
      </c>
      <c r="P140" s="542">
        <f t="shared" si="75"/>
        <v>53525.557365886169</v>
      </c>
      <c r="Q140" s="542">
        <f t="shared" si="75"/>
        <v>56894.292607150208</v>
      </c>
      <c r="R140" s="542">
        <f t="shared" si="75"/>
        <v>61507.027913435079</v>
      </c>
      <c r="S140" s="542">
        <f t="shared" si="75"/>
        <v>66285.67181132907</v>
      </c>
      <c r="T140" s="542">
        <f t="shared" si="75"/>
        <v>66594.717413315346</v>
      </c>
      <c r="U140" s="542">
        <f t="shared" si="75"/>
        <v>54409.925101039647</v>
      </c>
      <c r="V140" s="542">
        <f t="shared" si="75"/>
        <v>54668.446611961685</v>
      </c>
      <c r="W140" s="542">
        <f t="shared" si="75"/>
        <v>55795.934448983666</v>
      </c>
      <c r="X140" s="542">
        <f t="shared" si="75"/>
        <v>47005.169381353546</v>
      </c>
      <c r="Y140" s="542">
        <f t="shared" si="75"/>
        <v>57419.366020403868</v>
      </c>
      <c r="Z140" s="542">
        <f t="shared" si="75"/>
        <v>57558.508798884402</v>
      </c>
      <c r="AA140" s="542">
        <f t="shared" si="75"/>
        <v>63650.408042002549</v>
      </c>
      <c r="AB140" s="542">
        <f t="shared" si="75"/>
        <v>60964.951119750724</v>
      </c>
      <c r="AC140" s="542">
        <f t="shared" si="75"/>
        <v>58039.75030716051</v>
      </c>
      <c r="AD140" s="542">
        <f t="shared" si="75"/>
        <v>41160.073369721729</v>
      </c>
      <c r="AE140" s="542">
        <f t="shared" si="75"/>
        <v>66696.09318159004</v>
      </c>
      <c r="AF140" s="542">
        <f t="shared" si="75"/>
        <v>60515.048440105922</v>
      </c>
      <c r="AG140" s="542">
        <f t="shared" si="75"/>
        <v>69539.17172923591</v>
      </c>
      <c r="AH140" s="542">
        <f t="shared" si="75"/>
        <v>52580.343611543642</v>
      </c>
      <c r="AI140" s="542">
        <f t="shared" si="75"/>
        <v>49750.450390675935</v>
      </c>
      <c r="AJ140" s="542">
        <f t="shared" si="75"/>
        <v>50080.635900074434</v>
      </c>
      <c r="AK140" s="542">
        <f t="shared" si="75"/>
        <v>42149.012192038914</v>
      </c>
      <c r="AL140" s="542">
        <f t="shared" si="75"/>
        <v>48653.375594081292</v>
      </c>
      <c r="AM140" s="542">
        <f t="shared" si="75"/>
        <v>55689.361771782242</v>
      </c>
      <c r="AN140" s="542">
        <f t="shared" si="75"/>
        <v>56875.101668906755</v>
      </c>
      <c r="AO140" s="542">
        <f t="shared" si="75"/>
        <v>66898.95659176886</v>
      </c>
      <c r="AP140" s="542">
        <f t="shared" si="75"/>
        <v>68341.617043059698</v>
      </c>
      <c r="AQ140" s="542">
        <f t="shared" si="75"/>
        <v>60447.088144499685</v>
      </c>
      <c r="AR140" s="542">
        <f t="shared" si="75"/>
        <v>63606.97365002476</v>
      </c>
      <c r="AS140" s="542">
        <f t="shared" si="75"/>
        <v>66478.18948827</v>
      </c>
      <c r="AT140" s="542">
        <f t="shared" si="75"/>
        <v>73856.498083871527</v>
      </c>
      <c r="AU140" s="542">
        <f t="shared" si="75"/>
        <v>69164.63178915203</v>
      </c>
      <c r="AV140" s="542">
        <f t="shared" si="75"/>
        <v>70705.275667893045</v>
      </c>
      <c r="AW140" s="179">
        <f>AVERAGE(D140:AV140)</f>
        <v>59760.774747063741</v>
      </c>
      <c r="AY140" s="365" t="str">
        <f t="shared" si="64"/>
        <v>PP Cost of Production</v>
      </c>
      <c r="AZ140" s="647">
        <f>SUM(AZ141:AZ146)</f>
        <v>70709.072331372678</v>
      </c>
      <c r="BA140" s="970"/>
      <c r="BB140" s="608">
        <f>SUM(BB141:BB146)</f>
        <v>60581.442562335491</v>
      </c>
      <c r="BC140" s="970"/>
      <c r="BD140" s="608">
        <f>SUM(BD141:BD146)</f>
        <v>62025.299206022384</v>
      </c>
    </row>
    <row r="141" spans="3:56" ht="15" hidden="1" customHeight="1" x14ac:dyDescent="0.25">
      <c r="C141" s="6" t="s">
        <v>506</v>
      </c>
      <c r="D141" s="190">
        <f>1.049*D114</f>
        <v>48951.541648657825</v>
      </c>
      <c r="E141" s="190">
        <f t="shared" ref="E141:AV141" si="76">1.049*E114</f>
        <v>48877.99544089281</v>
      </c>
      <c r="F141" s="190">
        <f t="shared" si="76"/>
        <v>52494.405142969837</v>
      </c>
      <c r="G141" s="190">
        <f t="shared" si="76"/>
        <v>37696.461091160272</v>
      </c>
      <c r="H141" s="190">
        <f t="shared" si="76"/>
        <v>55956.583013105424</v>
      </c>
      <c r="I141" s="190">
        <f t="shared" si="76"/>
        <v>56401.221560355465</v>
      </c>
      <c r="J141" s="190">
        <f t="shared" si="76"/>
        <v>63200.453165777726</v>
      </c>
      <c r="K141" s="190">
        <f t="shared" si="76"/>
        <v>61398.195160433817</v>
      </c>
      <c r="L141" s="190">
        <f t="shared" si="76"/>
        <v>69283.762101528409</v>
      </c>
      <c r="M141" s="190">
        <f t="shared" si="76"/>
        <v>69305.552735816833</v>
      </c>
      <c r="N141" s="190">
        <f t="shared" si="76"/>
        <v>46976.131484934296</v>
      </c>
      <c r="O141" s="190">
        <f t="shared" si="76"/>
        <v>49584.935821282859</v>
      </c>
      <c r="P141" s="190">
        <f t="shared" si="76"/>
        <v>46725.557365886169</v>
      </c>
      <c r="Q141" s="190">
        <f t="shared" si="76"/>
        <v>50094.292607150208</v>
      </c>
      <c r="R141" s="190">
        <f t="shared" si="76"/>
        <v>54707.027913435079</v>
      </c>
      <c r="S141" s="190">
        <f t="shared" si="76"/>
        <v>59485.67181132907</v>
      </c>
      <c r="T141" s="190">
        <f t="shared" si="76"/>
        <v>59794.717413315338</v>
      </c>
      <c r="U141" s="190">
        <f t="shared" si="76"/>
        <v>47609.925101039647</v>
      </c>
      <c r="V141" s="190">
        <f t="shared" si="76"/>
        <v>47868.446611961685</v>
      </c>
      <c r="W141" s="190">
        <f t="shared" si="76"/>
        <v>48995.934448983666</v>
      </c>
      <c r="X141" s="190">
        <f t="shared" si="76"/>
        <v>40205.169381353546</v>
      </c>
      <c r="Y141" s="190">
        <f t="shared" si="76"/>
        <v>50619.366020403868</v>
      </c>
      <c r="Z141" s="190">
        <f t="shared" si="76"/>
        <v>50758.508798884402</v>
      </c>
      <c r="AA141" s="190">
        <f t="shared" si="76"/>
        <v>56850.408042002549</v>
      </c>
      <c r="AB141" s="190">
        <f t="shared" si="76"/>
        <v>54164.951119750724</v>
      </c>
      <c r="AC141" s="190">
        <f t="shared" si="76"/>
        <v>51239.75030716051</v>
      </c>
      <c r="AD141" s="190">
        <f t="shared" si="76"/>
        <v>34360.073369721729</v>
      </c>
      <c r="AE141" s="190">
        <f t="shared" si="76"/>
        <v>59896.09318159004</v>
      </c>
      <c r="AF141" s="190">
        <f t="shared" si="76"/>
        <v>53715.048440105922</v>
      </c>
      <c r="AG141" s="190">
        <f t="shared" si="76"/>
        <v>62739.17172923591</v>
      </c>
      <c r="AH141" s="190">
        <f t="shared" si="76"/>
        <v>45780.343611543642</v>
      </c>
      <c r="AI141" s="190">
        <f t="shared" si="76"/>
        <v>42950.450390675935</v>
      </c>
      <c r="AJ141" s="190">
        <f t="shared" si="76"/>
        <v>43280.635900074434</v>
      </c>
      <c r="AK141" s="190">
        <f t="shared" si="76"/>
        <v>35349.012192038914</v>
      </c>
      <c r="AL141" s="190">
        <f t="shared" si="76"/>
        <v>41853.375594081292</v>
      </c>
      <c r="AM141" s="190">
        <f t="shared" si="76"/>
        <v>48889.361771782242</v>
      </c>
      <c r="AN141" s="190">
        <f t="shared" si="76"/>
        <v>50075.101668906755</v>
      </c>
      <c r="AO141" s="190">
        <f t="shared" si="76"/>
        <v>60098.956591768852</v>
      </c>
      <c r="AP141" s="190">
        <f t="shared" si="76"/>
        <v>61541.61704305969</v>
      </c>
      <c r="AQ141" s="190">
        <f t="shared" si="76"/>
        <v>53647.088144499685</v>
      </c>
      <c r="AR141" s="190">
        <f t="shared" si="76"/>
        <v>56806.97365002476</v>
      </c>
      <c r="AS141" s="190">
        <f t="shared" si="76"/>
        <v>59678.18948827</v>
      </c>
      <c r="AT141" s="190">
        <f t="shared" si="76"/>
        <v>67056.498083871527</v>
      </c>
      <c r="AU141" s="190">
        <f t="shared" si="76"/>
        <v>62364.63178915203</v>
      </c>
      <c r="AV141" s="190">
        <f t="shared" si="76"/>
        <v>63905.275667893045</v>
      </c>
      <c r="AW141" s="179">
        <f t="shared" ref="AW141:AW149" si="77">AVERAGE(D141:AV141)</f>
        <v>52960.774747063741</v>
      </c>
      <c r="AY141" s="364" t="str">
        <f t="shared" si="64"/>
        <v>Raw materials</v>
      </c>
      <c r="AZ141" s="646">
        <f>1.049*AZ114</f>
        <v>63909.072331372678</v>
      </c>
      <c r="BA141" s="970"/>
      <c r="BB141" s="609">
        <f>1.049*BB114</f>
        <v>53781.442562335491</v>
      </c>
      <c r="BC141" s="970"/>
      <c r="BD141" s="609">
        <f>1.049*BD114</f>
        <v>55225.299206022384</v>
      </c>
    </row>
    <row r="142" spans="3:56" ht="15" hidden="1" customHeight="1" x14ac:dyDescent="0.25">
      <c r="C142" s="6" t="s">
        <v>510</v>
      </c>
      <c r="D142" s="190">
        <v>2500</v>
      </c>
      <c r="E142" s="190">
        <v>2500</v>
      </c>
      <c r="F142" s="190">
        <v>2500</v>
      </c>
      <c r="G142" s="190">
        <v>2500</v>
      </c>
      <c r="H142" s="190">
        <v>2500</v>
      </c>
      <c r="I142" s="190">
        <v>2500</v>
      </c>
      <c r="J142" s="190">
        <v>2500</v>
      </c>
      <c r="K142" s="190">
        <v>2500</v>
      </c>
      <c r="L142" s="190">
        <v>2500</v>
      </c>
      <c r="M142" s="190">
        <v>2500</v>
      </c>
      <c r="N142" s="190">
        <v>2500</v>
      </c>
      <c r="O142" s="190">
        <v>2500</v>
      </c>
      <c r="P142" s="190">
        <v>2500</v>
      </c>
      <c r="Q142" s="190">
        <v>2500</v>
      </c>
      <c r="R142" s="190">
        <v>2500</v>
      </c>
      <c r="S142" s="190">
        <v>2500</v>
      </c>
      <c r="T142" s="190">
        <v>2500</v>
      </c>
      <c r="U142" s="190">
        <v>2500</v>
      </c>
      <c r="V142" s="190">
        <v>2500</v>
      </c>
      <c r="W142" s="190">
        <v>2500</v>
      </c>
      <c r="X142" s="190">
        <v>2500</v>
      </c>
      <c r="Y142" s="190">
        <v>2500</v>
      </c>
      <c r="Z142" s="190">
        <v>2500</v>
      </c>
      <c r="AA142" s="190">
        <v>2500</v>
      </c>
      <c r="AB142" s="190">
        <v>2500</v>
      </c>
      <c r="AC142" s="190">
        <v>2500</v>
      </c>
      <c r="AD142" s="190">
        <v>2500</v>
      </c>
      <c r="AE142" s="190">
        <v>2500</v>
      </c>
      <c r="AF142" s="190">
        <v>2500</v>
      </c>
      <c r="AG142" s="190">
        <v>2500</v>
      </c>
      <c r="AH142" s="190">
        <v>2500</v>
      </c>
      <c r="AI142" s="190">
        <v>2500</v>
      </c>
      <c r="AJ142" s="190">
        <v>2500</v>
      </c>
      <c r="AK142" s="190">
        <v>2500</v>
      </c>
      <c r="AL142" s="190">
        <v>2500</v>
      </c>
      <c r="AM142" s="190">
        <v>2500</v>
      </c>
      <c r="AN142" s="190">
        <v>2500</v>
      </c>
      <c r="AO142" s="190">
        <v>2500</v>
      </c>
      <c r="AP142" s="190">
        <v>2500</v>
      </c>
      <c r="AQ142" s="190">
        <v>2500</v>
      </c>
      <c r="AR142" s="190">
        <v>2500</v>
      </c>
      <c r="AS142" s="190">
        <v>2500</v>
      </c>
      <c r="AT142" s="190">
        <v>2500</v>
      </c>
      <c r="AU142" s="190">
        <v>2500</v>
      </c>
      <c r="AV142" s="190">
        <v>2500</v>
      </c>
      <c r="AW142" s="179">
        <f t="shared" si="77"/>
        <v>2500</v>
      </c>
      <c r="AY142" s="364" t="str">
        <f t="shared" si="64"/>
        <v>Cat-Chem+ additive</v>
      </c>
      <c r="AZ142" s="646">
        <v>2500</v>
      </c>
      <c r="BA142" s="970"/>
      <c r="BB142" s="609">
        <v>2500</v>
      </c>
      <c r="BC142" s="970"/>
      <c r="BD142" s="609">
        <v>2500</v>
      </c>
    </row>
    <row r="143" spans="3:56" ht="15" hidden="1" customHeight="1" x14ac:dyDescent="0.25">
      <c r="C143" s="6" t="s">
        <v>511</v>
      </c>
      <c r="D143" s="190">
        <v>2500</v>
      </c>
      <c r="E143" s="190">
        <v>2500</v>
      </c>
      <c r="F143" s="190">
        <v>2500</v>
      </c>
      <c r="G143" s="190">
        <v>2500</v>
      </c>
      <c r="H143" s="190">
        <v>2500</v>
      </c>
      <c r="I143" s="190">
        <v>2500</v>
      </c>
      <c r="J143" s="190">
        <v>2500</v>
      </c>
      <c r="K143" s="190">
        <v>2500</v>
      </c>
      <c r="L143" s="190">
        <v>2500</v>
      </c>
      <c r="M143" s="190">
        <v>2500</v>
      </c>
      <c r="N143" s="190">
        <v>2500</v>
      </c>
      <c r="O143" s="190">
        <v>2500</v>
      </c>
      <c r="P143" s="190">
        <v>2500</v>
      </c>
      <c r="Q143" s="190">
        <v>2500</v>
      </c>
      <c r="R143" s="190">
        <v>2500</v>
      </c>
      <c r="S143" s="190">
        <v>2500</v>
      </c>
      <c r="T143" s="190">
        <v>2500</v>
      </c>
      <c r="U143" s="190">
        <v>2500</v>
      </c>
      <c r="V143" s="190">
        <v>2500</v>
      </c>
      <c r="W143" s="190">
        <v>2500</v>
      </c>
      <c r="X143" s="190">
        <v>2500</v>
      </c>
      <c r="Y143" s="190">
        <v>2500</v>
      </c>
      <c r="Z143" s="190">
        <v>2500</v>
      </c>
      <c r="AA143" s="190">
        <v>2500</v>
      </c>
      <c r="AB143" s="190">
        <v>2500</v>
      </c>
      <c r="AC143" s="190">
        <v>2500</v>
      </c>
      <c r="AD143" s="190">
        <v>2500</v>
      </c>
      <c r="AE143" s="190">
        <v>2500</v>
      </c>
      <c r="AF143" s="190">
        <v>2500</v>
      </c>
      <c r="AG143" s="190">
        <v>2500</v>
      </c>
      <c r="AH143" s="190">
        <v>2500</v>
      </c>
      <c r="AI143" s="190">
        <v>2500</v>
      </c>
      <c r="AJ143" s="190">
        <v>2500</v>
      </c>
      <c r="AK143" s="190">
        <v>2500</v>
      </c>
      <c r="AL143" s="190">
        <v>2500</v>
      </c>
      <c r="AM143" s="190">
        <v>2500</v>
      </c>
      <c r="AN143" s="190">
        <v>2500</v>
      </c>
      <c r="AO143" s="190">
        <v>2500</v>
      </c>
      <c r="AP143" s="190">
        <v>2500</v>
      </c>
      <c r="AQ143" s="190">
        <v>2500</v>
      </c>
      <c r="AR143" s="190">
        <v>2500</v>
      </c>
      <c r="AS143" s="190">
        <v>2500</v>
      </c>
      <c r="AT143" s="190">
        <v>2500</v>
      </c>
      <c r="AU143" s="190">
        <v>2500</v>
      </c>
      <c r="AV143" s="190">
        <v>2500</v>
      </c>
      <c r="AW143" s="179">
        <f t="shared" si="77"/>
        <v>2500</v>
      </c>
      <c r="AY143" s="364" t="str">
        <f t="shared" si="64"/>
        <v>Utilities</v>
      </c>
      <c r="AZ143" s="646">
        <v>2500</v>
      </c>
      <c r="BA143" s="970"/>
      <c r="BB143" s="609">
        <v>2500</v>
      </c>
      <c r="BC143" s="970"/>
      <c r="BD143" s="609">
        <v>2500</v>
      </c>
    </row>
    <row r="144" spans="3:56" ht="15" hidden="1" customHeight="1" x14ac:dyDescent="0.25">
      <c r="C144" s="6" t="s">
        <v>512</v>
      </c>
      <c r="D144" s="190">
        <v>1600</v>
      </c>
      <c r="E144" s="190">
        <v>1600</v>
      </c>
      <c r="F144" s="190">
        <v>1600</v>
      </c>
      <c r="G144" s="190">
        <v>1600</v>
      </c>
      <c r="H144" s="190">
        <v>1600</v>
      </c>
      <c r="I144" s="190">
        <v>1600</v>
      </c>
      <c r="J144" s="190">
        <v>1600</v>
      </c>
      <c r="K144" s="190">
        <v>1600</v>
      </c>
      <c r="L144" s="190">
        <v>1600</v>
      </c>
      <c r="M144" s="190">
        <v>1600</v>
      </c>
      <c r="N144" s="190">
        <v>1600</v>
      </c>
      <c r="O144" s="190">
        <v>1600</v>
      </c>
      <c r="P144" s="190">
        <v>1600</v>
      </c>
      <c r="Q144" s="190">
        <v>1600</v>
      </c>
      <c r="R144" s="190">
        <v>1600</v>
      </c>
      <c r="S144" s="190">
        <v>1600</v>
      </c>
      <c r="T144" s="190">
        <v>1600</v>
      </c>
      <c r="U144" s="190">
        <v>1600</v>
      </c>
      <c r="V144" s="190">
        <v>1600</v>
      </c>
      <c r="W144" s="190">
        <v>1600</v>
      </c>
      <c r="X144" s="190">
        <v>1600</v>
      </c>
      <c r="Y144" s="190">
        <v>1600</v>
      </c>
      <c r="Z144" s="190">
        <v>1600</v>
      </c>
      <c r="AA144" s="190">
        <v>1600</v>
      </c>
      <c r="AB144" s="190">
        <v>1600</v>
      </c>
      <c r="AC144" s="190">
        <v>1600</v>
      </c>
      <c r="AD144" s="190">
        <v>1600</v>
      </c>
      <c r="AE144" s="190">
        <v>1600</v>
      </c>
      <c r="AF144" s="190">
        <v>1600</v>
      </c>
      <c r="AG144" s="190">
        <v>1600</v>
      </c>
      <c r="AH144" s="190">
        <v>1600</v>
      </c>
      <c r="AI144" s="190">
        <v>1600</v>
      </c>
      <c r="AJ144" s="190">
        <v>1600</v>
      </c>
      <c r="AK144" s="190">
        <v>1600</v>
      </c>
      <c r="AL144" s="190">
        <v>1600</v>
      </c>
      <c r="AM144" s="190">
        <v>1600</v>
      </c>
      <c r="AN144" s="190">
        <v>1600</v>
      </c>
      <c r="AO144" s="190">
        <v>1600</v>
      </c>
      <c r="AP144" s="190">
        <v>1600</v>
      </c>
      <c r="AQ144" s="190">
        <v>1600</v>
      </c>
      <c r="AR144" s="190">
        <v>1600</v>
      </c>
      <c r="AS144" s="190">
        <v>1600</v>
      </c>
      <c r="AT144" s="190">
        <v>1600</v>
      </c>
      <c r="AU144" s="190">
        <v>1600</v>
      </c>
      <c r="AV144" s="190">
        <v>1600</v>
      </c>
      <c r="AW144" s="179">
        <f t="shared" si="77"/>
        <v>1600</v>
      </c>
      <c r="AY144" s="364" t="str">
        <f t="shared" si="64"/>
        <v>Overheads</v>
      </c>
      <c r="AZ144" s="646">
        <v>1600</v>
      </c>
      <c r="BA144" s="970"/>
      <c r="BB144" s="609">
        <v>1600</v>
      </c>
      <c r="BC144" s="970"/>
      <c r="BD144" s="609">
        <v>1600</v>
      </c>
    </row>
    <row r="145" spans="3:56" ht="15" hidden="1" customHeight="1" x14ac:dyDescent="0.25">
      <c r="C145" s="541" t="s">
        <v>513</v>
      </c>
      <c r="D145" s="190">
        <v>1900</v>
      </c>
      <c r="E145" s="190">
        <v>1900</v>
      </c>
      <c r="F145" s="190">
        <v>1900</v>
      </c>
      <c r="G145" s="190">
        <v>1900</v>
      </c>
      <c r="H145" s="190">
        <v>1900</v>
      </c>
      <c r="I145" s="190">
        <v>1900</v>
      </c>
      <c r="J145" s="190">
        <v>1900</v>
      </c>
      <c r="K145" s="190">
        <v>1900</v>
      </c>
      <c r="L145" s="190">
        <v>1900</v>
      </c>
      <c r="M145" s="190">
        <v>1900</v>
      </c>
      <c r="N145" s="190">
        <v>1900</v>
      </c>
      <c r="O145" s="190">
        <v>1900</v>
      </c>
      <c r="P145" s="190">
        <v>1900</v>
      </c>
      <c r="Q145" s="190">
        <v>1900</v>
      </c>
      <c r="R145" s="190">
        <v>1900</v>
      </c>
      <c r="S145" s="190">
        <v>1900</v>
      </c>
      <c r="T145" s="190">
        <v>1900</v>
      </c>
      <c r="U145" s="190">
        <v>1900</v>
      </c>
      <c r="V145" s="190">
        <v>1900</v>
      </c>
      <c r="W145" s="190">
        <v>1900</v>
      </c>
      <c r="X145" s="190">
        <v>1900</v>
      </c>
      <c r="Y145" s="190">
        <v>1900</v>
      </c>
      <c r="Z145" s="190">
        <v>1900</v>
      </c>
      <c r="AA145" s="190">
        <v>1900</v>
      </c>
      <c r="AB145" s="190">
        <v>1900</v>
      </c>
      <c r="AC145" s="190">
        <v>1900</v>
      </c>
      <c r="AD145" s="190">
        <v>1900</v>
      </c>
      <c r="AE145" s="190">
        <v>1900</v>
      </c>
      <c r="AF145" s="190">
        <v>1900</v>
      </c>
      <c r="AG145" s="190">
        <v>1900</v>
      </c>
      <c r="AH145" s="190">
        <v>1900</v>
      </c>
      <c r="AI145" s="190">
        <v>1900</v>
      </c>
      <c r="AJ145" s="190">
        <v>1900</v>
      </c>
      <c r="AK145" s="190">
        <v>1900</v>
      </c>
      <c r="AL145" s="190">
        <v>1900</v>
      </c>
      <c r="AM145" s="190">
        <v>1900</v>
      </c>
      <c r="AN145" s="190">
        <v>1900</v>
      </c>
      <c r="AO145" s="190">
        <v>1900</v>
      </c>
      <c r="AP145" s="190">
        <v>1900</v>
      </c>
      <c r="AQ145" s="190">
        <v>1900</v>
      </c>
      <c r="AR145" s="190">
        <v>1900</v>
      </c>
      <c r="AS145" s="190">
        <v>1900</v>
      </c>
      <c r="AT145" s="190">
        <v>1900</v>
      </c>
      <c r="AU145" s="190">
        <v>1900</v>
      </c>
      <c r="AV145" s="190">
        <v>1900</v>
      </c>
      <c r="AW145" s="179">
        <f t="shared" si="77"/>
        <v>1900</v>
      </c>
      <c r="AY145" s="364" t="str">
        <f t="shared" si="64"/>
        <v>Depreciation</v>
      </c>
      <c r="AZ145" s="646">
        <v>1900</v>
      </c>
      <c r="BA145" s="970"/>
      <c r="BB145" s="609">
        <v>1900</v>
      </c>
      <c r="BC145" s="970"/>
      <c r="BD145" s="609">
        <v>1900</v>
      </c>
    </row>
    <row r="146" spans="3:56" ht="15" hidden="1" customHeight="1" x14ac:dyDescent="0.25">
      <c r="C146" s="541" t="s">
        <v>514</v>
      </c>
      <c r="D146" s="543">
        <v>-1700</v>
      </c>
      <c r="E146" s="543">
        <v>-1700</v>
      </c>
      <c r="F146" s="543">
        <v>-1700</v>
      </c>
      <c r="G146" s="543">
        <v>-1700</v>
      </c>
      <c r="H146" s="543">
        <v>-1700</v>
      </c>
      <c r="I146" s="543">
        <v>-1700</v>
      </c>
      <c r="J146" s="543">
        <v>-1700</v>
      </c>
      <c r="K146" s="543">
        <v>-1700</v>
      </c>
      <c r="L146" s="543">
        <v>-1700</v>
      </c>
      <c r="M146" s="543">
        <v>-1700</v>
      </c>
      <c r="N146" s="543">
        <v>-1700</v>
      </c>
      <c r="O146" s="543">
        <v>-1700</v>
      </c>
      <c r="P146" s="543">
        <v>-1700</v>
      </c>
      <c r="Q146" s="543">
        <v>-1700</v>
      </c>
      <c r="R146" s="543">
        <v>-1700</v>
      </c>
      <c r="S146" s="543">
        <v>-1700</v>
      </c>
      <c r="T146" s="543">
        <v>-1700</v>
      </c>
      <c r="U146" s="543">
        <v>-1700</v>
      </c>
      <c r="V146" s="543">
        <v>-1700</v>
      </c>
      <c r="W146" s="543">
        <v>-1700</v>
      </c>
      <c r="X146" s="543">
        <v>-1700</v>
      </c>
      <c r="Y146" s="543">
        <v>-1700</v>
      </c>
      <c r="Z146" s="543">
        <v>-1700</v>
      </c>
      <c r="AA146" s="543">
        <v>-1700</v>
      </c>
      <c r="AB146" s="543">
        <v>-1700</v>
      </c>
      <c r="AC146" s="543">
        <v>-1700</v>
      </c>
      <c r="AD146" s="543">
        <v>-1700</v>
      </c>
      <c r="AE146" s="543">
        <v>-1700</v>
      </c>
      <c r="AF146" s="543">
        <v>-1700</v>
      </c>
      <c r="AG146" s="543">
        <v>-1700</v>
      </c>
      <c r="AH146" s="543">
        <v>-1700</v>
      </c>
      <c r="AI146" s="543">
        <v>-1700</v>
      </c>
      <c r="AJ146" s="543">
        <v>-1700</v>
      </c>
      <c r="AK146" s="543">
        <v>-1700</v>
      </c>
      <c r="AL146" s="543">
        <v>-1700</v>
      </c>
      <c r="AM146" s="543">
        <v>-1700</v>
      </c>
      <c r="AN146" s="543">
        <v>-1700</v>
      </c>
      <c r="AO146" s="543">
        <v>-1700</v>
      </c>
      <c r="AP146" s="543">
        <v>-1700</v>
      </c>
      <c r="AQ146" s="543">
        <v>-1700</v>
      </c>
      <c r="AR146" s="543">
        <v>-1700</v>
      </c>
      <c r="AS146" s="543">
        <v>-1700</v>
      </c>
      <c r="AT146" s="543">
        <v>-1700</v>
      </c>
      <c r="AU146" s="543">
        <v>-1700</v>
      </c>
      <c r="AV146" s="543">
        <v>-1700</v>
      </c>
      <c r="AW146" s="179">
        <f t="shared" si="77"/>
        <v>-1700</v>
      </c>
      <c r="AY146" s="364" t="str">
        <f t="shared" si="64"/>
        <v>Co-product/Byprodcut Credit</v>
      </c>
      <c r="AZ146" s="649">
        <v>-1700</v>
      </c>
      <c r="BA146" s="970"/>
      <c r="BB146" s="610">
        <v>-1700</v>
      </c>
      <c r="BC146" s="970"/>
      <c r="BD146" s="610">
        <v>-1700</v>
      </c>
    </row>
    <row r="147" spans="3:56" x14ac:dyDescent="0.25">
      <c r="C147" s="541" t="s">
        <v>652</v>
      </c>
      <c r="D147" s="190">
        <f>'Polymer Prices'!E42</f>
        <v>82316.144548146898</v>
      </c>
      <c r="E147" s="190">
        <f>'Polymer Prices'!F42</f>
        <v>87120.247838398529</v>
      </c>
      <c r="F147" s="190">
        <f>'Polymer Prices'!G42</f>
        <v>88230.55929702321</v>
      </c>
      <c r="G147" s="190">
        <f>'Polymer Prices'!H42</f>
        <v>88137.702676638582</v>
      </c>
      <c r="H147" s="190">
        <f>'Polymer Prices'!I42</f>
        <v>90726.081075997456</v>
      </c>
      <c r="I147" s="190">
        <f>'Polymer Prices'!J42</f>
        <v>93640.936364928682</v>
      </c>
      <c r="J147" s="190">
        <f>'Polymer Prices'!K42</f>
        <v>92952.565226764884</v>
      </c>
      <c r="K147" s="190">
        <f>'Polymer Prices'!L42</f>
        <v>90410.936364928682</v>
      </c>
      <c r="L147" s="190">
        <f>'Polymer Prices'!M42</f>
        <v>92250.936364928682</v>
      </c>
      <c r="M147" s="190">
        <f>'Polymer Prices'!N42</f>
        <v>94825.936364928682</v>
      </c>
      <c r="N147" s="190">
        <f>'Polymer Prices'!O42</f>
        <v>91827.603031595354</v>
      </c>
      <c r="O147" s="190">
        <f>'Polymer Prices'!P42</f>
        <v>79800.936364928682</v>
      </c>
      <c r="P147" s="190">
        <f>'Polymer Prices'!Q42</f>
        <v>79925.936364928668</v>
      </c>
      <c r="Q147" s="190">
        <f>'Polymer Prices'!R42</f>
        <v>82092.565226764898</v>
      </c>
      <c r="R147" s="190">
        <f>'Polymer Prices'!S42</f>
        <v>83705.936364928682</v>
      </c>
      <c r="S147" s="190">
        <f>'Polymer Prices'!T42</f>
        <v>86337.244991853178</v>
      </c>
      <c r="T147" s="190">
        <f>'Polymer Prices'!U42</f>
        <v>88343.09322299331</v>
      </c>
      <c r="U147" s="190">
        <f>'Polymer Prices'!V42</f>
        <v>84371.0867978694</v>
      </c>
      <c r="V147" s="190">
        <f>'Polymer Prices'!W42</f>
        <v>82533.667556645247</v>
      </c>
      <c r="W147" s="190">
        <f>'Polymer Prices'!X42</f>
        <v>83915.296418481477</v>
      </c>
      <c r="X147" s="190">
        <f>'Polymer Prices'!Y42</f>
        <v>85998.353851846667</v>
      </c>
      <c r="Y147" s="190">
        <f>'Polymer Prices'!Z42</f>
        <v>83680.839372426868</v>
      </c>
      <c r="Z147" s="190">
        <f>'Polymer Prices'!AA42</f>
        <v>78296.420131202744</v>
      </c>
      <c r="AA147" s="190">
        <f>'Polymer Prices'!AB42</f>
        <v>74908.667556645261</v>
      </c>
      <c r="AB147" s="190">
        <f>'Polymer Prices'!AC42</f>
        <v>75368.667556645261</v>
      </c>
      <c r="AC147" s="190">
        <f>'Polymer Prices'!AD42</f>
        <v>74755.334223311933</v>
      </c>
      <c r="AD147" s="190">
        <f>'Polymer Prices'!AE42</f>
        <v>71698.667556645261</v>
      </c>
      <c r="AE147" s="190">
        <f>'Polymer Prices'!AF42</f>
        <v>67093.667556645261</v>
      </c>
      <c r="AF147" s="190">
        <f>'Polymer Prices'!AG42</f>
        <v>66173.667556645261</v>
      </c>
      <c r="AG147" s="190">
        <f>'Polymer Prices'!AH42</f>
        <v>70296.297866503111</v>
      </c>
      <c r="AH147" s="190">
        <f>'Polymer Prices'!AI42</f>
        <v>73811.225510968739</v>
      </c>
      <c r="AI147" s="190">
        <f>'Polymer Prices'!AJ42</f>
        <v>73104.932138219243</v>
      </c>
      <c r="AJ147" s="190">
        <f>'Polymer Prices'!AK42</f>
        <v>73109.932138219243</v>
      </c>
      <c r="AK147" s="190">
        <f>'Polymer Prices'!AL42</f>
        <v>76518.265471552571</v>
      </c>
      <c r="AL147" s="190">
        <f>'Polymer Prices'!AM42</f>
        <v>82074.932138219243</v>
      </c>
      <c r="AM147" s="190">
        <f>'Polymer Prices'!AN42</f>
        <v>90244.932138219243</v>
      </c>
      <c r="AN147" s="190">
        <f>'Polymer Prices'!AO42</f>
        <v>93047.449038505991</v>
      </c>
      <c r="AO147" s="190">
        <f>'Polymer Prices'!AP42</f>
        <v>98603.920574120828</v>
      </c>
      <c r="AP147" s="190">
        <f>'Polymer Prices'!AQ42</f>
        <v>112597.05572119531</v>
      </c>
      <c r="AQ147" s="190">
        <f>'Polymer Prices'!AR42</f>
        <v>112518.32981716725</v>
      </c>
      <c r="AR147" s="190">
        <f>'Polymer Prices'!AS42</f>
        <v>106216.66315050058</v>
      </c>
      <c r="AS147" s="190">
        <f>'Polymer Prices'!AT42</f>
        <v>98978.114255042339</v>
      </c>
      <c r="AT147" s="190">
        <f>'Polymer Prices'!AU42</f>
        <v>99434.349797459188</v>
      </c>
      <c r="AU147" s="190">
        <f>'Polymer Prices'!AV42</f>
        <v>103781.54397226339</v>
      </c>
      <c r="AV147" s="190">
        <f>'Polymer Prices'!AW42</f>
        <v>105181.5439722634</v>
      </c>
      <c r="AW147" s="179">
        <f t="shared" si="77"/>
        <v>86465.759678357994</v>
      </c>
      <c r="AY147" s="364" t="str">
        <f t="shared" si="64"/>
        <v>PP OPaL Price</v>
      </c>
      <c r="AZ147" s="646">
        <f>AW147</f>
        <v>86465.759678357994</v>
      </c>
      <c r="BA147" s="970"/>
      <c r="BB147" s="609">
        <f>AW147</f>
        <v>86465.759678357994</v>
      </c>
      <c r="BC147" s="970"/>
      <c r="BD147" s="609">
        <f>AW147</f>
        <v>86465.759678357994</v>
      </c>
    </row>
    <row r="148" spans="3:56" x14ac:dyDescent="0.25">
      <c r="C148" s="541" t="s">
        <v>571</v>
      </c>
      <c r="D148" s="190">
        <f>D147-D140</f>
        <v>26564.602899489073</v>
      </c>
      <c r="E148" s="190">
        <f t="shared" ref="E148:AV148" si="78">E147-E140</f>
        <v>31442.252397505719</v>
      </c>
      <c r="F148" s="190">
        <f t="shared" si="78"/>
        <v>28936.154154053373</v>
      </c>
      <c r="G148" s="190">
        <f t="shared" si="78"/>
        <v>43641.24158547831</v>
      </c>
      <c r="H148" s="190">
        <f t="shared" si="78"/>
        <v>27969.498062892031</v>
      </c>
      <c r="I148" s="190">
        <f t="shared" si="78"/>
        <v>30439.714804573217</v>
      </c>
      <c r="J148" s="190">
        <f t="shared" si="78"/>
        <v>22952.112060987158</v>
      </c>
      <c r="K148" s="190">
        <f t="shared" si="78"/>
        <v>22212.741204494858</v>
      </c>
      <c r="L148" s="190">
        <f t="shared" si="78"/>
        <v>16167.174263400273</v>
      </c>
      <c r="M148" s="190">
        <f t="shared" si="78"/>
        <v>18720.38362911185</v>
      </c>
      <c r="N148" s="190">
        <f t="shared" si="78"/>
        <v>38051.471546661058</v>
      </c>
      <c r="O148" s="190">
        <f t="shared" si="78"/>
        <v>23416.000543645823</v>
      </c>
      <c r="P148" s="190">
        <f t="shared" si="78"/>
        <v>26400.378999042499</v>
      </c>
      <c r="Q148" s="190">
        <f t="shared" si="78"/>
        <v>25198.27261961469</v>
      </c>
      <c r="R148" s="190">
        <f t="shared" si="78"/>
        <v>22198.908451493604</v>
      </c>
      <c r="S148" s="190">
        <f t="shared" si="78"/>
        <v>20051.573180524108</v>
      </c>
      <c r="T148" s="190">
        <f t="shared" si="78"/>
        <v>21748.375809677964</v>
      </c>
      <c r="U148" s="190">
        <f t="shared" si="78"/>
        <v>29961.161696829753</v>
      </c>
      <c r="V148" s="190">
        <f t="shared" si="78"/>
        <v>27865.220944683562</v>
      </c>
      <c r="W148" s="190">
        <f t="shared" si="78"/>
        <v>28119.361969497812</v>
      </c>
      <c r="X148" s="190">
        <f t="shared" si="78"/>
        <v>38993.184470493121</v>
      </c>
      <c r="Y148" s="190">
        <f t="shared" si="78"/>
        <v>26261.473352023</v>
      </c>
      <c r="Z148" s="190">
        <f t="shared" si="78"/>
        <v>20737.911332318341</v>
      </c>
      <c r="AA148" s="190">
        <f t="shared" si="78"/>
        <v>11258.259514642712</v>
      </c>
      <c r="AB148" s="190">
        <f t="shared" si="78"/>
        <v>14403.716436894538</v>
      </c>
      <c r="AC148" s="190">
        <f t="shared" si="78"/>
        <v>16715.583916151423</v>
      </c>
      <c r="AD148" s="190">
        <f t="shared" si="78"/>
        <v>30538.594186923532</v>
      </c>
      <c r="AE148" s="190">
        <f t="shared" si="78"/>
        <v>397.57437505522103</v>
      </c>
      <c r="AF148" s="190">
        <f t="shared" si="78"/>
        <v>5658.6191165393393</v>
      </c>
      <c r="AG148" s="190">
        <f t="shared" si="78"/>
        <v>757.12613726720156</v>
      </c>
      <c r="AH148" s="190">
        <f t="shared" si="78"/>
        <v>21230.881899425098</v>
      </c>
      <c r="AI148" s="190">
        <f t="shared" si="78"/>
        <v>23354.481747543308</v>
      </c>
      <c r="AJ148" s="190">
        <f t="shared" si="78"/>
        <v>23029.296238144809</v>
      </c>
      <c r="AK148" s="190">
        <f t="shared" si="78"/>
        <v>34369.253279513658</v>
      </c>
      <c r="AL148" s="190">
        <f t="shared" si="78"/>
        <v>33421.556544137951</v>
      </c>
      <c r="AM148" s="190">
        <f t="shared" si="78"/>
        <v>34555.570366437001</v>
      </c>
      <c r="AN148" s="190">
        <f t="shared" si="78"/>
        <v>36172.347369599236</v>
      </c>
      <c r="AO148" s="190">
        <f t="shared" si="78"/>
        <v>31704.963982351968</v>
      </c>
      <c r="AP148" s="190">
        <f t="shared" si="78"/>
        <v>44255.438678135615</v>
      </c>
      <c r="AQ148" s="190">
        <f t="shared" si="78"/>
        <v>52071.241672667566</v>
      </c>
      <c r="AR148" s="190">
        <f t="shared" si="78"/>
        <v>42609.689500475819</v>
      </c>
      <c r="AS148" s="190">
        <f t="shared" si="78"/>
        <v>32499.924766772339</v>
      </c>
      <c r="AT148" s="190">
        <f t="shared" si="78"/>
        <v>25577.851713587661</v>
      </c>
      <c r="AU148" s="190">
        <f t="shared" si="78"/>
        <v>34616.912183111359</v>
      </c>
      <c r="AV148" s="190">
        <f t="shared" si="78"/>
        <v>34476.268304370358</v>
      </c>
      <c r="AW148" s="179">
        <f t="shared" si="77"/>
        <v>26704.984931294206</v>
      </c>
      <c r="AY148" s="364" t="str">
        <f t="shared" si="64"/>
        <v>Contribution Per MT INR</v>
      </c>
      <c r="AZ148" s="646">
        <f>AZ147-AZ140</f>
        <v>15756.687346985316</v>
      </c>
      <c r="BA148" s="970"/>
      <c r="BB148" s="609">
        <f>BB147-BB140</f>
        <v>25884.317116022503</v>
      </c>
      <c r="BC148" s="970"/>
      <c r="BD148" s="609">
        <f>BD147-BD140</f>
        <v>24440.46047233561</v>
      </c>
    </row>
    <row r="149" spans="3:56" x14ac:dyDescent="0.25">
      <c r="C149" s="541" t="s">
        <v>572</v>
      </c>
      <c r="D149" s="190">
        <f>D148/D117</f>
        <v>419.39695136547317</v>
      </c>
      <c r="E149" s="190">
        <f t="shared" ref="E149:AV149" si="79">E148/E117</f>
        <v>490.28929358343555</v>
      </c>
      <c r="F149" s="190">
        <f t="shared" si="79"/>
        <v>443.66995023080915</v>
      </c>
      <c r="G149" s="190">
        <f t="shared" si="79"/>
        <v>672.12754636498232</v>
      </c>
      <c r="H149" s="190">
        <f t="shared" si="79"/>
        <v>418.57973754702238</v>
      </c>
      <c r="I149" s="190">
        <f t="shared" si="79"/>
        <v>454.35800887488938</v>
      </c>
      <c r="J149" s="190">
        <f t="shared" si="79"/>
        <v>333.58203707560722</v>
      </c>
      <c r="K149" s="190">
        <f t="shared" si="79"/>
        <v>324.06070762994904</v>
      </c>
      <c r="L149" s="190">
        <f t="shared" si="79"/>
        <v>227.69064521372121</v>
      </c>
      <c r="M149" s="190">
        <f t="shared" si="79"/>
        <v>253.76689208501898</v>
      </c>
      <c r="N149" s="190">
        <f t="shared" si="79"/>
        <v>525.28260003673461</v>
      </c>
      <c r="O149" s="190">
        <f t="shared" si="79"/>
        <v>336.19526982980364</v>
      </c>
      <c r="P149" s="190">
        <f t="shared" si="79"/>
        <v>379.58848309191228</v>
      </c>
      <c r="Q149" s="190">
        <f t="shared" si="79"/>
        <v>352.74406970833189</v>
      </c>
      <c r="R149" s="190">
        <f t="shared" si="79"/>
        <v>312.66068241540285</v>
      </c>
      <c r="S149" s="190">
        <f t="shared" si="79"/>
        <v>289.88829233083862</v>
      </c>
      <c r="T149" s="190">
        <f t="shared" si="79"/>
        <v>314.76048642706365</v>
      </c>
      <c r="U149" s="190">
        <f t="shared" si="79"/>
        <v>430.60019685009706</v>
      </c>
      <c r="V149" s="190">
        <f t="shared" si="79"/>
        <v>407.08869166813093</v>
      </c>
      <c r="W149" s="190">
        <f t="shared" si="79"/>
        <v>403.4341745982469</v>
      </c>
      <c r="X149" s="190">
        <f t="shared" si="79"/>
        <v>544.25548845687933</v>
      </c>
      <c r="Y149" s="190">
        <f t="shared" si="79"/>
        <v>370.79383483265792</v>
      </c>
      <c r="Z149" s="190">
        <f t="shared" si="79"/>
        <v>293.07393064327783</v>
      </c>
      <c r="AA149" s="190">
        <f t="shared" si="79"/>
        <v>157.93750985007242</v>
      </c>
      <c r="AB149" s="190">
        <f t="shared" si="79"/>
        <v>200.69271892008553</v>
      </c>
      <c r="AC149" s="190">
        <f t="shared" si="79"/>
        <v>233.60469451682513</v>
      </c>
      <c r="AD149" s="190">
        <f t="shared" si="79"/>
        <v>412.6613992071176</v>
      </c>
      <c r="AE149" s="190">
        <f t="shared" si="79"/>
        <v>5.2147056709017594</v>
      </c>
      <c r="AF149" s="190">
        <f t="shared" si="79"/>
        <v>74.702228630600274</v>
      </c>
      <c r="AG149" s="190">
        <f t="shared" si="79"/>
        <v>10.020197687496051</v>
      </c>
      <c r="AH149" s="190">
        <f t="shared" si="79"/>
        <v>284.4589996707366</v>
      </c>
      <c r="AI149" s="190">
        <f t="shared" si="79"/>
        <v>311.74224127747488</v>
      </c>
      <c r="AJ149" s="190">
        <f t="shared" si="79"/>
        <v>314.22582158502377</v>
      </c>
      <c r="AK149" s="190">
        <f t="shared" si="79"/>
        <v>468.94874170437515</v>
      </c>
      <c r="AL149" s="190">
        <f t="shared" si="79"/>
        <v>451.80139703325426</v>
      </c>
      <c r="AM149" s="190">
        <f t="shared" si="79"/>
        <v>468.50563833177864</v>
      </c>
      <c r="AN149" s="190">
        <f t="shared" si="79"/>
        <v>494.69840494528495</v>
      </c>
      <c r="AO149" s="190">
        <f t="shared" si="79"/>
        <v>435.44793273385477</v>
      </c>
      <c r="AP149" s="190">
        <f t="shared" si="79"/>
        <v>604.74772722240516</v>
      </c>
      <c r="AQ149" s="190">
        <f t="shared" si="79"/>
        <v>709.70753267912721</v>
      </c>
      <c r="AR149" s="190">
        <f t="shared" si="79"/>
        <v>575.4178190476141</v>
      </c>
      <c r="AS149" s="190">
        <f t="shared" si="79"/>
        <v>446.05990621427861</v>
      </c>
      <c r="AT149" s="190">
        <f t="shared" si="79"/>
        <v>343.2715765727354</v>
      </c>
      <c r="AU149" s="190">
        <f t="shared" si="79"/>
        <v>466.28383867337504</v>
      </c>
      <c r="AV149" s="190">
        <f t="shared" si="79"/>
        <v>472.39412874914854</v>
      </c>
      <c r="AW149" s="581">
        <f t="shared" si="77"/>
        <v>376.45406959519664</v>
      </c>
      <c r="AY149" s="365" t="str">
        <f t="shared" si="64"/>
        <v>Contribution Per MT USD</v>
      </c>
      <c r="AZ149" s="646">
        <f>AZ148/AZ117</f>
        <v>215.89826733969085</v>
      </c>
      <c r="BA149" s="970"/>
      <c r="BB149" s="609">
        <f>BB148/BB117</f>
        <v>354.66713869204057</v>
      </c>
      <c r="BC149" s="970"/>
      <c r="BD149" s="609">
        <f>BD148/BD117</f>
        <v>334.88340237778647</v>
      </c>
    </row>
    <row r="152" spans="3:56" x14ac:dyDescent="0.25">
      <c r="C152" s="789" t="s">
        <v>109</v>
      </c>
      <c r="D152" s="566">
        <f>D34</f>
        <v>43101</v>
      </c>
      <c r="E152" s="566">
        <f t="shared" ref="E152:AV152" si="80">E34</f>
        <v>43132</v>
      </c>
      <c r="F152" s="566">
        <f t="shared" si="80"/>
        <v>43160</v>
      </c>
      <c r="G152" s="566">
        <f t="shared" si="80"/>
        <v>43191</v>
      </c>
      <c r="H152" s="566">
        <f t="shared" si="80"/>
        <v>43221</v>
      </c>
      <c r="I152" s="566">
        <f t="shared" si="80"/>
        <v>43252</v>
      </c>
      <c r="J152" s="566">
        <f t="shared" si="80"/>
        <v>43282</v>
      </c>
      <c r="K152" s="566">
        <f t="shared" si="80"/>
        <v>43313</v>
      </c>
      <c r="L152" s="566">
        <f t="shared" si="80"/>
        <v>43344</v>
      </c>
      <c r="M152" s="566">
        <f t="shared" si="80"/>
        <v>43374</v>
      </c>
      <c r="N152" s="566">
        <f t="shared" si="80"/>
        <v>43405</v>
      </c>
      <c r="O152" s="566">
        <f t="shared" si="80"/>
        <v>43435</v>
      </c>
      <c r="P152" s="566">
        <f t="shared" si="80"/>
        <v>43466</v>
      </c>
      <c r="Q152" s="566">
        <f t="shared" si="80"/>
        <v>43497</v>
      </c>
      <c r="R152" s="566">
        <f t="shared" si="80"/>
        <v>43525</v>
      </c>
      <c r="S152" s="566">
        <f t="shared" si="80"/>
        <v>43556</v>
      </c>
      <c r="T152" s="566">
        <f t="shared" si="80"/>
        <v>43586</v>
      </c>
      <c r="U152" s="566">
        <f t="shared" si="80"/>
        <v>43617</v>
      </c>
      <c r="V152" s="566">
        <f t="shared" si="80"/>
        <v>43647</v>
      </c>
      <c r="W152" s="566">
        <f t="shared" si="80"/>
        <v>43678</v>
      </c>
      <c r="X152" s="566">
        <f t="shared" si="80"/>
        <v>43709</v>
      </c>
      <c r="Y152" s="566">
        <f t="shared" si="80"/>
        <v>43739</v>
      </c>
      <c r="Z152" s="566">
        <f t="shared" si="80"/>
        <v>43770</v>
      </c>
      <c r="AA152" s="566">
        <f t="shared" si="80"/>
        <v>43800</v>
      </c>
      <c r="AB152" s="566">
        <f t="shared" si="80"/>
        <v>43831</v>
      </c>
      <c r="AC152" s="566">
        <f t="shared" si="80"/>
        <v>43862</v>
      </c>
      <c r="AD152" s="566">
        <f t="shared" si="80"/>
        <v>43891</v>
      </c>
      <c r="AE152" s="566">
        <f t="shared" si="80"/>
        <v>43922</v>
      </c>
      <c r="AF152" s="566">
        <f t="shared" si="80"/>
        <v>43952</v>
      </c>
      <c r="AG152" s="566">
        <f t="shared" si="80"/>
        <v>43983</v>
      </c>
      <c r="AH152" s="566">
        <f t="shared" si="80"/>
        <v>44013</v>
      </c>
      <c r="AI152" s="566">
        <f t="shared" si="80"/>
        <v>44044</v>
      </c>
      <c r="AJ152" s="566">
        <f t="shared" si="80"/>
        <v>44075</v>
      </c>
      <c r="AK152" s="566">
        <f t="shared" si="80"/>
        <v>44105</v>
      </c>
      <c r="AL152" s="566">
        <f t="shared" si="80"/>
        <v>44136</v>
      </c>
      <c r="AM152" s="566">
        <f t="shared" si="80"/>
        <v>44166</v>
      </c>
      <c r="AN152" s="566">
        <f t="shared" si="80"/>
        <v>44197</v>
      </c>
      <c r="AO152" s="566">
        <f t="shared" si="80"/>
        <v>44228</v>
      </c>
      <c r="AP152" s="566">
        <f t="shared" si="80"/>
        <v>44256</v>
      </c>
      <c r="AQ152" s="566">
        <f t="shared" si="80"/>
        <v>44287</v>
      </c>
      <c r="AR152" s="566">
        <f t="shared" si="80"/>
        <v>44317</v>
      </c>
      <c r="AS152" s="566">
        <f t="shared" si="80"/>
        <v>44348</v>
      </c>
      <c r="AT152" s="566">
        <f t="shared" si="80"/>
        <v>44378</v>
      </c>
      <c r="AU152" s="566">
        <f t="shared" si="80"/>
        <v>44409</v>
      </c>
      <c r="AV152" s="566">
        <f t="shared" si="80"/>
        <v>44440</v>
      </c>
    </row>
    <row r="153" spans="3:56" x14ac:dyDescent="0.25">
      <c r="C153" s="789" t="s">
        <v>680</v>
      </c>
      <c r="D153" s="190">
        <f>D127</f>
        <v>335.14302220321991</v>
      </c>
      <c r="E153" s="190">
        <f t="shared" ref="E153:AV153" si="81">E127</f>
        <v>353.33369178155283</v>
      </c>
      <c r="F153" s="190">
        <f t="shared" si="81"/>
        <v>317.64110174791557</v>
      </c>
      <c r="G153" s="190">
        <f t="shared" si="81"/>
        <v>449.23920258114691</v>
      </c>
      <c r="H153" s="190">
        <f t="shared" si="81"/>
        <v>328.27400690471495</v>
      </c>
      <c r="I153" s="190">
        <f t="shared" si="81"/>
        <v>347.693979511951</v>
      </c>
      <c r="J153" s="190">
        <f t="shared" si="81"/>
        <v>221.71072327295713</v>
      </c>
      <c r="K153" s="190">
        <f t="shared" si="81"/>
        <v>252.92619304703393</v>
      </c>
      <c r="L153" s="190">
        <f t="shared" si="81"/>
        <v>206.49105434592076</v>
      </c>
      <c r="M153" s="190">
        <f t="shared" si="81"/>
        <v>311.84267440091281</v>
      </c>
      <c r="N153" s="190">
        <f t="shared" si="81"/>
        <v>489.75534600569131</v>
      </c>
      <c r="O153" s="190">
        <f t="shared" si="81"/>
        <v>376.7607609840399</v>
      </c>
      <c r="P153" s="190">
        <f t="shared" si="81"/>
        <v>383.58559092265403</v>
      </c>
      <c r="Q153" s="190">
        <f t="shared" si="81"/>
        <v>359.67558214191536</v>
      </c>
      <c r="R153" s="190">
        <f t="shared" si="81"/>
        <v>365.0196226597447</v>
      </c>
      <c r="S153" s="190">
        <f t="shared" si="81"/>
        <v>328.62285475703999</v>
      </c>
      <c r="T153" s="190">
        <f t="shared" si="81"/>
        <v>290.73185800732932</v>
      </c>
      <c r="U153" s="190">
        <f t="shared" si="81"/>
        <v>317.74597472745376</v>
      </c>
      <c r="V153" s="190">
        <f t="shared" si="81"/>
        <v>292.46017967775549</v>
      </c>
      <c r="W153" s="190">
        <f t="shared" si="81"/>
        <v>268.31360236755421</v>
      </c>
      <c r="X153" s="190">
        <f t="shared" si="81"/>
        <v>316.71424311128283</v>
      </c>
      <c r="Y153" s="190">
        <f t="shared" si="81"/>
        <v>279.33262145493364</v>
      </c>
      <c r="Z153" s="190">
        <f t="shared" si="81"/>
        <v>222.86316385895555</v>
      </c>
      <c r="AA153" s="190">
        <f t="shared" si="81"/>
        <v>153.00275861803948</v>
      </c>
      <c r="AB153" s="190">
        <f t="shared" si="81"/>
        <v>202.97737022194022</v>
      </c>
      <c r="AC153" s="190">
        <f t="shared" si="81"/>
        <v>238.79140143218638</v>
      </c>
      <c r="AD153" s="190">
        <f t="shared" si="81"/>
        <v>361.7444046591732</v>
      </c>
      <c r="AE153" s="190">
        <f t="shared" si="81"/>
        <v>68.700132026525267</v>
      </c>
      <c r="AF153" s="190">
        <f t="shared" si="81"/>
        <v>56.384535351158846</v>
      </c>
      <c r="AG153" s="190">
        <f t="shared" si="81"/>
        <v>83.004418793129204</v>
      </c>
      <c r="AH153" s="190">
        <f t="shared" si="81"/>
        <v>267.43219951777172</v>
      </c>
      <c r="AI153" s="190">
        <f t="shared" si="81"/>
        <v>297.63106459539074</v>
      </c>
      <c r="AJ153" s="190">
        <f t="shared" si="81"/>
        <v>326.98588339625053</v>
      </c>
      <c r="AK153" s="190">
        <f t="shared" si="81"/>
        <v>432.13925849374908</v>
      </c>
      <c r="AL153" s="190">
        <f t="shared" si="81"/>
        <v>444.83594280542883</v>
      </c>
      <c r="AM153" s="190">
        <f t="shared" si="81"/>
        <v>473.98034749546781</v>
      </c>
      <c r="AN153" s="190">
        <f t="shared" si="81"/>
        <v>430.41275546334469</v>
      </c>
      <c r="AO153" s="190">
        <f t="shared" si="81"/>
        <v>392.91604512099235</v>
      </c>
      <c r="AP153" s="190">
        <f t="shared" si="81"/>
        <v>536.78903690991945</v>
      </c>
      <c r="AQ153" s="190">
        <f t="shared" si="81"/>
        <v>658.4988031219865</v>
      </c>
      <c r="AR153" s="190">
        <f t="shared" si="81"/>
        <v>531.44940321814397</v>
      </c>
      <c r="AS153" s="190">
        <f t="shared" si="81"/>
        <v>438.07689983933028</v>
      </c>
      <c r="AT153" s="190">
        <f t="shared" si="81"/>
        <v>423.72983278250354</v>
      </c>
      <c r="AU153" s="190">
        <f t="shared" si="81"/>
        <v>507.46125213595309</v>
      </c>
      <c r="AV153" s="190">
        <f t="shared" si="81"/>
        <v>511.07661405840867</v>
      </c>
    </row>
    <row r="154" spans="3:56" x14ac:dyDescent="0.25">
      <c r="C154" s="789" t="s">
        <v>681</v>
      </c>
      <c r="D154" s="190">
        <f>D138</f>
        <v>307.74920680120442</v>
      </c>
      <c r="E154" s="190">
        <f t="shared" ref="E154:AV154" si="82">E138</f>
        <v>407.20141324642714</v>
      </c>
      <c r="F154" s="190">
        <f t="shared" si="82"/>
        <v>406.83834352845662</v>
      </c>
      <c r="G154" s="190">
        <f t="shared" si="82"/>
        <v>547.78892483143579</v>
      </c>
      <c r="H154" s="190">
        <f t="shared" si="82"/>
        <v>463.16007939849624</v>
      </c>
      <c r="I154" s="190">
        <f t="shared" si="82"/>
        <v>501.62444222108468</v>
      </c>
      <c r="J154" s="190">
        <f t="shared" si="82"/>
        <v>379.21239821890254</v>
      </c>
      <c r="K154" s="190">
        <f t="shared" si="82"/>
        <v>419.53568002998196</v>
      </c>
      <c r="L154" s="190">
        <f t="shared" si="82"/>
        <v>342.39862394088669</v>
      </c>
      <c r="M154" s="190">
        <f t="shared" si="82"/>
        <v>419.40497259560198</v>
      </c>
      <c r="N154" s="190">
        <f t="shared" si="82"/>
        <v>572.01237536382916</v>
      </c>
      <c r="O154" s="190">
        <f t="shared" si="82"/>
        <v>419.40011533320984</v>
      </c>
      <c r="P154" s="190">
        <f t="shared" si="82"/>
        <v>390.91639557751341</v>
      </c>
      <c r="Q154" s="190">
        <f t="shared" si="82"/>
        <v>351.70745301946744</v>
      </c>
      <c r="R154" s="190">
        <f t="shared" si="82"/>
        <v>337.19214543093341</v>
      </c>
      <c r="S154" s="190">
        <f t="shared" si="82"/>
        <v>299.0024715771554</v>
      </c>
      <c r="T154" s="190">
        <f t="shared" si="82"/>
        <v>282.81577565642806</v>
      </c>
      <c r="U154" s="190">
        <f t="shared" si="82"/>
        <v>294.58454732801266</v>
      </c>
      <c r="V154" s="190">
        <f t="shared" si="82"/>
        <v>248.68718376708577</v>
      </c>
      <c r="W154" s="190">
        <f t="shared" si="82"/>
        <v>223.44832261934465</v>
      </c>
      <c r="X154" s="190">
        <f t="shared" si="82"/>
        <v>302.40365016134308</v>
      </c>
      <c r="Y154" s="190">
        <f t="shared" si="82"/>
        <v>235.00479062153562</v>
      </c>
      <c r="Z154" s="190">
        <f t="shared" si="82"/>
        <v>178.11006138563386</v>
      </c>
      <c r="AA154" s="190">
        <f t="shared" si="82"/>
        <v>118.23482435336557</v>
      </c>
      <c r="AB154" s="190">
        <f t="shared" si="82"/>
        <v>161.91542147461632</v>
      </c>
      <c r="AC154" s="190">
        <f t="shared" si="82"/>
        <v>197.93723765671544</v>
      </c>
      <c r="AD154" s="190">
        <f t="shared" si="82"/>
        <v>328.12754259538082</v>
      </c>
      <c r="AE154" s="190">
        <f t="shared" si="82"/>
        <v>48.930044605315103</v>
      </c>
      <c r="AF154" s="190">
        <f t="shared" si="82"/>
        <v>35.958210506396043</v>
      </c>
      <c r="AG154" s="190">
        <f t="shared" si="82"/>
        <v>49.49592347998118</v>
      </c>
      <c r="AH154" s="190">
        <f t="shared" si="82"/>
        <v>249.78087294781344</v>
      </c>
      <c r="AI154" s="190">
        <f t="shared" si="82"/>
        <v>302.13031319620922</v>
      </c>
      <c r="AJ154" s="190">
        <f t="shared" si="82"/>
        <v>337.07022702235008</v>
      </c>
      <c r="AK154" s="190">
        <f t="shared" si="82"/>
        <v>435.44223374607105</v>
      </c>
      <c r="AL154" s="190">
        <f t="shared" si="82"/>
        <v>433.59687512883852</v>
      </c>
      <c r="AM154" s="190">
        <f t="shared" si="82"/>
        <v>436.50988709981027</v>
      </c>
      <c r="AN154" s="190">
        <f t="shared" si="82"/>
        <v>404.52840375943759</v>
      </c>
      <c r="AO154" s="190">
        <f t="shared" si="82"/>
        <v>376.64953804589067</v>
      </c>
      <c r="AP154" s="190">
        <f t="shared" si="82"/>
        <v>480.07551894573112</v>
      </c>
      <c r="AQ154" s="190">
        <f t="shared" si="82"/>
        <v>629.78504436002663</v>
      </c>
      <c r="AR154" s="190">
        <f t="shared" si="82"/>
        <v>533.00231854763763</v>
      </c>
      <c r="AS154" s="190">
        <f t="shared" si="82"/>
        <v>423.78584386904993</v>
      </c>
      <c r="AT154" s="190">
        <f t="shared" si="82"/>
        <v>384.6574396309004</v>
      </c>
      <c r="AU154" s="190">
        <f t="shared" si="82"/>
        <v>445.91567830074041</v>
      </c>
      <c r="AV154" s="190">
        <f t="shared" si="82"/>
        <v>430.86345626829763</v>
      </c>
    </row>
    <row r="155" spans="3:56" x14ac:dyDescent="0.25">
      <c r="C155" s="789" t="s">
        <v>682</v>
      </c>
      <c r="D155" s="190">
        <f>D149</f>
        <v>419.39695136547317</v>
      </c>
      <c r="E155" s="190">
        <f t="shared" ref="E155:AV155" si="83">E149</f>
        <v>490.28929358343555</v>
      </c>
      <c r="F155" s="190">
        <f t="shared" si="83"/>
        <v>443.66995023080915</v>
      </c>
      <c r="G155" s="190">
        <f t="shared" si="83"/>
        <v>672.12754636498232</v>
      </c>
      <c r="H155" s="190">
        <f t="shared" si="83"/>
        <v>418.57973754702238</v>
      </c>
      <c r="I155" s="190">
        <f t="shared" si="83"/>
        <v>454.35800887488938</v>
      </c>
      <c r="J155" s="190">
        <f t="shared" si="83"/>
        <v>333.58203707560722</v>
      </c>
      <c r="K155" s="190">
        <f t="shared" si="83"/>
        <v>324.06070762994904</v>
      </c>
      <c r="L155" s="190">
        <f t="shared" si="83"/>
        <v>227.69064521372121</v>
      </c>
      <c r="M155" s="190">
        <f t="shared" si="83"/>
        <v>253.76689208501898</v>
      </c>
      <c r="N155" s="190">
        <f t="shared" si="83"/>
        <v>525.28260003673461</v>
      </c>
      <c r="O155" s="190">
        <f t="shared" si="83"/>
        <v>336.19526982980364</v>
      </c>
      <c r="P155" s="190">
        <f t="shared" si="83"/>
        <v>379.58848309191228</v>
      </c>
      <c r="Q155" s="190">
        <f t="shared" si="83"/>
        <v>352.74406970833189</v>
      </c>
      <c r="R155" s="190">
        <f t="shared" si="83"/>
        <v>312.66068241540285</v>
      </c>
      <c r="S155" s="190">
        <f t="shared" si="83"/>
        <v>289.88829233083862</v>
      </c>
      <c r="T155" s="190">
        <f t="shared" si="83"/>
        <v>314.76048642706365</v>
      </c>
      <c r="U155" s="190">
        <f t="shared" si="83"/>
        <v>430.60019685009706</v>
      </c>
      <c r="V155" s="190">
        <f t="shared" si="83"/>
        <v>407.08869166813093</v>
      </c>
      <c r="W155" s="190">
        <f t="shared" si="83"/>
        <v>403.4341745982469</v>
      </c>
      <c r="X155" s="190">
        <f t="shared" si="83"/>
        <v>544.25548845687933</v>
      </c>
      <c r="Y155" s="190">
        <f t="shared" si="83"/>
        <v>370.79383483265792</v>
      </c>
      <c r="Z155" s="190">
        <f t="shared" si="83"/>
        <v>293.07393064327783</v>
      </c>
      <c r="AA155" s="190">
        <f t="shared" si="83"/>
        <v>157.93750985007242</v>
      </c>
      <c r="AB155" s="190">
        <f t="shared" si="83"/>
        <v>200.69271892008553</v>
      </c>
      <c r="AC155" s="190">
        <f t="shared" si="83"/>
        <v>233.60469451682513</v>
      </c>
      <c r="AD155" s="190">
        <f t="shared" si="83"/>
        <v>412.6613992071176</v>
      </c>
      <c r="AE155" s="190">
        <f t="shared" si="83"/>
        <v>5.2147056709017594</v>
      </c>
      <c r="AF155" s="190">
        <f t="shared" si="83"/>
        <v>74.702228630600274</v>
      </c>
      <c r="AG155" s="190">
        <f t="shared" si="83"/>
        <v>10.020197687496051</v>
      </c>
      <c r="AH155" s="190">
        <f t="shared" si="83"/>
        <v>284.4589996707366</v>
      </c>
      <c r="AI155" s="190">
        <f t="shared" si="83"/>
        <v>311.74224127747488</v>
      </c>
      <c r="AJ155" s="190">
        <f t="shared" si="83"/>
        <v>314.22582158502377</v>
      </c>
      <c r="AK155" s="190">
        <f t="shared" si="83"/>
        <v>468.94874170437515</v>
      </c>
      <c r="AL155" s="190">
        <f t="shared" si="83"/>
        <v>451.80139703325426</v>
      </c>
      <c r="AM155" s="190">
        <f t="shared" si="83"/>
        <v>468.50563833177864</v>
      </c>
      <c r="AN155" s="190">
        <f t="shared" si="83"/>
        <v>494.69840494528495</v>
      </c>
      <c r="AO155" s="190">
        <f t="shared" si="83"/>
        <v>435.44793273385477</v>
      </c>
      <c r="AP155" s="190">
        <f t="shared" si="83"/>
        <v>604.74772722240516</v>
      </c>
      <c r="AQ155" s="190">
        <f t="shared" si="83"/>
        <v>709.70753267912721</v>
      </c>
      <c r="AR155" s="190">
        <f t="shared" si="83"/>
        <v>575.4178190476141</v>
      </c>
      <c r="AS155" s="190">
        <f t="shared" si="83"/>
        <v>446.05990621427861</v>
      </c>
      <c r="AT155" s="190">
        <f t="shared" si="83"/>
        <v>343.2715765727354</v>
      </c>
      <c r="AU155" s="190">
        <f t="shared" si="83"/>
        <v>466.28383867337504</v>
      </c>
      <c r="AV155" s="190">
        <f t="shared" si="83"/>
        <v>472.39412874914854</v>
      </c>
    </row>
  </sheetData>
  <mergeCells count="8">
    <mergeCell ref="BC5:BC149"/>
    <mergeCell ref="C59:AE59"/>
    <mergeCell ref="C93:AW93"/>
    <mergeCell ref="C98:AW98"/>
    <mergeCell ref="C100:AW100"/>
    <mergeCell ref="BA5:BA149"/>
    <mergeCell ref="AY75:AZ75"/>
    <mergeCell ref="AY91:AZ9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2:W86"/>
  <sheetViews>
    <sheetView topLeftCell="A73" zoomScaleNormal="100" workbookViewId="0">
      <selection activeCell="W39" sqref="W39:W47"/>
    </sheetView>
  </sheetViews>
  <sheetFormatPr defaultColWidth="9.140625" defaultRowHeight="16.5" customHeight="1" x14ac:dyDescent="0.25"/>
  <cols>
    <col min="1" max="1" width="5" style="361" customWidth="1"/>
    <col min="2" max="3" width="7.85546875" style="361" customWidth="1"/>
    <col min="4" max="4" width="12" style="361" customWidth="1"/>
    <col min="5" max="5" width="16" style="361" customWidth="1"/>
    <col min="6" max="6" width="15.140625" style="361" customWidth="1"/>
    <col min="7" max="7" width="14.5703125" style="361" customWidth="1"/>
    <col min="8" max="8" width="13.5703125" style="361" customWidth="1"/>
    <col min="9" max="9" width="13.140625" style="361" customWidth="1"/>
    <col min="10" max="10" width="9.42578125" style="369" bestFit="1" customWidth="1"/>
    <col min="11" max="11" width="8.5703125" style="361" customWidth="1"/>
    <col min="12" max="21" width="9.140625" style="361"/>
    <col min="22" max="22" width="19" style="361" bestFit="1" customWidth="1"/>
    <col min="23" max="16384" width="9.140625" style="361"/>
  </cols>
  <sheetData>
    <row r="2" spans="2:13" ht="26.25" customHeight="1" x14ac:dyDescent="0.25">
      <c r="B2" s="981" t="s">
        <v>415</v>
      </c>
      <c r="C2" s="981"/>
      <c r="D2" s="981"/>
      <c r="E2" s="981"/>
      <c r="F2" s="981"/>
      <c r="G2" s="981"/>
      <c r="H2" s="981"/>
      <c r="I2" s="981"/>
    </row>
    <row r="3" spans="2:13" ht="27.75" x14ac:dyDescent="0.25">
      <c r="B3" s="982" t="s">
        <v>416</v>
      </c>
      <c r="C3" s="982"/>
      <c r="D3" s="982"/>
      <c r="E3" s="448" t="s">
        <v>417</v>
      </c>
      <c r="F3" s="449" t="s">
        <v>418</v>
      </c>
      <c r="G3" s="449" t="s">
        <v>419</v>
      </c>
      <c r="H3" s="982" t="s">
        <v>420</v>
      </c>
      <c r="I3" s="982"/>
    </row>
    <row r="4" spans="2:13" ht="16.5" customHeight="1" x14ac:dyDescent="0.25">
      <c r="B4" s="979" t="s">
        <v>287</v>
      </c>
      <c r="C4" s="979"/>
      <c r="D4" s="979"/>
      <c r="E4" s="450">
        <v>16.23</v>
      </c>
      <c r="F4" s="450">
        <f>E34/1000</f>
        <v>33.5</v>
      </c>
      <c r="G4" s="450">
        <v>34</v>
      </c>
      <c r="H4" s="980">
        <f>E4+F4-G4</f>
        <v>15.730000000000004</v>
      </c>
      <c r="I4" s="980"/>
    </row>
    <row r="5" spans="2:13" ht="16.5" customHeight="1" x14ac:dyDescent="0.25">
      <c r="B5" s="979" t="s">
        <v>421</v>
      </c>
      <c r="C5" s="979"/>
      <c r="D5" s="979"/>
      <c r="E5" s="450">
        <v>20.068000000000001</v>
      </c>
      <c r="F5" s="451">
        <f>(E44+E56)/1000-F6</f>
        <v>66.400000000000006</v>
      </c>
      <c r="G5" s="450">
        <v>49</v>
      </c>
      <c r="H5" s="980">
        <f>E5+F5-G5</f>
        <v>37.468000000000004</v>
      </c>
      <c r="I5" s="980"/>
      <c r="J5" s="452">
        <f>F5/(F5+F6)</f>
        <v>1</v>
      </c>
    </row>
    <row r="6" spans="2:13" ht="16.5" customHeight="1" x14ac:dyDescent="0.25">
      <c r="B6" s="979" t="s">
        <v>422</v>
      </c>
      <c r="C6" s="979"/>
      <c r="D6" s="979"/>
      <c r="E6" s="450">
        <v>11.218999999999999</v>
      </c>
      <c r="F6" s="453">
        <f>(SUMIF(D39:D43,"M5220",E39:E43)+SUMIF(D39:D43,"M6008",E39:E43)+SUMIF(D39:D43,"Y5710",E39:E43)+SUMIF(D39:D43,"R5410",E39:E43))/1000</f>
        <v>0</v>
      </c>
      <c r="G6" s="450">
        <v>5</v>
      </c>
      <c r="H6" s="980">
        <f>E6+F6-G6</f>
        <v>6.2189999999999994</v>
      </c>
      <c r="I6" s="980"/>
      <c r="J6" s="452">
        <f>F6/(F6+F5)</f>
        <v>0</v>
      </c>
    </row>
    <row r="7" spans="2:13" ht="16.5" customHeight="1" x14ac:dyDescent="0.25">
      <c r="B7" s="979" t="s">
        <v>423</v>
      </c>
      <c r="C7" s="979"/>
      <c r="D7" s="979"/>
      <c r="E7" s="450">
        <v>19.417999999999999</v>
      </c>
      <c r="F7" s="450">
        <f>E70/1000</f>
        <v>30.5</v>
      </c>
      <c r="G7" s="450">
        <v>40</v>
      </c>
      <c r="H7" s="980">
        <f>E7+F7-G7</f>
        <v>9.9179999999999993</v>
      </c>
      <c r="I7" s="980"/>
      <c r="M7" s="454"/>
    </row>
    <row r="8" spans="2:13" ht="16.5" customHeight="1" x14ac:dyDescent="0.25">
      <c r="B8" s="983" t="s">
        <v>424</v>
      </c>
      <c r="C8" s="983"/>
      <c r="D8" s="983"/>
      <c r="E8" s="455">
        <f>SUM(E4:E7)</f>
        <v>66.935000000000002</v>
      </c>
      <c r="F8" s="455">
        <f>SUM(F4:F7)</f>
        <v>130.4</v>
      </c>
      <c r="G8" s="455">
        <f>SUM(G4:G7)</f>
        <v>128</v>
      </c>
      <c r="H8" s="984">
        <f>E8+F8-G8</f>
        <v>69.335000000000008</v>
      </c>
      <c r="I8" s="985"/>
      <c r="M8" s="454"/>
    </row>
    <row r="9" spans="2:13" ht="16.5" customHeight="1" x14ac:dyDescent="0.25">
      <c r="J9" s="456"/>
    </row>
    <row r="10" spans="2:13" ht="18" customHeight="1" x14ac:dyDescent="0.25">
      <c r="B10" s="986" t="s">
        <v>425</v>
      </c>
      <c r="C10" s="986"/>
      <c r="D10" s="986"/>
      <c r="E10" s="986"/>
      <c r="F10" s="986"/>
      <c r="G10" s="986"/>
      <c r="H10" s="986"/>
      <c r="I10" s="986"/>
    </row>
    <row r="11" spans="2:13" ht="43.5" customHeight="1" x14ac:dyDescent="0.25">
      <c r="B11" s="982" t="s">
        <v>295</v>
      </c>
      <c r="C11" s="982"/>
      <c r="D11" s="982"/>
      <c r="E11" s="448" t="s">
        <v>417</v>
      </c>
      <c r="F11" s="448" t="s">
        <v>426</v>
      </c>
      <c r="G11" s="449" t="s">
        <v>427</v>
      </c>
      <c r="H11" s="448" t="s">
        <v>428</v>
      </c>
      <c r="I11" s="449" t="s">
        <v>429</v>
      </c>
      <c r="J11" s="361"/>
    </row>
    <row r="12" spans="2:13" ht="18" customHeight="1" x14ac:dyDescent="0.25">
      <c r="B12" s="982"/>
      <c r="C12" s="982"/>
      <c r="D12" s="982"/>
      <c r="E12" s="449" t="s">
        <v>13</v>
      </c>
      <c r="F12" s="449" t="s">
        <v>430</v>
      </c>
      <c r="G12" s="449" t="s">
        <v>13</v>
      </c>
      <c r="H12" s="449" t="s">
        <v>13</v>
      </c>
      <c r="I12" s="449" t="s">
        <v>13</v>
      </c>
      <c r="J12" s="361"/>
    </row>
    <row r="13" spans="2:13" ht="18" customHeight="1" x14ac:dyDescent="0.25">
      <c r="B13" s="979" t="s">
        <v>431</v>
      </c>
      <c r="C13" s="979"/>
      <c r="D13" s="979"/>
      <c r="E13" s="457"/>
      <c r="F13" s="457">
        <v>0</v>
      </c>
      <c r="G13" s="457">
        <f>F13*744</f>
        <v>0</v>
      </c>
      <c r="H13" s="457">
        <f>G13</f>
        <v>0</v>
      </c>
      <c r="I13" s="395"/>
      <c r="J13" s="361"/>
    </row>
    <row r="14" spans="2:13" ht="18" customHeight="1" x14ac:dyDescent="0.25">
      <c r="B14" s="979" t="s">
        <v>432</v>
      </c>
      <c r="C14" s="979"/>
      <c r="D14" s="979"/>
      <c r="E14" s="458">
        <v>523</v>
      </c>
      <c r="F14" s="457">
        <v>63</v>
      </c>
      <c r="G14" s="458">
        <f>F14*744</f>
        <v>46872</v>
      </c>
      <c r="H14" s="458">
        <f>G14</f>
        <v>46872</v>
      </c>
      <c r="I14" s="458">
        <f>E14+H14-G14</f>
        <v>523</v>
      </c>
      <c r="J14" s="361"/>
    </row>
    <row r="15" spans="2:13" ht="18" customHeight="1" x14ac:dyDescent="0.25">
      <c r="B15" s="979" t="s">
        <v>223</v>
      </c>
      <c r="C15" s="979"/>
      <c r="D15" s="979"/>
      <c r="E15" s="458">
        <v>304</v>
      </c>
      <c r="F15" s="457">
        <f>27+7</f>
        <v>34</v>
      </c>
      <c r="G15" s="458">
        <f>F15*744</f>
        <v>25296</v>
      </c>
      <c r="H15" s="458">
        <f>G15</f>
        <v>25296</v>
      </c>
      <c r="I15" s="458">
        <f>E15+H15-G15</f>
        <v>304</v>
      </c>
      <c r="J15" s="361"/>
    </row>
    <row r="16" spans="2:13" ht="16.5" customHeight="1" x14ac:dyDescent="0.25">
      <c r="B16" s="979" t="s">
        <v>222</v>
      </c>
      <c r="C16" s="979"/>
      <c r="D16" s="979"/>
      <c r="E16" s="458">
        <v>478</v>
      </c>
      <c r="F16" s="457">
        <v>16</v>
      </c>
      <c r="G16" s="458">
        <f>F16*744</f>
        <v>11904</v>
      </c>
      <c r="H16" s="458">
        <f>G16</f>
        <v>11904</v>
      </c>
      <c r="I16" s="458">
        <f>E16+H16-G16</f>
        <v>478</v>
      </c>
      <c r="J16" s="361"/>
    </row>
    <row r="17" spans="2:11" ht="16.5" customHeight="1" x14ac:dyDescent="0.25">
      <c r="B17" s="979" t="s">
        <v>433</v>
      </c>
      <c r="C17" s="979"/>
      <c r="D17" s="979"/>
      <c r="E17" s="458">
        <v>55790</v>
      </c>
      <c r="F17" s="457">
        <v>195</v>
      </c>
      <c r="G17" s="458">
        <f>F17*744</f>
        <v>145080</v>
      </c>
      <c r="H17" s="458">
        <f>59500+35000+33000*2</f>
        <v>160500</v>
      </c>
      <c r="I17" s="458">
        <f>E17+H17-G17</f>
        <v>71210</v>
      </c>
      <c r="J17" s="441"/>
    </row>
    <row r="18" spans="2:11" ht="18.75" customHeight="1" x14ac:dyDescent="0.25"/>
    <row r="19" spans="2:11" ht="27.75" x14ac:dyDescent="0.25">
      <c r="B19" s="982" t="s">
        <v>237</v>
      </c>
      <c r="C19" s="982"/>
      <c r="D19" s="449" t="s">
        <v>434</v>
      </c>
      <c r="E19" s="448" t="s">
        <v>417</v>
      </c>
      <c r="F19" s="449" t="s">
        <v>435</v>
      </c>
      <c r="G19" s="449" t="s">
        <v>418</v>
      </c>
      <c r="H19" s="449" t="s">
        <v>436</v>
      </c>
      <c r="I19" s="449" t="s">
        <v>429</v>
      </c>
      <c r="J19" s="459" t="s">
        <v>437</v>
      </c>
    </row>
    <row r="20" spans="2:11" ht="16.5" customHeight="1" x14ac:dyDescent="0.25">
      <c r="B20" s="979" t="s">
        <v>11</v>
      </c>
      <c r="C20" s="979"/>
      <c r="D20" s="457" t="s">
        <v>438</v>
      </c>
      <c r="E20" s="460">
        <v>17.327999999999999</v>
      </c>
      <c r="F20" s="460">
        <v>0</v>
      </c>
      <c r="G20" s="460">
        <f>0.135*24*I26</f>
        <v>100.44000000000001</v>
      </c>
      <c r="H20" s="460">
        <f>(H34+H44+H56+H70+I76)/1000</f>
        <v>99.347933999999995</v>
      </c>
      <c r="I20" s="460">
        <f>E20+F20+G20-H20</f>
        <v>18.42006600000002</v>
      </c>
      <c r="J20" s="461">
        <f>26.442-I20</f>
        <v>8.0219339999999804</v>
      </c>
      <c r="K20" s="462"/>
    </row>
    <row r="21" spans="2:11" ht="16.5" customHeight="1" x14ac:dyDescent="0.25">
      <c r="B21" s="979" t="s">
        <v>126</v>
      </c>
      <c r="C21" s="979"/>
      <c r="D21" s="457" t="s">
        <v>13</v>
      </c>
      <c r="E21" s="458">
        <v>2018</v>
      </c>
      <c r="F21" s="457">
        <v>0</v>
      </c>
      <c r="G21" s="458">
        <f>50.3*24*I26</f>
        <v>37423.199999999997</v>
      </c>
      <c r="H21" s="458">
        <f>I34</f>
        <v>35141.5</v>
      </c>
      <c r="I21" s="458">
        <f>E21+F21+G21-H21</f>
        <v>4299.6999999999971</v>
      </c>
      <c r="J21" s="461">
        <f>8.46-I21/1000</f>
        <v>4.1603000000000039</v>
      </c>
      <c r="K21" s="462"/>
    </row>
    <row r="22" spans="2:11" ht="16.5" customHeight="1" x14ac:dyDescent="0.25">
      <c r="B22" s="979" t="s">
        <v>439</v>
      </c>
      <c r="C22" s="979"/>
      <c r="D22" s="457" t="s">
        <v>13</v>
      </c>
      <c r="E22" s="458">
        <v>2256</v>
      </c>
      <c r="F22" s="457">
        <v>0</v>
      </c>
      <c r="G22" s="458">
        <f>E76</f>
        <v>4166.3999999999996</v>
      </c>
      <c r="H22" s="458">
        <f>I44+I56+I70</f>
        <v>5432.44</v>
      </c>
      <c r="I22" s="458">
        <f>E22+F22+G22-H22</f>
        <v>989.96</v>
      </c>
      <c r="J22" s="461">
        <f>2.447-I22/1000</f>
        <v>1.4570400000000001</v>
      </c>
    </row>
    <row r="23" spans="2:11" ht="16.5" customHeight="1" x14ac:dyDescent="0.25">
      <c r="B23" s="979" t="s">
        <v>440</v>
      </c>
      <c r="C23" s="979"/>
      <c r="D23" s="457" t="s">
        <v>13</v>
      </c>
      <c r="E23" s="458">
        <v>164</v>
      </c>
      <c r="F23" s="139">
        <v>250</v>
      </c>
      <c r="G23" s="458">
        <f>E77</f>
        <v>0</v>
      </c>
      <c r="H23" s="458">
        <f>K70</f>
        <v>255.59999999999994</v>
      </c>
      <c r="I23" s="458">
        <f>E23+F23+G23-H23</f>
        <v>158.40000000000006</v>
      </c>
    </row>
    <row r="24" spans="2:11" ht="16.5" customHeight="1" x14ac:dyDescent="0.25">
      <c r="B24" s="979" t="s">
        <v>441</v>
      </c>
      <c r="C24" s="979"/>
      <c r="D24" s="457" t="s">
        <v>13</v>
      </c>
      <c r="E24" s="458">
        <v>74</v>
      </c>
      <c r="F24" s="139">
        <v>150</v>
      </c>
      <c r="G24" s="458">
        <f>E78</f>
        <v>0</v>
      </c>
      <c r="H24" s="458">
        <f>J57</f>
        <v>100.53100000000001</v>
      </c>
      <c r="I24" s="458">
        <f>E24+F24+G24-H24</f>
        <v>123.46899999999999</v>
      </c>
    </row>
    <row r="25" spans="2:11" ht="16.5" customHeight="1" x14ac:dyDescent="0.25">
      <c r="B25" s="989"/>
      <c r="C25" s="989"/>
    </row>
    <row r="26" spans="2:11" ht="16.5" customHeight="1" x14ac:dyDescent="0.25">
      <c r="B26" s="988" t="s">
        <v>287</v>
      </c>
      <c r="C26" s="988"/>
      <c r="H26" s="449" t="s">
        <v>442</v>
      </c>
      <c r="I26" s="368">
        <v>31</v>
      </c>
      <c r="K26" s="369"/>
    </row>
    <row r="27" spans="2:11" ht="30" x14ac:dyDescent="0.25">
      <c r="B27" s="463" t="s">
        <v>443</v>
      </c>
      <c r="C27" s="463" t="s">
        <v>444</v>
      </c>
      <c r="D27" s="449" t="s">
        <v>445</v>
      </c>
      <c r="E27" s="449" t="s">
        <v>446</v>
      </c>
      <c r="F27" s="448" t="s">
        <v>447</v>
      </c>
      <c r="G27" s="448" t="s">
        <v>448</v>
      </c>
      <c r="H27" s="464" t="s">
        <v>11</v>
      </c>
      <c r="I27" s="464" t="s">
        <v>126</v>
      </c>
      <c r="K27" s="369"/>
    </row>
    <row r="28" spans="2:11" ht="16.5" customHeight="1" x14ac:dyDescent="0.25">
      <c r="B28" s="465">
        <v>1</v>
      </c>
      <c r="C28" s="466">
        <v>8</v>
      </c>
      <c r="D28" s="457" t="s">
        <v>449</v>
      </c>
      <c r="E28" s="457">
        <v>9000</v>
      </c>
      <c r="F28" s="467">
        <f>VLOOKUP(D28,'Polymer BOM'!S$5:V$16,4,0)</f>
        <v>46.7</v>
      </c>
      <c r="G28" s="468">
        <f t="shared" ref="G28:G33" si="0">E28/F28</f>
        <v>192.71948608137043</v>
      </c>
      <c r="H28" s="457">
        <f>VLOOKUP(D28,'Polymer BOM'!S$5:V$16,3,0)*E28</f>
        <v>0</v>
      </c>
      <c r="I28" s="457">
        <f>VLOOKUP(D28,'Polymer BOM'!S$5:V$16,2,0)*E28</f>
        <v>9441</v>
      </c>
      <c r="J28" s="540">
        <f>VLOOKUP(D28,'Polymer BOM'!$S$5:$T$15,2,TRUE)</f>
        <v>1.0489999999999999</v>
      </c>
      <c r="K28" s="369"/>
    </row>
    <row r="29" spans="2:11" ht="16.5" customHeight="1" x14ac:dyDescent="0.25">
      <c r="B29" s="466">
        <v>9</v>
      </c>
      <c r="C29" s="466">
        <v>11</v>
      </c>
      <c r="D29" s="457" t="s">
        <v>450</v>
      </c>
      <c r="E29" s="457">
        <v>2500</v>
      </c>
      <c r="F29" s="467">
        <f>VLOOKUP(D29,'Polymer BOM'!S$5:V$16,4,0)</f>
        <v>46.7</v>
      </c>
      <c r="G29" s="468">
        <f t="shared" si="0"/>
        <v>53.533190578158454</v>
      </c>
      <c r="H29" s="457">
        <f>VLOOKUP(D29,'Polymer BOM'!S$5:V$16,3,0)*E29</f>
        <v>0</v>
      </c>
      <c r="I29" s="457">
        <f>VLOOKUP(D29,'Polymer BOM'!S$5:V$16,2,0)*E29</f>
        <v>2622.5</v>
      </c>
      <c r="J29" s="540">
        <f>VLOOKUP(D29,'Polymer BOM'!$S$5:$T$15,2,TRUE)</f>
        <v>1.0489999999999999</v>
      </c>
      <c r="K29" s="369"/>
    </row>
    <row r="30" spans="2:11" ht="16.5" customHeight="1" x14ac:dyDescent="0.25">
      <c r="B30" s="466">
        <v>11</v>
      </c>
      <c r="C30" s="466">
        <v>17</v>
      </c>
      <c r="D30" s="457" t="s">
        <v>451</v>
      </c>
      <c r="E30" s="457">
        <v>7000</v>
      </c>
      <c r="F30" s="467">
        <f>VLOOKUP(D30,'Polymer BOM'!S$5:V$16,4,0)</f>
        <v>46.7</v>
      </c>
      <c r="G30" s="468">
        <f t="shared" si="0"/>
        <v>149.89293361884367</v>
      </c>
      <c r="H30" s="457">
        <f>VLOOKUP(D30,'Polymer BOM'!S$5:V$16,3,0)*E30</f>
        <v>0</v>
      </c>
      <c r="I30" s="457">
        <f>VLOOKUP(D30,'Polymer BOM'!S$5:V$16,2,0)*E30</f>
        <v>7342.9999999999991</v>
      </c>
      <c r="J30" s="540">
        <f>VLOOKUP(D30,'Polymer BOM'!$S$5:$T$15,2,TRUE)</f>
        <v>1.0489999999999999</v>
      </c>
      <c r="K30" s="369"/>
    </row>
    <row r="31" spans="2:11" ht="16.5" customHeight="1" x14ac:dyDescent="0.25">
      <c r="B31" s="466">
        <v>17</v>
      </c>
      <c r="C31" s="466">
        <v>18</v>
      </c>
      <c r="D31" s="457" t="s">
        <v>452</v>
      </c>
      <c r="E31" s="457">
        <v>1500</v>
      </c>
      <c r="F31" s="467">
        <f>VLOOKUP(D31,'Polymer BOM'!S$5:V$16,4,0)</f>
        <v>46.7</v>
      </c>
      <c r="G31" s="468">
        <f t="shared" si="0"/>
        <v>32.119914346895072</v>
      </c>
      <c r="H31" s="457">
        <f>VLOOKUP(D31,'Polymer BOM'!S$5:V$16,3,0)*E31</f>
        <v>0</v>
      </c>
      <c r="I31" s="457">
        <f>VLOOKUP(D31,'Polymer BOM'!S$5:V$16,2,0)*E31</f>
        <v>1573.5</v>
      </c>
      <c r="J31" s="540">
        <f>VLOOKUP(D31,'Polymer BOM'!$S$5:$T$15,2,TRUE)</f>
        <v>1.0489999999999999</v>
      </c>
      <c r="K31" s="369"/>
    </row>
    <row r="32" spans="2:11" ht="15" x14ac:dyDescent="0.25">
      <c r="B32" s="466">
        <v>18</v>
      </c>
      <c r="C32" s="466">
        <v>28</v>
      </c>
      <c r="D32" s="457" t="s">
        <v>449</v>
      </c>
      <c r="E32" s="457">
        <v>10500</v>
      </c>
      <c r="F32" s="467">
        <f>VLOOKUP(D32,'Polymer BOM'!S$5:V$16,4,0)</f>
        <v>46.7</v>
      </c>
      <c r="G32" s="468">
        <f t="shared" si="0"/>
        <v>224.83940042826552</v>
      </c>
      <c r="H32" s="457">
        <f>VLOOKUP(D32,'Polymer BOM'!S$5:V$16,3,0)*E32</f>
        <v>0</v>
      </c>
      <c r="I32" s="457">
        <f>VLOOKUP(D32,'Polymer BOM'!S$5:V$16,2,0)*E32</f>
        <v>11014.5</v>
      </c>
      <c r="J32" s="540">
        <f>VLOOKUP(D32,'Polymer BOM'!$S$5:$T$15,2,TRUE)</f>
        <v>1.0489999999999999</v>
      </c>
      <c r="K32" s="369"/>
    </row>
    <row r="33" spans="2:23" ht="15" x14ac:dyDescent="0.25">
      <c r="B33" s="466">
        <v>28</v>
      </c>
      <c r="C33" s="466">
        <v>31</v>
      </c>
      <c r="D33" s="457" t="s">
        <v>453</v>
      </c>
      <c r="E33" s="457">
        <v>3000</v>
      </c>
      <c r="F33" s="467">
        <f>VLOOKUP(D33,'Polymer BOM'!S$5:V$16,4,0)</f>
        <v>46.7</v>
      </c>
      <c r="G33" s="468">
        <f t="shared" si="0"/>
        <v>64.239828693790145</v>
      </c>
      <c r="H33" s="457">
        <f>VLOOKUP(D33,'Polymer BOM'!S$5:V$16,3,0)*E33</f>
        <v>0</v>
      </c>
      <c r="I33" s="395">
        <f>VLOOKUP(D33,'Polymer BOM'!S$5:V$16,2,0)*E33</f>
        <v>3147</v>
      </c>
      <c r="J33" s="540">
        <f>VLOOKUP(D33,'Polymer BOM'!$S$5:$T$15,2,TRUE)</f>
        <v>1.0489999999999999</v>
      </c>
      <c r="K33" s="369"/>
    </row>
    <row r="34" spans="2:23" ht="16.5" customHeight="1" x14ac:dyDescent="0.25">
      <c r="B34" s="990" t="s">
        <v>15</v>
      </c>
      <c r="C34" s="990"/>
      <c r="D34" s="990"/>
      <c r="E34" s="469">
        <f>SUM(E28:E33)</f>
        <v>33500</v>
      </c>
      <c r="F34" s="469"/>
      <c r="G34" s="470">
        <f>SUM(G28:G33)</f>
        <v>717.34475374732335</v>
      </c>
      <c r="H34" s="469">
        <f>SUM(H28:H33)</f>
        <v>0</v>
      </c>
      <c r="I34" s="471">
        <f>SUM(I28:I33)</f>
        <v>35141.5</v>
      </c>
      <c r="K34" s="369"/>
    </row>
    <row r="35" spans="2:23" ht="15" x14ac:dyDescent="0.25">
      <c r="C35" s="135"/>
      <c r="D35" s="135"/>
      <c r="E35" s="135"/>
      <c r="F35" s="472" t="s">
        <v>454</v>
      </c>
      <c r="G35" s="473">
        <f>I26*24-G34</f>
        <v>26.655246252676648</v>
      </c>
      <c r="H35" s="987"/>
      <c r="I35" s="987"/>
    </row>
    <row r="37" spans="2:23" ht="16.5" customHeight="1" x14ac:dyDescent="0.25">
      <c r="B37" s="988" t="s">
        <v>455</v>
      </c>
      <c r="C37" s="988"/>
    </row>
    <row r="38" spans="2:23" ht="30" x14ac:dyDescent="0.25">
      <c r="B38" s="463" t="s">
        <v>443</v>
      </c>
      <c r="C38" s="463" t="s">
        <v>444</v>
      </c>
      <c r="D38" s="449" t="s">
        <v>445</v>
      </c>
      <c r="E38" s="449" t="s">
        <v>446</v>
      </c>
      <c r="F38" s="448" t="s">
        <v>447</v>
      </c>
      <c r="G38" s="448" t="s">
        <v>448</v>
      </c>
      <c r="H38" s="464" t="s">
        <v>11</v>
      </c>
      <c r="I38" s="464" t="s">
        <v>439</v>
      </c>
      <c r="J38" s="474" t="s">
        <v>441</v>
      </c>
      <c r="M38" s="361" t="s">
        <v>505</v>
      </c>
    </row>
    <row r="39" spans="2:23" ht="15" x14ac:dyDescent="0.25">
      <c r="B39" s="465">
        <v>1</v>
      </c>
      <c r="C39" s="466">
        <v>6</v>
      </c>
      <c r="D39" s="457" t="s">
        <v>456</v>
      </c>
      <c r="E39" s="139">
        <v>5800</v>
      </c>
      <c r="F39" s="475">
        <f>VLOOKUP(D39,'Polymer BOM'!B$5:F$21,5,0)</f>
        <v>47</v>
      </c>
      <c r="G39" s="468">
        <f>E39/F39</f>
        <v>123.40425531914893</v>
      </c>
      <c r="H39" s="395">
        <f>VLOOKUP(D39,'Polymer BOM'!B$5:F$21,2,0)*E39</f>
        <v>5411.4000000000005</v>
      </c>
      <c r="I39" s="395">
        <f>VLOOKUP(D39,'Polymer BOM'!B$5:F$21,3,0)*E39</f>
        <v>446.59999999999997</v>
      </c>
      <c r="J39" s="476">
        <f>VLOOKUP(D39,'Polymer BOM'!B$5:F$21,4,0)*E39</f>
        <v>8.2360000000000007</v>
      </c>
      <c r="M39" s="361" t="s">
        <v>456</v>
      </c>
      <c r="N39" s="1">
        <f>K55</f>
        <v>39720.067999999999</v>
      </c>
      <c r="O39" s="537">
        <f>VLOOKUP(M39,'Polymer BOM'!$B$5:$H$21,7,TRUE)</f>
        <v>1.01</v>
      </c>
      <c r="P39" s="361">
        <f>N39*O39</f>
        <v>40117.268680000001</v>
      </c>
      <c r="R39" s="361">
        <f>N39/($N$43+$N$53)</f>
        <v>0.40982294812257042</v>
      </c>
      <c r="S39" s="989">
        <f>R40+R39</f>
        <v>0.52538209114752166</v>
      </c>
      <c r="V39" s="567" t="s">
        <v>549</v>
      </c>
      <c r="W39" s="529">
        <f>R48+R49+R47+R46</f>
        <v>0.1908789416037141</v>
      </c>
    </row>
    <row r="40" spans="2:23" ht="15" x14ac:dyDescent="0.25">
      <c r="B40" s="466">
        <f>C39</f>
        <v>6</v>
      </c>
      <c r="C40" s="466">
        <v>10</v>
      </c>
      <c r="D40" s="477" t="s">
        <v>457</v>
      </c>
      <c r="E40" s="139">
        <v>4700</v>
      </c>
      <c r="F40" s="475">
        <f>VLOOKUP(D40,'Polymer BOM'!B$5:F$21,5,0)</f>
        <v>47</v>
      </c>
      <c r="G40" s="468">
        <f>E40/F40</f>
        <v>100</v>
      </c>
      <c r="H40" s="395">
        <f>VLOOKUP(D40,'Polymer BOM'!B$5:F$21,2,0)*E40</f>
        <v>4385.1000000000004</v>
      </c>
      <c r="I40" s="395">
        <f>VLOOKUP(D40,'Polymer BOM'!B$5:F$21,3,0)*E40</f>
        <v>361.9</v>
      </c>
      <c r="J40" s="476">
        <f>VLOOKUP(D40,'Polymer BOM'!B$5:F$21,4,0)*E40</f>
        <v>6.6740000000000004</v>
      </c>
      <c r="M40" s="361" t="s">
        <v>457</v>
      </c>
      <c r="N40" s="361">
        <f>K42</f>
        <v>11200</v>
      </c>
      <c r="O40" s="537">
        <f>VLOOKUP(M40,'Polymer BOM'!$B$5:$H$21,7,TRUE)</f>
        <v>1.01</v>
      </c>
      <c r="P40" s="361">
        <f>N40*O40</f>
        <v>11312</v>
      </c>
      <c r="R40" s="361">
        <f t="shared" ref="R40:R52" si="1">N40/($N$43+$N$53)</f>
        <v>0.11555914302495124</v>
      </c>
      <c r="S40" s="989"/>
      <c r="V40" s="567" t="s">
        <v>550</v>
      </c>
      <c r="W40" s="529">
        <f>R47</f>
        <v>3.3016898007128925E-2</v>
      </c>
    </row>
    <row r="41" spans="2:23" ht="15" x14ac:dyDescent="0.25">
      <c r="B41" s="466">
        <f>C40</f>
        <v>10</v>
      </c>
      <c r="C41" s="466">
        <v>17</v>
      </c>
      <c r="D41" s="477" t="s">
        <v>456</v>
      </c>
      <c r="E41" s="139">
        <v>8100</v>
      </c>
      <c r="F41" s="475">
        <f>VLOOKUP(D41,'Polymer BOM'!B$5:F$21,5,0)</f>
        <v>47</v>
      </c>
      <c r="G41" s="468">
        <f>E41/F41</f>
        <v>172.34042553191489</v>
      </c>
      <c r="H41" s="395">
        <f>VLOOKUP(D41,'Polymer BOM'!B$5:F$21,2,0)*E41</f>
        <v>7557.3</v>
      </c>
      <c r="I41" s="395">
        <f>VLOOKUP(D41,'Polymer BOM'!B$5:F$21,3,0)*E41</f>
        <v>623.70000000000005</v>
      </c>
      <c r="J41" s="476">
        <f>VLOOKUP(D41,'Polymer BOM'!B$5:F$21,4,0)*E41</f>
        <v>11.502000000000001</v>
      </c>
      <c r="M41" s="361" t="s">
        <v>464</v>
      </c>
      <c r="N41" s="361">
        <f>K54</f>
        <v>2200</v>
      </c>
      <c r="O41" s="537">
        <f>VLOOKUP(M41,'Polymer BOM'!$B$5:$H$21,7,TRUE)</f>
        <v>1.004</v>
      </c>
      <c r="P41" s="361">
        <f>N41*O41</f>
        <v>2208.8000000000002</v>
      </c>
      <c r="R41" s="361">
        <f t="shared" si="1"/>
        <v>2.2699117379901136E-2</v>
      </c>
      <c r="V41" s="567" t="s">
        <v>547</v>
      </c>
      <c r="W41" s="529">
        <f>R45+R44</f>
        <v>9.1828247582327327E-2</v>
      </c>
    </row>
    <row r="42" spans="2:23" ht="15" x14ac:dyDescent="0.25">
      <c r="B42" s="466">
        <f>C41</f>
        <v>17</v>
      </c>
      <c r="C42" s="466">
        <v>23</v>
      </c>
      <c r="D42" s="477" t="s">
        <v>458</v>
      </c>
      <c r="E42" s="139">
        <v>6500</v>
      </c>
      <c r="F42" s="475">
        <f>VLOOKUP(D42,'Polymer BOM'!B$5:F$21,5,0)</f>
        <v>46</v>
      </c>
      <c r="G42" s="468">
        <f>E42/F42</f>
        <v>141.30434782608697</v>
      </c>
      <c r="H42" s="395">
        <f>VLOOKUP(D42,'Polymer BOM'!B$5:F$21,2,0)*E42</f>
        <v>6012.5</v>
      </c>
      <c r="I42" s="395">
        <f>VLOOKUP(D42,'Polymer BOM'!B$5:F$21,3,0)*E42</f>
        <v>513.5</v>
      </c>
      <c r="J42" s="476">
        <f>VLOOKUP(D42,'Polymer BOM'!B$5:F$21,4,0)*E42</f>
        <v>5.2</v>
      </c>
      <c r="K42" s="361">
        <f>E42+E40</f>
        <v>11200</v>
      </c>
      <c r="M42" s="361" t="s">
        <v>460</v>
      </c>
      <c r="N42" s="361">
        <f>K49</f>
        <v>4400</v>
      </c>
      <c r="O42" s="537">
        <f>VLOOKUP(M42,'Polymer BOM'!$B$5:$H$21,7,TRUE)</f>
        <v>1.0041</v>
      </c>
      <c r="P42" s="361">
        <f>N42*O42</f>
        <v>4418.04</v>
      </c>
      <c r="R42" s="361">
        <f t="shared" si="1"/>
        <v>4.5398234759802272E-2</v>
      </c>
      <c r="V42" s="567" t="s">
        <v>548</v>
      </c>
      <c r="W42" s="529">
        <f>1-(W41+W40+W39+W43)</f>
        <v>0.15889382165930799</v>
      </c>
    </row>
    <row r="43" spans="2:23" ht="15" x14ac:dyDescent="0.25">
      <c r="B43" s="466">
        <f>C42</f>
        <v>23</v>
      </c>
      <c r="C43" s="466">
        <v>31</v>
      </c>
      <c r="D43" s="477" t="s">
        <v>456</v>
      </c>
      <c r="E43" s="139">
        <v>9300</v>
      </c>
      <c r="F43" s="475">
        <f>VLOOKUP(D43,'Polymer BOM'!B$5:F$21,5,0)</f>
        <v>47</v>
      </c>
      <c r="G43" s="468">
        <f>E43/F43</f>
        <v>197.87234042553192</v>
      </c>
      <c r="H43" s="395">
        <f>VLOOKUP(D43,'Polymer BOM'!B$5:F$21,2,0)*E43</f>
        <v>8676.9</v>
      </c>
      <c r="I43" s="395">
        <f>VLOOKUP(D43,'Polymer BOM'!B$5:F$21,3,0)*E43</f>
        <v>716.1</v>
      </c>
      <c r="J43" s="476">
        <f>VLOOKUP(D43,'Polymer BOM'!B$5:F$21,4,0)*E43</f>
        <v>13.206</v>
      </c>
      <c r="N43" s="1">
        <f>SUM(N39:N42)</f>
        <v>57520.067999999999</v>
      </c>
      <c r="P43" s="361">
        <f>SUM(P39:P42)</f>
        <v>58056.108680000005</v>
      </c>
      <c r="Q43" s="539">
        <f>P43/N43</f>
        <v>1.0093191941289084</v>
      </c>
      <c r="V43" s="567" t="s">
        <v>546</v>
      </c>
      <c r="W43" s="529">
        <f>S39</f>
        <v>0.52538209114752166</v>
      </c>
    </row>
    <row r="44" spans="2:23" ht="15" x14ac:dyDescent="0.25">
      <c r="B44" s="992" t="s">
        <v>15</v>
      </c>
      <c r="C44" s="993"/>
      <c r="D44" s="994" t="s">
        <v>15</v>
      </c>
      <c r="E44" s="469">
        <f>SUM(E39:E43)</f>
        <v>34400</v>
      </c>
      <c r="F44" s="478"/>
      <c r="G44" s="470">
        <f>SUM(G39:G43)</f>
        <v>734.92136910268266</v>
      </c>
      <c r="H44" s="471">
        <f>SUM(H39:H43)</f>
        <v>32043.199999999997</v>
      </c>
      <c r="I44" s="471">
        <f>SUM(I39:I43)</f>
        <v>2661.8</v>
      </c>
      <c r="J44" s="479">
        <f>SUM(J39:J43)</f>
        <v>44.817999999999998</v>
      </c>
      <c r="M44" s="361" t="s">
        <v>463</v>
      </c>
      <c r="N44" s="361">
        <f>K52</f>
        <v>4800</v>
      </c>
      <c r="O44" s="361">
        <f>VLOOKUP(M44,'Polymer BOM'!$B$5:$H$21,7,TRUE)</f>
        <v>1.274</v>
      </c>
      <c r="P44" s="361">
        <f>N44*O44</f>
        <v>6115.2</v>
      </c>
      <c r="R44" s="361">
        <f t="shared" si="1"/>
        <v>4.9525347010693388E-2</v>
      </c>
      <c r="V44" s="567" t="s">
        <v>545</v>
      </c>
      <c r="W44" s="361">
        <v>0.3</v>
      </c>
    </row>
    <row r="45" spans="2:23" ht="15" x14ac:dyDescent="0.25">
      <c r="C45" s="135"/>
      <c r="D45" s="135"/>
      <c r="E45" s="480"/>
      <c r="F45" s="472" t="s">
        <v>454</v>
      </c>
      <c r="G45" s="473">
        <f>I26*24-G44</f>
        <v>9.0786308973173391</v>
      </c>
      <c r="H45" s="987"/>
      <c r="I45" s="987"/>
      <c r="M45" s="361" t="s">
        <v>462</v>
      </c>
      <c r="N45" s="361">
        <f>K53</f>
        <v>4100</v>
      </c>
      <c r="O45" s="361">
        <f>VLOOKUP(M45,'Polymer BOM'!$B$5:$H$21,7,TRUE)</f>
        <v>1.0275000000000001</v>
      </c>
      <c r="P45" s="361">
        <f t="shared" ref="P45:P52" si="2">N45*O45</f>
        <v>4212.75</v>
      </c>
      <c r="R45" s="361">
        <f t="shared" si="1"/>
        <v>4.2302900571633939E-2</v>
      </c>
      <c r="V45" s="567" t="s">
        <v>543</v>
      </c>
      <c r="W45" s="361">
        <v>0.6</v>
      </c>
    </row>
    <row r="46" spans="2:23" ht="15" x14ac:dyDescent="0.25">
      <c r="M46" s="361" t="s">
        <v>468</v>
      </c>
      <c r="N46" s="361">
        <f>L63</f>
        <v>9800</v>
      </c>
      <c r="O46" s="361">
        <f>VLOOKUP(M46,'Polymer BOM'!$J$5:$Q$15,8,TRUE)</f>
        <v>1.0335000000000001</v>
      </c>
      <c r="P46" s="361">
        <f t="shared" si="2"/>
        <v>10128.300000000001</v>
      </c>
      <c r="R46" s="361">
        <f t="shared" si="1"/>
        <v>0.10111425014683234</v>
      </c>
      <c r="V46" s="567" t="s">
        <v>544</v>
      </c>
      <c r="W46" s="361">
        <v>0.1</v>
      </c>
    </row>
    <row r="47" spans="2:23" ht="16.5" customHeight="1" x14ac:dyDescent="0.25">
      <c r="B47" s="988" t="s">
        <v>459</v>
      </c>
      <c r="C47" s="988"/>
      <c r="M47" s="361" t="s">
        <v>466</v>
      </c>
      <c r="N47" s="361">
        <v>3200</v>
      </c>
      <c r="O47" s="361">
        <f>VLOOKUP(M47,'Polymer BOM'!$J$5:$Q$15,8,TRUE)</f>
        <v>1.0485</v>
      </c>
      <c r="P47" s="361">
        <f t="shared" si="2"/>
        <v>3355.2</v>
      </c>
      <c r="R47" s="361">
        <f t="shared" si="1"/>
        <v>3.3016898007128925E-2</v>
      </c>
      <c r="V47" s="567" t="s">
        <v>542</v>
      </c>
      <c r="W47" s="361">
        <v>0</v>
      </c>
    </row>
    <row r="48" spans="2:23" ht="30" x14ac:dyDescent="0.25">
      <c r="B48" s="463" t="s">
        <v>443</v>
      </c>
      <c r="C48" s="463" t="s">
        <v>444</v>
      </c>
      <c r="D48" s="449" t="s">
        <v>445</v>
      </c>
      <c r="E48" s="449" t="s">
        <v>446</v>
      </c>
      <c r="F48" s="448" t="s">
        <v>447</v>
      </c>
      <c r="G48" s="448" t="s">
        <v>448</v>
      </c>
      <c r="H48" s="464" t="s">
        <v>11</v>
      </c>
      <c r="I48" s="464" t="s">
        <v>439</v>
      </c>
      <c r="J48" s="474" t="s">
        <v>441</v>
      </c>
      <c r="M48" s="361" t="s">
        <v>469</v>
      </c>
      <c r="N48" s="361">
        <v>2200</v>
      </c>
      <c r="O48" s="361">
        <f>VLOOKUP(M48,'Polymer BOM'!$J$5:$Q$15,8,TRUE)</f>
        <v>1.0335000000000001</v>
      </c>
      <c r="P48" s="361">
        <f t="shared" si="2"/>
        <v>2273.7000000000003</v>
      </c>
      <c r="R48" s="361">
        <f t="shared" si="1"/>
        <v>2.2699117379901136E-2</v>
      </c>
    </row>
    <row r="49" spans="2:19" ht="16.5" customHeight="1" x14ac:dyDescent="0.25">
      <c r="B49" s="457">
        <v>1</v>
      </c>
      <c r="C49" s="395">
        <v>3</v>
      </c>
      <c r="D49" s="457" t="s">
        <v>460</v>
      </c>
      <c r="E49" s="457">
        <v>2200</v>
      </c>
      <c r="F49" s="475">
        <f>VLOOKUP(D49,'Polymer BOM'!B$5:F$21,5,0)</f>
        <v>48</v>
      </c>
      <c r="G49" s="468">
        <f t="shared" ref="G49:G55" si="3">E49/F49</f>
        <v>45.833333333333336</v>
      </c>
      <c r="H49" s="395">
        <f>VLOOKUP(D49,'Polymer BOM'!B$5:F$21,2,0)*E49</f>
        <v>2140.6</v>
      </c>
      <c r="I49" s="395">
        <f>VLOOKUP(D49,'Polymer BOM'!B$5:F$21,3,0)*E49</f>
        <v>68.42</v>
      </c>
      <c r="J49" s="476">
        <f>VLOOKUP(D49,'Polymer BOM'!B$5:F$21,4,0)*E49</f>
        <v>2.1339999999999999</v>
      </c>
      <c r="K49" s="361">
        <f>E49+E50</f>
        <v>4400</v>
      </c>
      <c r="M49" s="361" t="s">
        <v>470</v>
      </c>
      <c r="N49" s="361">
        <v>3300</v>
      </c>
      <c r="O49" s="361">
        <f>VLOOKUP(M49,'Polymer BOM'!$J$5:$Q$15,8,TRUE)</f>
        <v>1.0469999999999999</v>
      </c>
      <c r="P49" s="361">
        <f t="shared" si="2"/>
        <v>3455.1</v>
      </c>
      <c r="R49" s="361">
        <f t="shared" si="1"/>
        <v>3.4048676069851708E-2</v>
      </c>
    </row>
    <row r="50" spans="2:19" ht="16.5" customHeight="1" x14ac:dyDescent="0.25">
      <c r="B50" s="395">
        <f t="shared" ref="B50:B55" si="4">C49</f>
        <v>3</v>
      </c>
      <c r="C50" s="395">
        <v>5</v>
      </c>
      <c r="D50" s="457" t="s">
        <v>461</v>
      </c>
      <c r="E50" s="457">
        <v>2200</v>
      </c>
      <c r="F50" s="475">
        <f>VLOOKUP(D50,'Polymer BOM'!B$5:F$21,5,0)</f>
        <v>48</v>
      </c>
      <c r="G50" s="468">
        <f t="shared" si="3"/>
        <v>45.833333333333336</v>
      </c>
      <c r="H50" s="395">
        <f>VLOOKUP(D50,'Polymer BOM'!B$5:F$21,2,0)*E50</f>
        <v>2153.8000000000002</v>
      </c>
      <c r="I50" s="395">
        <f>VLOOKUP(D50,'Polymer BOM'!B$5:F$21,3,0)*E50</f>
        <v>75.900000000000006</v>
      </c>
      <c r="J50" s="476">
        <f>VLOOKUP(D50,'Polymer BOM'!B$5:F$21,4,0)*E50</f>
        <v>2.1339999999999999</v>
      </c>
      <c r="M50" s="361" t="s">
        <v>471</v>
      </c>
      <c r="N50" s="361">
        <v>3300</v>
      </c>
      <c r="O50" s="361">
        <f>VLOOKUP(M50,'Polymer BOM'!$J$5:$Q$15,8,TRUE)</f>
        <v>1.052</v>
      </c>
      <c r="P50" s="361">
        <f t="shared" si="2"/>
        <v>3471.6000000000004</v>
      </c>
      <c r="R50" s="361">
        <f t="shared" si="1"/>
        <v>3.4048676069851708E-2</v>
      </c>
    </row>
    <row r="51" spans="2:19" ht="15" x14ac:dyDescent="0.25">
      <c r="B51" s="395">
        <f t="shared" si="4"/>
        <v>5</v>
      </c>
      <c r="C51" s="395">
        <v>7</v>
      </c>
      <c r="D51" s="457" t="s">
        <v>462</v>
      </c>
      <c r="E51" s="457">
        <v>2100</v>
      </c>
      <c r="F51" s="475">
        <f>VLOOKUP(D51,'Polymer BOM'!B$5:F$21,5,0)</f>
        <v>38</v>
      </c>
      <c r="G51" s="468">
        <f t="shared" si="3"/>
        <v>55.263157894736842</v>
      </c>
      <c r="H51" s="395">
        <f>VLOOKUP(D51,'Polymer BOM'!B$5:F$21,2,0)*E51</f>
        <v>1976.73</v>
      </c>
      <c r="I51" s="395">
        <f>VLOOKUP(D51,'Polymer BOM'!B$5:F$21,3,0)*E51</f>
        <v>181.02</v>
      </c>
      <c r="J51" s="476">
        <f>VLOOKUP(D51,'Polymer BOM'!B$5:F$21,4,0)*E51</f>
        <v>5.5650000000000004</v>
      </c>
      <c r="M51" s="361" t="s">
        <v>472</v>
      </c>
      <c r="N51" s="361">
        <v>2200</v>
      </c>
      <c r="O51" s="361">
        <f>VLOOKUP(M51,'Polymer BOM'!$J$5:$Q$15,8,TRUE)</f>
        <v>1.0489999999999999</v>
      </c>
      <c r="P51" s="361">
        <f t="shared" si="2"/>
        <v>2307.7999999999997</v>
      </c>
      <c r="R51" s="361">
        <f t="shared" si="1"/>
        <v>2.2699117379901136E-2</v>
      </c>
    </row>
    <row r="52" spans="2:19" ht="16.5" customHeight="1" x14ac:dyDescent="0.25">
      <c r="B52" s="395">
        <f t="shared" si="4"/>
        <v>7</v>
      </c>
      <c r="C52" s="395">
        <v>12</v>
      </c>
      <c r="D52" s="457" t="s">
        <v>463</v>
      </c>
      <c r="E52" s="457">
        <v>4800</v>
      </c>
      <c r="F52" s="475">
        <f>VLOOKUP(D52,'Polymer BOM'!B$5:F$21,5,0)</f>
        <v>35</v>
      </c>
      <c r="G52" s="468">
        <f t="shared" si="3"/>
        <v>137.14285714285714</v>
      </c>
      <c r="H52" s="395">
        <f>VLOOKUP(D52,'Polymer BOM'!B$5:F$21,2,0)*E52</f>
        <v>5601.6</v>
      </c>
      <c r="I52" s="395">
        <f>VLOOKUP(D52,'Polymer BOM'!B$5:F$21,3,0)*E52</f>
        <v>513.6</v>
      </c>
      <c r="J52" s="476">
        <f>VLOOKUP(D52,'Polymer BOM'!B$5:F$21,4,0)*E52</f>
        <v>11.760000000000002</v>
      </c>
      <c r="K52" s="361">
        <f>E52</f>
        <v>4800</v>
      </c>
      <c r="M52" s="361" t="s">
        <v>473</v>
      </c>
      <c r="N52" s="361">
        <v>6500</v>
      </c>
      <c r="O52" s="361">
        <f>VLOOKUP(M52,'Polymer BOM'!$J$5:$Q$15,8,TRUE)</f>
        <v>1.0489999999999999</v>
      </c>
      <c r="P52" s="361">
        <f t="shared" si="2"/>
        <v>6818.5</v>
      </c>
      <c r="R52" s="361">
        <f t="shared" si="1"/>
        <v>6.7065574076980633E-2</v>
      </c>
    </row>
    <row r="53" spans="2:19" ht="16.5" customHeight="1" x14ac:dyDescent="0.25">
      <c r="B53" s="395">
        <f t="shared" si="4"/>
        <v>12</v>
      </c>
      <c r="C53" s="395">
        <v>14</v>
      </c>
      <c r="D53" s="457" t="s">
        <v>462</v>
      </c>
      <c r="E53" s="457">
        <v>2000</v>
      </c>
      <c r="F53" s="475">
        <f>VLOOKUP(D53,'Polymer BOM'!B$5:F$21,5,0)</f>
        <v>38</v>
      </c>
      <c r="G53" s="468">
        <f t="shared" si="3"/>
        <v>52.631578947368418</v>
      </c>
      <c r="H53" s="395">
        <f>VLOOKUP(D53,'Polymer BOM'!B$5:F$21,2,0)*E53</f>
        <v>1882.6000000000001</v>
      </c>
      <c r="I53" s="395">
        <f>VLOOKUP(D53,'Polymer BOM'!B$5:F$21,3,0)*E53</f>
        <v>172.4</v>
      </c>
      <c r="J53" s="476">
        <f>VLOOKUP(D53,'Polymer BOM'!B$5:F$21,4,0)*E53</f>
        <v>5.3</v>
      </c>
      <c r="K53" s="361">
        <f>E53+E51</f>
        <v>4100</v>
      </c>
      <c r="N53" s="361">
        <f>SUM(N44:N52)</f>
        <v>39400</v>
      </c>
      <c r="P53" s="361">
        <f>SUM(P44:P52)</f>
        <v>42138.15</v>
      </c>
      <c r="Q53" s="538">
        <f>P53/N53</f>
        <v>1.069496192893401</v>
      </c>
    </row>
    <row r="54" spans="2:19" ht="16.5" customHeight="1" x14ac:dyDescent="0.25">
      <c r="B54" s="395">
        <f t="shared" si="4"/>
        <v>14</v>
      </c>
      <c r="C54" s="395">
        <v>16</v>
      </c>
      <c r="D54" s="457" t="s">
        <v>464</v>
      </c>
      <c r="E54" s="457">
        <v>2200</v>
      </c>
      <c r="F54" s="475">
        <f>VLOOKUP(D54,'Polymer BOM'!B$5:F$21,5,0)</f>
        <v>45</v>
      </c>
      <c r="G54" s="468">
        <f t="shared" si="3"/>
        <v>48.888888888888886</v>
      </c>
      <c r="H54" s="395">
        <f>VLOOKUP(D54,'Polymer BOM'!B$5:F$21,2,0)*E54</f>
        <v>2048.2000000000003</v>
      </c>
      <c r="I54" s="395">
        <f>VLOOKUP(D54,'Polymer BOM'!B$5:F$21,3,0)*E54</f>
        <v>160.6</v>
      </c>
      <c r="J54" s="476">
        <f>VLOOKUP(D54,'Polymer BOM'!B$5:F$21,4,0)*E54</f>
        <v>5.3900000000000006</v>
      </c>
      <c r="K54" s="361">
        <f>E54</f>
        <v>2200</v>
      </c>
    </row>
    <row r="55" spans="2:19" ht="15" x14ac:dyDescent="0.25">
      <c r="B55" s="395">
        <f t="shared" si="4"/>
        <v>16</v>
      </c>
      <c r="C55" s="395">
        <v>31</v>
      </c>
      <c r="D55" s="457" t="s">
        <v>456</v>
      </c>
      <c r="E55" s="139">
        <v>16500</v>
      </c>
      <c r="F55" s="475">
        <f>VLOOKUP(D55,'Polymer BOM'!B$5:F$21,5,0)</f>
        <v>47</v>
      </c>
      <c r="G55" s="468">
        <f t="shared" si="3"/>
        <v>351.06382978723406</v>
      </c>
      <c r="H55" s="395">
        <f>VLOOKUP(D55,'Polymer BOM'!B$5:F$21,2,0)*E55</f>
        <v>15394.5</v>
      </c>
      <c r="I55" s="395">
        <f>VLOOKUP(D55,'Polymer BOM'!B$5:F$21,3,0)*E55</f>
        <v>1270.5</v>
      </c>
      <c r="J55" s="476">
        <f>VLOOKUP(D55,'Polymer BOM'!B$5:F$21,4,0)*E55</f>
        <v>23.43</v>
      </c>
      <c r="K55" s="454">
        <f>E5+E43+E41+E39+E55</f>
        <v>39720.067999999999</v>
      </c>
    </row>
    <row r="56" spans="2:19" ht="15" x14ac:dyDescent="0.25">
      <c r="B56" s="992" t="s">
        <v>15</v>
      </c>
      <c r="C56" s="993"/>
      <c r="D56" s="994" t="s">
        <v>15</v>
      </c>
      <c r="E56" s="469">
        <f>SUM(E49:E55)</f>
        <v>32000</v>
      </c>
      <c r="F56" s="471"/>
      <c r="G56" s="470">
        <f>SUM(G49:G55)</f>
        <v>736.65697932775197</v>
      </c>
      <c r="H56" s="471">
        <f>SUM(H49:H55)</f>
        <v>31198.03</v>
      </c>
      <c r="I56" s="471">
        <f>SUM(I49:I55)</f>
        <v>2442.44</v>
      </c>
      <c r="J56" s="479">
        <f>SUM(J49:J55)</f>
        <v>55.713000000000001</v>
      </c>
    </row>
    <row r="57" spans="2:19" ht="15" x14ac:dyDescent="0.25">
      <c r="C57" s="135"/>
      <c r="D57" s="135"/>
      <c r="E57" s="135"/>
      <c r="F57" s="472" t="s">
        <v>454</v>
      </c>
      <c r="G57" s="473">
        <f>I26*24-G56</f>
        <v>7.3430206722480307</v>
      </c>
      <c r="H57" s="481"/>
      <c r="J57" s="479">
        <f>J44+J56</f>
        <v>100.53100000000001</v>
      </c>
      <c r="K57" s="474"/>
    </row>
    <row r="58" spans="2:19" ht="16.5" customHeight="1" x14ac:dyDescent="0.25">
      <c r="J58" s="476"/>
      <c r="K58" s="482"/>
    </row>
    <row r="59" spans="2:19" ht="16.5" customHeight="1" x14ac:dyDescent="0.25">
      <c r="B59" s="988" t="s">
        <v>465</v>
      </c>
      <c r="C59" s="988"/>
      <c r="J59" s="476"/>
      <c r="K59" s="482"/>
    </row>
    <row r="60" spans="2:19" ht="30" x14ac:dyDescent="0.25">
      <c r="B60" s="463" t="s">
        <v>443</v>
      </c>
      <c r="C60" s="463" t="s">
        <v>444</v>
      </c>
      <c r="D60" s="449" t="s">
        <v>445</v>
      </c>
      <c r="E60" s="449" t="s">
        <v>446</v>
      </c>
      <c r="F60" s="448" t="s">
        <v>447</v>
      </c>
      <c r="G60" s="448" t="s">
        <v>448</v>
      </c>
      <c r="H60" s="464" t="s">
        <v>11</v>
      </c>
      <c r="I60" s="464" t="s">
        <v>439</v>
      </c>
      <c r="K60" s="474" t="s">
        <v>440</v>
      </c>
    </row>
    <row r="61" spans="2:19" ht="16.5" customHeight="1" x14ac:dyDescent="0.25">
      <c r="B61" s="457">
        <v>1</v>
      </c>
      <c r="C61" s="395">
        <v>3</v>
      </c>
      <c r="D61" s="457" t="s">
        <v>466</v>
      </c>
      <c r="E61" s="483">
        <v>3200</v>
      </c>
      <c r="F61" s="484">
        <f>VLOOKUP(D61,'Polymer BOM'!J$5:O$15,6,0)</f>
        <v>44.5</v>
      </c>
      <c r="G61" s="468">
        <f t="shared" ref="G61:G67" si="5">E61/F61</f>
        <v>71.910112359550567</v>
      </c>
      <c r="H61" s="395">
        <f>VLOOKUP(D61,'Polymer BOM'!J$5:O$15,2,0)*E61</f>
        <v>3321.6</v>
      </c>
      <c r="I61" s="395">
        <f>VLOOKUP(D61,'Polymer BOM'!J$5:O$15,3,0)*E61</f>
        <v>33.6</v>
      </c>
      <c r="K61" s="474">
        <f>VLOOKUP(D61,'Polymer BOM'!J$5:O$15,5,0)*E61</f>
        <v>28.799999999999997</v>
      </c>
      <c r="N61" s="361">
        <f>E61/$E$70</f>
        <v>0.10491803278688525</v>
      </c>
      <c r="O61" s="361" t="str">
        <f>D61</f>
        <v>F52H04</v>
      </c>
      <c r="Q61" s="361">
        <f>N61</f>
        <v>0.10491803278688525</v>
      </c>
      <c r="R61" s="361">
        <f>Q61*340</f>
        <v>35.672131147540981</v>
      </c>
      <c r="S61" s="361" t="s">
        <v>564</v>
      </c>
    </row>
    <row r="62" spans="2:19" ht="15" x14ac:dyDescent="0.25">
      <c r="B62" s="395">
        <v>4</v>
      </c>
      <c r="C62" s="395">
        <v>5</v>
      </c>
      <c r="D62" s="457" t="s">
        <v>467</v>
      </c>
      <c r="E62" s="483">
        <v>0</v>
      </c>
      <c r="F62" s="484">
        <f>VLOOKUP(D62,'Polymer BOM'!J$5:O$15,6,0)</f>
        <v>0</v>
      </c>
      <c r="G62" s="485">
        <f>2*24</f>
        <v>48</v>
      </c>
      <c r="H62" s="395">
        <f>VLOOKUP(D62,'Polymer BOM'!J$5:O$15,2,0)*E62</f>
        <v>0</v>
      </c>
      <c r="I62" s="395">
        <f>VLOOKUP(D62,'Polymer BOM'!J$5:O$15,3,0)*E62</f>
        <v>0</v>
      </c>
      <c r="K62" s="474">
        <f>VLOOKUP(D62,'Polymer BOM'!J$5:O$15,5,0)*E62</f>
        <v>0</v>
      </c>
      <c r="N62" s="361">
        <f t="shared" ref="N62:N69" si="6">E62/$E$70</f>
        <v>0</v>
      </c>
      <c r="O62" s="361" t="str">
        <f t="shared" ref="O62:O69" si="7">D62</f>
        <v>S/D</v>
      </c>
    </row>
    <row r="63" spans="2:19" ht="16.5" customHeight="1" x14ac:dyDescent="0.25">
      <c r="B63" s="395">
        <v>6</v>
      </c>
      <c r="C63" s="395">
        <v>12</v>
      </c>
      <c r="D63" s="457" t="s">
        <v>468</v>
      </c>
      <c r="E63" s="483">
        <v>6500</v>
      </c>
      <c r="F63" s="484">
        <f>VLOOKUP(D63,'Polymer BOM'!J$5:O$15,6,0)</f>
        <v>44.5</v>
      </c>
      <c r="G63" s="468">
        <f t="shared" si="5"/>
        <v>146.06741573033707</v>
      </c>
      <c r="H63" s="395">
        <f>VLOOKUP(D63,'Polymer BOM'!J$5:O$15,2,0)*E63</f>
        <v>6669</v>
      </c>
      <c r="I63" s="395">
        <f>VLOOKUP(D63,'Polymer BOM'!J$5:O$15,3,0)*E63</f>
        <v>48.75</v>
      </c>
      <c r="K63" s="474">
        <f>VLOOKUP(D63,'Polymer BOM'!J$5:O$15,5,0)*E63</f>
        <v>58.499999999999993</v>
      </c>
      <c r="L63" s="361">
        <f>E63+E69</f>
        <v>9800</v>
      </c>
      <c r="N63" s="361">
        <f t="shared" si="6"/>
        <v>0.21311475409836064</v>
      </c>
      <c r="O63" s="361" t="str">
        <f t="shared" si="7"/>
        <v>B55H02</v>
      </c>
      <c r="P63" s="361">
        <f>N63+N69</f>
        <v>0.32131147540983607</v>
      </c>
    </row>
    <row r="64" spans="2:19" ht="16.5" customHeight="1" x14ac:dyDescent="0.25">
      <c r="B64" s="395">
        <v>13</v>
      </c>
      <c r="C64" s="395">
        <v>14</v>
      </c>
      <c r="D64" s="457" t="s">
        <v>469</v>
      </c>
      <c r="E64" s="483">
        <v>2200</v>
      </c>
      <c r="F64" s="484">
        <f>VLOOKUP(D64,'Polymer BOM'!J$5:O$15,6,0)</f>
        <v>44.5</v>
      </c>
      <c r="G64" s="468">
        <f t="shared" si="5"/>
        <v>49.438202247191015</v>
      </c>
      <c r="H64" s="395">
        <f>VLOOKUP(D64,'Polymer BOM'!J$5:O$15,2,0)*E64</f>
        <v>2257.2000000000003</v>
      </c>
      <c r="I64" s="395">
        <f>VLOOKUP(D64,'Polymer BOM'!J$5:O$15,3,0)*E64</f>
        <v>16.5</v>
      </c>
      <c r="K64" s="474">
        <f>VLOOKUP(D64,'Polymer BOM'!J$5:O$15,5,0)*E64</f>
        <v>19.799999999999997</v>
      </c>
      <c r="N64" s="361">
        <f t="shared" si="6"/>
        <v>7.2131147540983612E-2</v>
      </c>
      <c r="O64" s="361" t="str">
        <f t="shared" si="7"/>
        <v>B55H03</v>
      </c>
    </row>
    <row r="65" spans="2:19" ht="15" x14ac:dyDescent="0.25">
      <c r="B65" s="395">
        <v>15</v>
      </c>
      <c r="C65" s="395">
        <v>17</v>
      </c>
      <c r="D65" s="457" t="s">
        <v>470</v>
      </c>
      <c r="E65" s="483">
        <v>3300</v>
      </c>
      <c r="F65" s="484">
        <f>VLOOKUP(D65,'Polymer BOM'!J$5:O$15,6,0)</f>
        <v>44.5</v>
      </c>
      <c r="G65" s="468">
        <f t="shared" si="5"/>
        <v>74.157303370786522</v>
      </c>
      <c r="H65" s="395">
        <f>VLOOKUP(D65,'Polymer BOM'!J$5:O$15,2,0)*E65</f>
        <v>3392.4</v>
      </c>
      <c r="I65" s="395">
        <f>VLOOKUP(D65,'Polymer BOM'!J$5:O$15,3,0)*E65</f>
        <v>62.699999999999996</v>
      </c>
      <c r="K65" s="474">
        <f>VLOOKUP(D65,'Polymer BOM'!J$5:O$15,5,0)*E65</f>
        <v>29.7</v>
      </c>
      <c r="N65" s="361">
        <f t="shared" si="6"/>
        <v>0.10819672131147541</v>
      </c>
      <c r="O65" s="361" t="str">
        <f t="shared" si="7"/>
        <v>B5004</v>
      </c>
      <c r="Q65" s="361">
        <f>P63+N64+N65</f>
        <v>0.50163934426229506</v>
      </c>
      <c r="R65" s="361">
        <f>Q65*340</f>
        <v>170.55737704918033</v>
      </c>
      <c r="S65" s="361" t="s">
        <v>565</v>
      </c>
    </row>
    <row r="66" spans="2:19" ht="16.5" customHeight="1" x14ac:dyDescent="0.25">
      <c r="B66" s="395">
        <v>18</v>
      </c>
      <c r="C66" s="395">
        <v>20</v>
      </c>
      <c r="D66" s="457" t="s">
        <v>471</v>
      </c>
      <c r="E66" s="483">
        <v>3300</v>
      </c>
      <c r="F66" s="484">
        <f>VLOOKUP(D66,'Polymer BOM'!J$5:O$15,6,0)</f>
        <v>44.5</v>
      </c>
      <c r="G66" s="468">
        <f t="shared" si="5"/>
        <v>74.157303370786522</v>
      </c>
      <c r="H66" s="395">
        <f>VLOOKUP(D66,'Polymer BOM'!J$5:O$15,2,0)*E66</f>
        <v>3425.4</v>
      </c>
      <c r="I66" s="395">
        <f>VLOOKUP(D66,'Polymer BOM'!J$5:O$15,3,0)*E66</f>
        <v>46.2</v>
      </c>
      <c r="K66" s="474">
        <f>VLOOKUP(D65,'Polymer BOM'!J$5:O$15,5,0)*E65</f>
        <v>29.7</v>
      </c>
      <c r="N66" s="361">
        <f t="shared" si="6"/>
        <v>0.10819672131147541</v>
      </c>
      <c r="O66" s="361" t="str">
        <f t="shared" si="7"/>
        <v>P5002</v>
      </c>
    </row>
    <row r="67" spans="2:19" ht="16.5" customHeight="1" x14ac:dyDescent="0.25">
      <c r="B67" s="405">
        <v>21</v>
      </c>
      <c r="C67" s="405">
        <v>22</v>
      </c>
      <c r="D67" s="139" t="s">
        <v>472</v>
      </c>
      <c r="E67" s="139">
        <v>2200</v>
      </c>
      <c r="F67" s="486">
        <f>VLOOKUP(D67,'Polymer BOM'!J$5:O$15,6,0)</f>
        <v>44.5</v>
      </c>
      <c r="G67" s="468">
        <f t="shared" si="5"/>
        <v>49.438202247191015</v>
      </c>
      <c r="H67" s="405">
        <f>VLOOKUP(D67,'Polymer BOM'!J$5:O$15,2,0)*E67</f>
        <v>2283.6</v>
      </c>
      <c r="I67" s="405">
        <f>VLOOKUP(D67,'Polymer BOM'!J$5:O$15,3,0)*E67</f>
        <v>24.2</v>
      </c>
      <c r="K67" s="474">
        <f>VLOOKUP(D66,'Polymer BOM'!J$5:O$15,5,0)*E66</f>
        <v>29.7</v>
      </c>
      <c r="N67" s="361">
        <f t="shared" si="6"/>
        <v>7.2131147540983612E-2</v>
      </c>
      <c r="O67" s="361" t="str">
        <f t="shared" si="7"/>
        <v>P51H10</v>
      </c>
      <c r="Q67" s="361">
        <f>N67+N68</f>
        <v>0.28524590163934427</v>
      </c>
      <c r="R67" s="361">
        <f>340*Q67</f>
        <v>96.983606557377044</v>
      </c>
      <c r="S67" s="361" t="s">
        <v>566</v>
      </c>
    </row>
    <row r="68" spans="2:19" ht="15" x14ac:dyDescent="0.25">
      <c r="B68" s="395">
        <v>23</v>
      </c>
      <c r="C68" s="395">
        <v>28</v>
      </c>
      <c r="D68" s="457" t="s">
        <v>473</v>
      </c>
      <c r="E68" s="483">
        <v>6500</v>
      </c>
      <c r="F68" s="484">
        <f>VLOOKUP(D68,'Polymer BOM'!J$5:O$15,6,0)</f>
        <v>44.5</v>
      </c>
      <c r="G68" s="468">
        <f>E68/F68</f>
        <v>146.06741573033707</v>
      </c>
      <c r="H68" s="395">
        <f>VLOOKUP(D68,'Polymer BOM'!J$5:O$15,2,0)*E68</f>
        <v>6747</v>
      </c>
      <c r="I68" s="395">
        <f>VLOOKUP(D68,'Polymer BOM'!J$5:O$15,3,0)*E68</f>
        <v>71.5</v>
      </c>
      <c r="K68" s="474">
        <f>VLOOKUP(D65,'Polymer BOM'!J$5:O$15,5,0)*E65</f>
        <v>29.7</v>
      </c>
      <c r="N68" s="361">
        <f t="shared" si="6"/>
        <v>0.21311475409836064</v>
      </c>
      <c r="O68" s="361" t="str">
        <f t="shared" si="7"/>
        <v>P50H03</v>
      </c>
    </row>
    <row r="69" spans="2:19" ht="16.5" customHeight="1" x14ac:dyDescent="0.25">
      <c r="B69" s="395">
        <v>29</v>
      </c>
      <c r="C69" s="395">
        <v>31</v>
      </c>
      <c r="D69" s="457" t="s">
        <v>468</v>
      </c>
      <c r="E69" s="483">
        <v>3300</v>
      </c>
      <c r="F69" s="484">
        <f>VLOOKUP(D69,'Polymer BOM'!J$5:O$15,6,0)</f>
        <v>44.5</v>
      </c>
      <c r="G69" s="468">
        <f>E69/F69</f>
        <v>74.157303370786522</v>
      </c>
      <c r="H69" s="395">
        <f>VLOOKUP(D69,'Polymer BOM'!J$5:O$15,2,0)*E69</f>
        <v>3385.8</v>
      </c>
      <c r="I69" s="395">
        <f>VLOOKUP(D69,'Polymer BOM'!J$5:O$15,3,0)*E69</f>
        <v>24.75</v>
      </c>
      <c r="K69" s="474">
        <f>VLOOKUP(D66,'Polymer BOM'!J$5:O$15,5,0)*E66</f>
        <v>29.7</v>
      </c>
      <c r="M69" s="369"/>
      <c r="N69" s="361">
        <f t="shared" si="6"/>
        <v>0.10819672131147541</v>
      </c>
      <c r="O69" s="361" t="str">
        <f t="shared" si="7"/>
        <v>B55H02</v>
      </c>
    </row>
    <row r="70" spans="2:19" ht="16.5" customHeight="1" x14ac:dyDescent="0.25">
      <c r="B70" s="992" t="s">
        <v>15</v>
      </c>
      <c r="C70" s="993"/>
      <c r="D70" s="994"/>
      <c r="E70" s="487">
        <f>SUM(E61:E69)</f>
        <v>30500</v>
      </c>
      <c r="F70" s="487"/>
      <c r="G70" s="470">
        <f>SUM(G61:G69)</f>
        <v>733.39325842696633</v>
      </c>
      <c r="H70" s="471">
        <f>SUM(H61:H69)</f>
        <v>31482</v>
      </c>
      <c r="I70" s="471">
        <f>SUM(I61:I69)</f>
        <v>328.2</v>
      </c>
      <c r="K70" s="459">
        <f>SUM(K61:K69)</f>
        <v>255.59999999999994</v>
      </c>
      <c r="M70" s="369"/>
      <c r="N70" s="369"/>
    </row>
    <row r="71" spans="2:19" ht="16.5" customHeight="1" x14ac:dyDescent="0.25">
      <c r="C71" s="135"/>
      <c r="D71" s="135"/>
      <c r="E71" s="135"/>
      <c r="F71" s="472" t="s">
        <v>454</v>
      </c>
      <c r="G71" s="473">
        <f>I26*24-G70</f>
        <v>10.606741573033673</v>
      </c>
      <c r="H71" s="462"/>
      <c r="K71" s="474"/>
      <c r="M71" s="369"/>
      <c r="N71" s="369"/>
    </row>
    <row r="72" spans="2:19" s="369" customFormat="1" ht="16.5" customHeight="1" x14ac:dyDescent="0.25">
      <c r="B72" s="361"/>
      <c r="C72" s="361"/>
      <c r="D72" s="361"/>
      <c r="E72" s="361"/>
      <c r="F72" s="361"/>
      <c r="G72" s="361"/>
      <c r="H72" s="361"/>
      <c r="I72" s="361"/>
      <c r="K72" s="361"/>
    </row>
    <row r="73" spans="2:19" s="369" customFormat="1" ht="16.5" customHeight="1" x14ac:dyDescent="0.25">
      <c r="B73" s="988" t="s">
        <v>439</v>
      </c>
      <c r="C73" s="988"/>
      <c r="D73" s="361"/>
      <c r="E73" s="361"/>
      <c r="F73" s="361"/>
      <c r="G73" s="361"/>
      <c r="H73" s="361"/>
      <c r="I73" s="361"/>
      <c r="K73" s="361"/>
    </row>
    <row r="74" spans="2:19" s="369" customFormat="1" ht="30" x14ac:dyDescent="0.25">
      <c r="B74" s="463" t="s">
        <v>443</v>
      </c>
      <c r="C74" s="463" t="s">
        <v>444</v>
      </c>
      <c r="D74" s="449" t="s">
        <v>445</v>
      </c>
      <c r="E74" s="449" t="s">
        <v>446</v>
      </c>
      <c r="F74" s="448" t="s">
        <v>447</v>
      </c>
      <c r="G74" s="448" t="s">
        <v>448</v>
      </c>
      <c r="H74" s="449" t="s">
        <v>474</v>
      </c>
      <c r="I74" s="449" t="s">
        <v>11</v>
      </c>
      <c r="K74" s="361"/>
    </row>
    <row r="75" spans="2:19" s="369" customFormat="1" ht="16.5" customHeight="1" x14ac:dyDescent="0.25">
      <c r="B75" s="457">
        <v>1</v>
      </c>
      <c r="C75" s="457">
        <f>I26</f>
        <v>31</v>
      </c>
      <c r="D75" s="457" t="s">
        <v>439</v>
      </c>
      <c r="E75" s="395">
        <f>F75*H75</f>
        <v>4166.3999999999996</v>
      </c>
      <c r="F75" s="488">
        <v>5.6</v>
      </c>
      <c r="G75" s="468">
        <f>I26*24</f>
        <v>744</v>
      </c>
      <c r="H75" s="395">
        <f>G75</f>
        <v>744</v>
      </c>
      <c r="I75" s="471">
        <f>E75*1.11</f>
        <v>4624.7039999999997</v>
      </c>
      <c r="K75" s="361"/>
    </row>
    <row r="76" spans="2:19" s="369" customFormat="1" ht="15" x14ac:dyDescent="0.25">
      <c r="B76" s="992" t="s">
        <v>15</v>
      </c>
      <c r="C76" s="993"/>
      <c r="D76" s="994"/>
      <c r="E76" s="487">
        <f>SUM(E75:E75)</f>
        <v>4166.3999999999996</v>
      </c>
      <c r="F76" s="487"/>
      <c r="G76" s="471">
        <f>SUM(G75:G75)</f>
        <v>744</v>
      </c>
      <c r="H76" s="471">
        <f>SUM(H75:H75)</f>
        <v>744</v>
      </c>
      <c r="I76" s="471">
        <f>SUM(I75:I75)</f>
        <v>4624.7039999999997</v>
      </c>
      <c r="K76" s="361"/>
    </row>
    <row r="77" spans="2:19" s="369" customFormat="1" ht="16.5" customHeight="1" x14ac:dyDescent="0.25">
      <c r="D77" s="489"/>
      <c r="E77" s="490"/>
      <c r="F77" s="491"/>
      <c r="G77" s="492"/>
      <c r="K77" s="361"/>
    </row>
    <row r="78" spans="2:19" s="369" customFormat="1" ht="16.5" customHeight="1" x14ac:dyDescent="0.25">
      <c r="B78" s="988" t="s">
        <v>475</v>
      </c>
      <c r="C78" s="988"/>
      <c r="D78" s="988"/>
      <c r="E78" s="361"/>
      <c r="F78" s="361"/>
      <c r="G78" s="361"/>
      <c r="H78" s="361"/>
      <c r="I78" s="361"/>
      <c r="K78" s="361"/>
    </row>
    <row r="79" spans="2:19" s="369" customFormat="1" ht="16.5" customHeight="1" x14ac:dyDescent="0.25">
      <c r="B79" s="995" t="s">
        <v>476</v>
      </c>
      <c r="C79" s="995"/>
      <c r="D79" s="995"/>
      <c r="E79" s="493" t="s">
        <v>117</v>
      </c>
      <c r="F79" s="494" t="s">
        <v>179</v>
      </c>
      <c r="G79" s="494" t="s">
        <v>477</v>
      </c>
      <c r="H79" s="494" t="s">
        <v>119</v>
      </c>
      <c r="I79" s="494" t="s">
        <v>478</v>
      </c>
    </row>
    <row r="80" spans="2:19" s="369" customFormat="1" ht="15" x14ac:dyDescent="0.25">
      <c r="B80" s="995"/>
      <c r="C80" s="995"/>
      <c r="D80" s="995"/>
      <c r="E80" s="495" t="s">
        <v>479</v>
      </c>
      <c r="F80" s="495" t="s">
        <v>479</v>
      </c>
      <c r="G80" s="495" t="s">
        <v>479</v>
      </c>
      <c r="H80" s="495" t="s">
        <v>479</v>
      </c>
      <c r="I80" s="495" t="s">
        <v>479</v>
      </c>
    </row>
    <row r="81" spans="2:14" s="369" customFormat="1" ht="16.5" customHeight="1" x14ac:dyDescent="0.25">
      <c r="B81" s="996" t="s">
        <v>480</v>
      </c>
      <c r="C81" s="996"/>
      <c r="D81" s="996"/>
      <c r="E81" s="496">
        <v>507</v>
      </c>
      <c r="F81" s="496">
        <v>932</v>
      </c>
      <c r="G81" s="496">
        <v>1019</v>
      </c>
      <c r="H81" s="496">
        <v>530</v>
      </c>
      <c r="I81" s="496">
        <v>988</v>
      </c>
      <c r="M81" s="361"/>
      <c r="N81" s="361"/>
    </row>
    <row r="82" spans="2:14" s="369" customFormat="1" ht="16.5" customHeight="1" x14ac:dyDescent="0.25">
      <c r="B82" s="997" t="s">
        <v>418</v>
      </c>
      <c r="C82" s="997"/>
      <c r="D82" s="997"/>
      <c r="E82" s="497">
        <v>9731</v>
      </c>
      <c r="F82" s="497">
        <v>11491</v>
      </c>
      <c r="G82" s="497">
        <v>12312</v>
      </c>
      <c r="H82" s="497">
        <v>5496</v>
      </c>
      <c r="I82" s="497">
        <v>3780</v>
      </c>
      <c r="K82" s="361"/>
      <c r="M82" s="361"/>
      <c r="N82" s="361"/>
    </row>
    <row r="83" spans="2:14" s="369" customFormat="1" ht="16.5" customHeight="1" x14ac:dyDescent="0.25">
      <c r="B83" s="991" t="s">
        <v>481</v>
      </c>
      <c r="C83" s="991"/>
      <c r="D83" s="991"/>
      <c r="E83" s="496">
        <v>3460</v>
      </c>
      <c r="F83" s="496">
        <v>10900</v>
      </c>
      <c r="G83" s="496">
        <v>2000</v>
      </c>
      <c r="H83" s="496">
        <v>4325</v>
      </c>
      <c r="I83" s="496">
        <v>4000</v>
      </c>
      <c r="K83" s="361"/>
      <c r="M83" s="361"/>
      <c r="N83" s="361"/>
    </row>
    <row r="84" spans="2:14" ht="16.5" customHeight="1" x14ac:dyDescent="0.25">
      <c r="B84" s="991" t="s">
        <v>482</v>
      </c>
      <c r="C84" s="991"/>
      <c r="D84" s="991"/>
      <c r="E84" s="496">
        <v>6000</v>
      </c>
      <c r="F84" s="496"/>
      <c r="G84" s="496">
        <v>10000</v>
      </c>
      <c r="H84" s="496"/>
      <c r="I84" s="496"/>
    </row>
    <row r="85" spans="2:14" ht="16.5" customHeight="1" x14ac:dyDescent="0.25">
      <c r="B85" s="998" t="s">
        <v>483</v>
      </c>
      <c r="C85" s="998"/>
      <c r="D85" s="998"/>
      <c r="E85" s="497">
        <f>E83+E84</f>
        <v>9460</v>
      </c>
      <c r="F85" s="497">
        <f>F83+F84</f>
        <v>10900</v>
      </c>
      <c r="G85" s="497">
        <f>G83+G84</f>
        <v>12000</v>
      </c>
      <c r="H85" s="497">
        <f>H83+H84</f>
        <v>4325</v>
      </c>
      <c r="I85" s="497">
        <f>I83+I84</f>
        <v>4000</v>
      </c>
    </row>
    <row r="86" spans="2:14" ht="16.5" customHeight="1" x14ac:dyDescent="0.25">
      <c r="B86" s="991" t="s">
        <v>420</v>
      </c>
      <c r="C86" s="991"/>
      <c r="D86" s="991"/>
      <c r="E86" s="496">
        <f>E81+E82-E85</f>
        <v>778</v>
      </c>
      <c r="F86" s="496">
        <f>F81+F82-F85</f>
        <v>1523</v>
      </c>
      <c r="G86" s="496">
        <f>G81+G82-G85</f>
        <v>1331</v>
      </c>
      <c r="H86" s="496">
        <f>H81+H82-H85</f>
        <v>1701</v>
      </c>
      <c r="I86" s="496">
        <f>I81+I82-I85</f>
        <v>768</v>
      </c>
    </row>
  </sheetData>
  <mergeCells count="48">
    <mergeCell ref="S39:S40"/>
    <mergeCell ref="B83:D83"/>
    <mergeCell ref="B70:D70"/>
    <mergeCell ref="B84:D84"/>
    <mergeCell ref="B85:D85"/>
    <mergeCell ref="B44:D44"/>
    <mergeCell ref="H45:I45"/>
    <mergeCell ref="B47:C47"/>
    <mergeCell ref="B56:D56"/>
    <mergeCell ref="B59:C59"/>
    <mergeCell ref="B86:D86"/>
    <mergeCell ref="B73:C73"/>
    <mergeCell ref="B76:D76"/>
    <mergeCell ref="B78:D78"/>
    <mergeCell ref="B79:D80"/>
    <mergeCell ref="B81:D81"/>
    <mergeCell ref="B82:D82"/>
    <mergeCell ref="H35:I35"/>
    <mergeCell ref="B37:C37"/>
    <mergeCell ref="B17:D17"/>
    <mergeCell ref="B19:C19"/>
    <mergeCell ref="B20:C20"/>
    <mergeCell ref="B21:C21"/>
    <mergeCell ref="B22:C22"/>
    <mergeCell ref="B23:C23"/>
    <mergeCell ref="B24:C24"/>
    <mergeCell ref="B25:C25"/>
    <mergeCell ref="B26:C26"/>
    <mergeCell ref="B34:D34"/>
    <mergeCell ref="B16:D16"/>
    <mergeCell ref="B6:D6"/>
    <mergeCell ref="H6:I6"/>
    <mergeCell ref="B7:D7"/>
    <mergeCell ref="H7:I7"/>
    <mergeCell ref="B8:D8"/>
    <mergeCell ref="H8:I8"/>
    <mergeCell ref="B10:I10"/>
    <mergeCell ref="B11:D12"/>
    <mergeCell ref="B13:D13"/>
    <mergeCell ref="B14:D14"/>
    <mergeCell ref="B15:D15"/>
    <mergeCell ref="B5:D5"/>
    <mergeCell ref="H5:I5"/>
    <mergeCell ref="B2:I2"/>
    <mergeCell ref="B3:D3"/>
    <mergeCell ref="H3:I3"/>
    <mergeCell ref="B4:D4"/>
    <mergeCell ref="H4:I4"/>
  </mergeCells>
  <conditionalFormatting sqref="E20 E14:E17 G14:I17">
    <cfRule type="cellIs" dxfId="7" priority="7" operator="equal">
      <formula>-1</formula>
    </cfRule>
    <cfRule type="containsErrors" dxfId="6" priority="8">
      <formula>ISERROR(E14)</formula>
    </cfRule>
  </conditionalFormatting>
  <conditionalFormatting sqref="E21:E24">
    <cfRule type="cellIs" dxfId="5" priority="5" operator="equal">
      <formula>-1</formula>
    </cfRule>
    <cfRule type="containsErrors" dxfId="4" priority="6">
      <formula>ISERROR(E21)</formula>
    </cfRule>
  </conditionalFormatting>
  <conditionalFormatting sqref="G20:G24">
    <cfRule type="cellIs" dxfId="3" priority="3" operator="equal">
      <formula>-1</formula>
    </cfRule>
    <cfRule type="containsErrors" dxfId="2" priority="4">
      <formula>ISERROR(G20)</formula>
    </cfRule>
  </conditionalFormatting>
  <conditionalFormatting sqref="H20:I24">
    <cfRule type="cellIs" dxfId="1" priority="1" operator="equal">
      <formula>-1</formula>
    </cfRule>
    <cfRule type="containsErrors" dxfId="0" priority="2">
      <formula>ISERROR(H20)</formula>
    </cfRule>
  </conditionalFormatting>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1000-000000000000}">
          <x14:formula1>
            <xm:f>'Polymer BOM'!$S$5:$S$16</xm:f>
          </x14:formula1>
          <xm:sqref>D28:D33</xm:sqref>
        </x14:dataValidation>
        <x14:dataValidation type="list" allowBlank="1" showInputMessage="1" showErrorMessage="1" xr:uid="{00000000-0002-0000-1000-000001000000}">
          <x14:formula1>
            <xm:f>'Polymer BOM'!$J$5:$J$15</xm:f>
          </x14:formula1>
          <xm:sqref>D61:D69</xm:sqref>
        </x14:dataValidation>
        <x14:dataValidation type="list" allowBlank="1" showInputMessage="1" showErrorMessage="1" xr:uid="{00000000-0002-0000-1000-000002000000}">
          <x14:formula1>
            <xm:f>'Polymer BOM'!$B$5:$B$21</xm:f>
          </x14:formula1>
          <xm:sqref>D39:D43 D49:D55</xm:sqref>
        </x14:dataValidation>
        <x14:dataValidation type="list" allowBlank="1" showInputMessage="1" showErrorMessage="1" xr:uid="{00000000-0002-0000-1000-000003000000}">
          <x14:formula1>
            <xm:f>'Polymer BOM'!$J$5:$J$13</xm:f>
          </x14:formula1>
          <xm:sqref>D59:D60</xm:sqref>
        </x14:dataValidation>
        <x14:dataValidation type="list" allowBlank="1" showInputMessage="1" showErrorMessage="1" xr:uid="{00000000-0002-0000-1000-000004000000}">
          <x14:formula1>
            <xm:f>'Polymer BOM'!$B$5:$B$20</xm:f>
          </x14:formula1>
          <xm:sqref>D48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AD40"/>
  <sheetViews>
    <sheetView workbookViewId="0">
      <selection activeCell="O22" sqref="O22"/>
    </sheetView>
  </sheetViews>
  <sheetFormatPr defaultColWidth="9.140625" defaultRowHeight="15" x14ac:dyDescent="0.25"/>
  <cols>
    <col min="1" max="1" width="3.42578125" style="361" customWidth="1"/>
    <col min="2" max="2" width="10.7109375" style="361" customWidth="1"/>
    <col min="3" max="3" width="9.85546875" style="361" customWidth="1"/>
    <col min="4" max="4" width="10.28515625" style="361" customWidth="1"/>
    <col min="5" max="5" width="9.85546875" style="361" customWidth="1"/>
    <col min="6" max="6" width="10" style="361" customWidth="1"/>
    <col min="7" max="7" width="12.28515625" style="361" bestFit="1" customWidth="1"/>
    <col min="8" max="8" width="12.28515625" style="361" customWidth="1"/>
    <col min="9" max="9" width="3.140625" style="361" customWidth="1"/>
    <col min="10" max="12" width="9.140625" style="361"/>
    <col min="13" max="13" width="10.140625" style="361" bestFit="1" customWidth="1"/>
    <col min="14" max="15" width="9.140625" style="369"/>
    <col min="16" max="16" width="12.28515625" style="369" bestFit="1" customWidth="1"/>
    <col min="17" max="17" width="12.28515625" style="369" customWidth="1"/>
    <col min="18" max="18" width="3.140625" style="361" customWidth="1"/>
    <col min="19" max="19" width="9.140625" style="361"/>
    <col min="20" max="20" width="10.140625" style="361" bestFit="1" customWidth="1"/>
    <col min="21" max="22" width="9.140625" style="361"/>
    <col min="23" max="23" width="12.28515625" style="361" bestFit="1" customWidth="1"/>
    <col min="24" max="24" width="12.28515625" style="361" customWidth="1"/>
    <col min="25" max="25" width="3.28515625" style="361" customWidth="1"/>
    <col min="26" max="26" width="9.140625" style="361" bestFit="1" customWidth="1"/>
    <col min="27" max="27" width="8.85546875" style="361" bestFit="1" customWidth="1"/>
    <col min="28" max="28" width="7.7109375" style="361" bestFit="1" customWidth="1"/>
    <col min="29" max="29" width="9.140625" style="361"/>
    <col min="30" max="30" width="12.28515625" style="361" bestFit="1" customWidth="1"/>
    <col min="31" max="31" width="3" style="361" customWidth="1"/>
    <col min="32" max="16384" width="9.140625" style="361"/>
  </cols>
  <sheetData>
    <row r="2" spans="2:30" x14ac:dyDescent="0.25">
      <c r="B2" s="999" t="s">
        <v>484</v>
      </c>
      <c r="C2" s="999"/>
      <c r="D2" s="999"/>
      <c r="E2" s="999"/>
      <c r="F2" s="999"/>
      <c r="G2" s="999"/>
      <c r="H2" s="530"/>
      <c r="J2" s="999" t="s">
        <v>465</v>
      </c>
      <c r="K2" s="999"/>
      <c r="L2" s="999"/>
      <c r="M2" s="999"/>
      <c r="N2" s="999"/>
      <c r="O2" s="999"/>
      <c r="P2" s="999"/>
      <c r="Q2" s="530"/>
      <c r="S2" s="999" t="s">
        <v>287</v>
      </c>
      <c r="T2" s="999"/>
      <c r="U2" s="999"/>
      <c r="V2" s="999"/>
      <c r="W2" s="999"/>
      <c r="X2" s="530"/>
      <c r="Z2" s="1000" t="s">
        <v>439</v>
      </c>
      <c r="AA2" s="1000"/>
      <c r="AB2" s="1000"/>
      <c r="AC2" s="1000"/>
      <c r="AD2" s="1000"/>
    </row>
    <row r="3" spans="2:30" x14ac:dyDescent="0.25">
      <c r="B3" s="498">
        <v>1</v>
      </c>
      <c r="C3" s="498">
        <v>2</v>
      </c>
      <c r="D3" s="498">
        <v>3</v>
      </c>
      <c r="E3" s="498">
        <v>4</v>
      </c>
      <c r="F3" s="498">
        <v>5</v>
      </c>
      <c r="G3" s="498"/>
      <c r="H3" s="498"/>
      <c r="J3" s="498">
        <v>1</v>
      </c>
      <c r="K3" s="498">
        <v>2</v>
      </c>
      <c r="L3" s="498">
        <v>3</v>
      </c>
      <c r="M3" s="498">
        <v>4</v>
      </c>
      <c r="N3" s="369">
        <v>5</v>
      </c>
      <c r="O3" s="369">
        <v>6</v>
      </c>
      <c r="S3" s="498">
        <v>1</v>
      </c>
      <c r="T3" s="498">
        <v>2</v>
      </c>
      <c r="U3" s="369">
        <v>3</v>
      </c>
      <c r="V3" s="369">
        <v>4</v>
      </c>
      <c r="W3" s="369"/>
      <c r="X3" s="369"/>
      <c r="Z3" s="369">
        <v>1</v>
      </c>
      <c r="AA3" s="369">
        <v>2</v>
      </c>
      <c r="AB3" s="369">
        <v>3</v>
      </c>
      <c r="AC3" s="369">
        <v>4</v>
      </c>
      <c r="AD3" s="369"/>
    </row>
    <row r="4" spans="2:30" x14ac:dyDescent="0.25">
      <c r="B4" s="499" t="s">
        <v>445</v>
      </c>
      <c r="C4" s="499" t="s">
        <v>11</v>
      </c>
      <c r="D4" s="499" t="s">
        <v>439</v>
      </c>
      <c r="E4" s="500" t="s">
        <v>441</v>
      </c>
      <c r="F4" s="500" t="s">
        <v>485</v>
      </c>
      <c r="G4" s="500" t="s">
        <v>486</v>
      </c>
      <c r="H4" s="531"/>
      <c r="J4" s="499" t="s">
        <v>445</v>
      </c>
      <c r="K4" s="499" t="s">
        <v>11</v>
      </c>
      <c r="L4" s="499" t="s">
        <v>439</v>
      </c>
      <c r="M4" s="499" t="s">
        <v>126</v>
      </c>
      <c r="N4" s="500" t="s">
        <v>440</v>
      </c>
      <c r="O4" s="500" t="s">
        <v>485</v>
      </c>
      <c r="P4" s="500" t="s">
        <v>486</v>
      </c>
      <c r="Q4" s="531"/>
      <c r="S4" s="499" t="s">
        <v>445</v>
      </c>
      <c r="T4" s="499" t="s">
        <v>126</v>
      </c>
      <c r="U4" s="499" t="s">
        <v>11</v>
      </c>
      <c r="V4" s="500" t="s">
        <v>485</v>
      </c>
      <c r="W4" s="500" t="s">
        <v>486</v>
      </c>
      <c r="X4" s="531"/>
      <c r="Z4" s="500" t="s">
        <v>487</v>
      </c>
      <c r="AA4" s="500" t="s">
        <v>11</v>
      </c>
      <c r="AB4" s="500" t="s">
        <v>440</v>
      </c>
      <c r="AC4" s="500" t="s">
        <v>485</v>
      </c>
      <c r="AD4" s="500" t="s">
        <v>486</v>
      </c>
    </row>
    <row r="5" spans="2:30" x14ac:dyDescent="0.25">
      <c r="B5" s="501" t="s">
        <v>488</v>
      </c>
      <c r="C5" s="501">
        <v>0.92500000000000004</v>
      </c>
      <c r="D5" s="502">
        <v>7.6999999999999999E-2</v>
      </c>
      <c r="E5" s="502">
        <v>1.4299999999999998E-3</v>
      </c>
      <c r="F5" s="503">
        <v>47</v>
      </c>
      <c r="G5" s="503"/>
      <c r="H5" s="532">
        <f>C5+D5</f>
        <v>1.002</v>
      </c>
      <c r="J5" s="504" t="s">
        <v>470</v>
      </c>
      <c r="K5" s="505">
        <v>1.028</v>
      </c>
      <c r="L5" s="505">
        <v>1.9E-2</v>
      </c>
      <c r="M5" s="505"/>
      <c r="N5" s="506">
        <v>8.9999999999999993E-3</v>
      </c>
      <c r="O5" s="507">
        <v>44.5</v>
      </c>
      <c r="P5" s="507">
        <v>44.5</v>
      </c>
      <c r="Q5" s="533">
        <f>K5+L5</f>
        <v>1.0469999999999999</v>
      </c>
      <c r="S5" s="508" t="s">
        <v>489</v>
      </c>
      <c r="T5" s="509">
        <v>1.0489999999999999</v>
      </c>
      <c r="U5" s="509">
        <v>0</v>
      </c>
      <c r="V5" s="510">
        <v>46.7</v>
      </c>
      <c r="W5" s="511">
        <v>46.7</v>
      </c>
      <c r="X5" s="534"/>
      <c r="Z5" s="512" t="s">
        <v>439</v>
      </c>
      <c r="AA5" s="513">
        <v>1.1100000000000001</v>
      </c>
      <c r="AB5" s="514">
        <v>7.7860000000000004E-3</v>
      </c>
      <c r="AC5" s="515">
        <v>4.8600000000000003</v>
      </c>
      <c r="AD5" s="515"/>
    </row>
    <row r="6" spans="2:30" x14ac:dyDescent="0.25">
      <c r="B6" s="516" t="s">
        <v>464</v>
      </c>
      <c r="C6" s="516">
        <v>0.93100000000000005</v>
      </c>
      <c r="D6" s="517">
        <v>7.2999999999999995E-2</v>
      </c>
      <c r="E6" s="517">
        <v>2.4500000000000004E-3</v>
      </c>
      <c r="F6" s="518">
        <v>45</v>
      </c>
      <c r="G6" s="518">
        <v>45</v>
      </c>
      <c r="H6" s="532">
        <f t="shared" ref="H6:H21" si="0">C6+D6</f>
        <v>1.004</v>
      </c>
      <c r="J6" s="504" t="s">
        <v>468</v>
      </c>
      <c r="K6" s="504">
        <v>1.026</v>
      </c>
      <c r="L6" s="505">
        <v>7.4999999999999997E-3</v>
      </c>
      <c r="M6" s="505"/>
      <c r="N6" s="506">
        <v>8.9999999999999993E-3</v>
      </c>
      <c r="O6" s="507">
        <v>44.5</v>
      </c>
      <c r="P6" s="507">
        <v>44.5</v>
      </c>
      <c r="Q6" s="533">
        <f t="shared" ref="Q6:Q15" si="1">K6+L6</f>
        <v>1.0335000000000001</v>
      </c>
      <c r="S6" s="519" t="s">
        <v>452</v>
      </c>
      <c r="T6" s="520">
        <v>1.0489999999999999</v>
      </c>
      <c r="U6" s="520">
        <v>0</v>
      </c>
      <c r="V6" s="511">
        <v>46.7</v>
      </c>
      <c r="W6" s="511">
        <v>46.7</v>
      </c>
      <c r="X6" s="534"/>
      <c r="AC6" s="369"/>
      <c r="AD6" s="369"/>
    </row>
    <row r="7" spans="2:30" x14ac:dyDescent="0.25">
      <c r="B7" s="516" t="s">
        <v>457</v>
      </c>
      <c r="C7" s="516">
        <v>0.93300000000000005</v>
      </c>
      <c r="D7" s="517">
        <v>7.6999999999999999E-2</v>
      </c>
      <c r="E7" s="517">
        <v>1.42E-3</v>
      </c>
      <c r="F7" s="518">
        <v>47</v>
      </c>
      <c r="G7" s="518">
        <v>49</v>
      </c>
      <c r="H7" s="532">
        <f t="shared" si="0"/>
        <v>1.01</v>
      </c>
      <c r="J7" s="504" t="s">
        <v>469</v>
      </c>
      <c r="K7" s="504">
        <v>1.026</v>
      </c>
      <c r="L7" s="505">
        <v>7.4999999999999997E-3</v>
      </c>
      <c r="M7" s="505"/>
      <c r="N7" s="506">
        <v>8.9999999999999993E-3</v>
      </c>
      <c r="O7" s="507">
        <v>44.5</v>
      </c>
      <c r="P7" s="507">
        <v>44.5</v>
      </c>
      <c r="Q7" s="533">
        <f t="shared" si="1"/>
        <v>1.0335000000000001</v>
      </c>
      <c r="S7" s="519" t="s">
        <v>451</v>
      </c>
      <c r="T7" s="520">
        <v>1.0489999999999999</v>
      </c>
      <c r="U7" s="520">
        <v>0</v>
      </c>
      <c r="V7" s="511">
        <v>46.7</v>
      </c>
      <c r="W7" s="511">
        <v>46.7</v>
      </c>
      <c r="X7" s="534"/>
    </row>
    <row r="8" spans="2:30" x14ac:dyDescent="0.25">
      <c r="B8" s="516" t="s">
        <v>456</v>
      </c>
      <c r="C8" s="516">
        <v>0.93300000000000005</v>
      </c>
      <c r="D8" s="517">
        <v>7.6999999999999999E-2</v>
      </c>
      <c r="E8" s="517">
        <v>1.42E-3</v>
      </c>
      <c r="F8" s="518">
        <v>47</v>
      </c>
      <c r="G8" s="518">
        <v>49</v>
      </c>
      <c r="H8" s="532">
        <f t="shared" si="0"/>
        <v>1.01</v>
      </c>
      <c r="J8" s="504" t="s">
        <v>490</v>
      </c>
      <c r="K8" s="505">
        <v>1.02</v>
      </c>
      <c r="L8" s="505"/>
      <c r="M8" s="505">
        <f>0.75/1000</f>
        <v>7.5000000000000002E-4</v>
      </c>
      <c r="N8" s="506">
        <v>8.9999999999999993E-3</v>
      </c>
      <c r="O8" s="507">
        <v>44.5</v>
      </c>
      <c r="P8" s="507">
        <v>44.5</v>
      </c>
      <c r="Q8" s="533">
        <f t="shared" si="1"/>
        <v>1.02</v>
      </c>
      <c r="S8" s="519" t="s">
        <v>450</v>
      </c>
      <c r="T8" s="520">
        <v>1.0489999999999999</v>
      </c>
      <c r="U8" s="520">
        <v>0</v>
      </c>
      <c r="V8" s="511">
        <v>46.7</v>
      </c>
      <c r="W8" s="511">
        <v>46.7</v>
      </c>
      <c r="X8" s="534"/>
    </row>
    <row r="9" spans="2:30" x14ac:dyDescent="0.25">
      <c r="B9" s="516" t="s">
        <v>458</v>
      </c>
      <c r="C9" s="516">
        <v>0.92500000000000004</v>
      </c>
      <c r="D9" s="517">
        <v>7.9000000000000001E-2</v>
      </c>
      <c r="E9" s="517">
        <v>8.0000000000000004E-4</v>
      </c>
      <c r="F9" s="518">
        <v>46</v>
      </c>
      <c r="G9" s="518">
        <v>47</v>
      </c>
      <c r="H9" s="532">
        <f t="shared" si="0"/>
        <v>1.004</v>
      </c>
      <c r="J9" s="504" t="s">
        <v>491</v>
      </c>
      <c r="K9" s="505">
        <v>1.028</v>
      </c>
      <c r="L9" s="505">
        <v>1.9E-2</v>
      </c>
      <c r="M9" s="505"/>
      <c r="N9" s="506">
        <v>8.9999999999999993E-3</v>
      </c>
      <c r="O9" s="507">
        <v>44.5</v>
      </c>
      <c r="P9" s="507">
        <v>44.5</v>
      </c>
      <c r="Q9" s="533">
        <f t="shared" si="1"/>
        <v>1.0469999999999999</v>
      </c>
      <c r="S9" s="519" t="s">
        <v>492</v>
      </c>
      <c r="T9" s="520">
        <v>0.96499999999999997</v>
      </c>
      <c r="U9" s="520">
        <v>0.09</v>
      </c>
      <c r="V9" s="511">
        <v>35.6</v>
      </c>
      <c r="W9" s="511"/>
      <c r="X9" s="534"/>
    </row>
    <row r="10" spans="2:30" x14ac:dyDescent="0.25">
      <c r="B10" s="516" t="s">
        <v>493</v>
      </c>
      <c r="C10" s="516">
        <v>0.93200000000000005</v>
      </c>
      <c r="D10" s="517">
        <v>8.4000000000000005E-2</v>
      </c>
      <c r="E10" s="517">
        <v>7.7999999999999999E-4</v>
      </c>
      <c r="F10" s="518">
        <v>46</v>
      </c>
      <c r="G10" s="518">
        <v>47</v>
      </c>
      <c r="H10" s="532">
        <f t="shared" si="0"/>
        <v>1.016</v>
      </c>
      <c r="J10" s="504" t="s">
        <v>466</v>
      </c>
      <c r="K10" s="505">
        <v>1.038</v>
      </c>
      <c r="L10" s="505">
        <v>1.0500000000000001E-2</v>
      </c>
      <c r="M10" s="505"/>
      <c r="N10" s="506">
        <v>8.9999999999999993E-3</v>
      </c>
      <c r="O10" s="507">
        <v>44.5</v>
      </c>
      <c r="P10" s="507">
        <v>44.5</v>
      </c>
      <c r="Q10" s="533">
        <f t="shared" si="1"/>
        <v>1.0485</v>
      </c>
      <c r="S10" s="519" t="s">
        <v>494</v>
      </c>
      <c r="T10" s="520">
        <v>0.96499999999999997</v>
      </c>
      <c r="U10" s="520">
        <v>0.09</v>
      </c>
      <c r="V10" s="511">
        <v>35.6</v>
      </c>
      <c r="W10" s="511"/>
      <c r="X10" s="534"/>
    </row>
    <row r="11" spans="2:30" x14ac:dyDescent="0.25">
      <c r="B11" s="501" t="s">
        <v>495</v>
      </c>
      <c r="C11" s="501">
        <v>0.92300000000000004</v>
      </c>
      <c r="D11" s="502">
        <v>8.6449999999999999E-2</v>
      </c>
      <c r="E11" s="502">
        <v>2.4499999999999999E-3</v>
      </c>
      <c r="F11" s="503">
        <v>45</v>
      </c>
      <c r="G11" s="503"/>
      <c r="H11" s="532">
        <f t="shared" si="0"/>
        <v>1.00945</v>
      </c>
      <c r="J11" s="504" t="s">
        <v>471</v>
      </c>
      <c r="K11" s="505">
        <v>1.038</v>
      </c>
      <c r="L11" s="505">
        <v>1.4E-2</v>
      </c>
      <c r="M11" s="505"/>
      <c r="N11" s="506">
        <v>8.9999999999999993E-3</v>
      </c>
      <c r="O11" s="507">
        <v>44.5</v>
      </c>
      <c r="P11" s="507">
        <v>44.5</v>
      </c>
      <c r="Q11" s="533">
        <f t="shared" si="1"/>
        <v>1.052</v>
      </c>
      <c r="S11" s="508" t="s">
        <v>496</v>
      </c>
      <c r="T11" s="509">
        <v>0.96499999999999997</v>
      </c>
      <c r="U11" s="509">
        <v>0.09</v>
      </c>
      <c r="V11" s="510">
        <v>35.6</v>
      </c>
      <c r="W11" s="510"/>
      <c r="X11" s="535"/>
    </row>
    <row r="12" spans="2:30" x14ac:dyDescent="0.25">
      <c r="B12" s="516" t="s">
        <v>462</v>
      </c>
      <c r="C12" s="521">
        <v>0.94130000000000003</v>
      </c>
      <c r="D12" s="517">
        <v>8.6199999999999999E-2</v>
      </c>
      <c r="E12" s="517">
        <v>2.65E-3</v>
      </c>
      <c r="F12" s="518">
        <v>38</v>
      </c>
      <c r="G12" s="518">
        <v>39.799999999999997</v>
      </c>
      <c r="H12" s="532">
        <f t="shared" si="0"/>
        <v>1.0275000000000001</v>
      </c>
      <c r="J12" s="504" t="s">
        <v>473</v>
      </c>
      <c r="K12" s="505">
        <v>1.038</v>
      </c>
      <c r="L12" s="505">
        <v>1.0999999999999999E-2</v>
      </c>
      <c r="M12" s="505"/>
      <c r="N12" s="506">
        <v>8.9999999999999993E-3</v>
      </c>
      <c r="O12" s="507">
        <v>44.5</v>
      </c>
      <c r="P12" s="507">
        <v>44.5</v>
      </c>
      <c r="Q12" s="533">
        <f t="shared" si="1"/>
        <v>1.0489999999999999</v>
      </c>
      <c r="S12" s="508" t="s">
        <v>497</v>
      </c>
      <c r="T12" s="509">
        <v>1.0069999999999999</v>
      </c>
      <c r="U12" s="508">
        <v>3.3000000000000002E-2</v>
      </c>
      <c r="V12" s="510">
        <v>42</v>
      </c>
      <c r="W12" s="510"/>
      <c r="X12" s="535"/>
    </row>
    <row r="13" spans="2:30" x14ac:dyDescent="0.25">
      <c r="B13" s="516" t="s">
        <v>463</v>
      </c>
      <c r="C13" s="516">
        <v>1.167</v>
      </c>
      <c r="D13" s="517">
        <v>0.107</v>
      </c>
      <c r="E13" s="517">
        <v>2.4500000000000004E-3</v>
      </c>
      <c r="F13" s="518">
        <v>35</v>
      </c>
      <c r="G13" s="518">
        <v>32.5</v>
      </c>
      <c r="H13" s="532">
        <f t="shared" si="0"/>
        <v>1.274</v>
      </c>
      <c r="J13" s="504" t="s">
        <v>472</v>
      </c>
      <c r="K13" s="505">
        <v>1.038</v>
      </c>
      <c r="L13" s="505">
        <v>1.0999999999999999E-2</v>
      </c>
      <c r="M13" s="505"/>
      <c r="N13" s="506">
        <v>8.9999999999999993E-3</v>
      </c>
      <c r="O13" s="507">
        <v>44.5</v>
      </c>
      <c r="P13" s="507">
        <v>44.5</v>
      </c>
      <c r="Q13" s="533">
        <f t="shared" si="1"/>
        <v>1.0489999999999999</v>
      </c>
      <c r="S13" s="519" t="s">
        <v>449</v>
      </c>
      <c r="T13" s="520">
        <v>1.0489999999999999</v>
      </c>
      <c r="U13" s="520">
        <v>0</v>
      </c>
      <c r="V13" s="511">
        <v>46.7</v>
      </c>
      <c r="W13" s="511">
        <v>46.7</v>
      </c>
      <c r="X13" s="534"/>
    </row>
    <row r="14" spans="2:30" x14ac:dyDescent="0.25">
      <c r="B14" s="522" t="s">
        <v>498</v>
      </c>
      <c r="C14" s="522">
        <v>1.0049999999999999</v>
      </c>
      <c r="D14" s="523">
        <v>1.46E-2</v>
      </c>
      <c r="E14" s="523">
        <v>8.3000000000000001E-4</v>
      </c>
      <c r="F14" s="524">
        <v>47</v>
      </c>
      <c r="G14" s="524">
        <v>47</v>
      </c>
      <c r="H14" s="532">
        <f t="shared" si="0"/>
        <v>1.0195999999999998</v>
      </c>
      <c r="J14" s="504" t="s">
        <v>467</v>
      </c>
      <c r="K14" s="504">
        <v>0</v>
      </c>
      <c r="L14" s="504">
        <v>0</v>
      </c>
      <c r="M14" s="504">
        <v>0</v>
      </c>
      <c r="N14" s="504">
        <v>0</v>
      </c>
      <c r="O14" s="504">
        <v>0</v>
      </c>
      <c r="P14" s="504"/>
      <c r="Q14" s="533">
        <f t="shared" si="1"/>
        <v>0</v>
      </c>
      <c r="S14" s="519" t="s">
        <v>499</v>
      </c>
      <c r="T14" s="520">
        <v>1.0489999999999999</v>
      </c>
      <c r="U14" s="520">
        <v>0</v>
      </c>
      <c r="V14" s="511">
        <v>46.7</v>
      </c>
      <c r="W14" s="511">
        <v>46.7</v>
      </c>
      <c r="X14" s="534"/>
    </row>
    <row r="15" spans="2:30" x14ac:dyDescent="0.25">
      <c r="B15" s="522" t="s">
        <v>500</v>
      </c>
      <c r="C15" s="522">
        <v>1.0229999999999999</v>
      </c>
      <c r="D15" s="523">
        <v>1.6999999999999999E-3</v>
      </c>
      <c r="E15" s="523">
        <v>1.2199999999999999E-3</v>
      </c>
      <c r="F15" s="524">
        <v>45</v>
      </c>
      <c r="G15" s="524">
        <v>45</v>
      </c>
      <c r="H15" s="532">
        <f t="shared" si="0"/>
        <v>1.0246999999999999</v>
      </c>
      <c r="J15" s="504" t="s">
        <v>501</v>
      </c>
      <c r="K15" s="505">
        <v>0.99</v>
      </c>
      <c r="L15" s="505"/>
      <c r="M15" s="505">
        <v>1.1900000000000001E-2</v>
      </c>
      <c r="N15" s="506">
        <v>8.0000000000000002E-3</v>
      </c>
      <c r="O15" s="507">
        <v>44.5</v>
      </c>
      <c r="P15" s="507">
        <v>44.5</v>
      </c>
      <c r="Q15" s="533">
        <f t="shared" si="1"/>
        <v>0.99</v>
      </c>
      <c r="S15" s="519" t="s">
        <v>453</v>
      </c>
      <c r="T15" s="520">
        <v>1.0489999999999999</v>
      </c>
      <c r="U15" s="520">
        <v>0</v>
      </c>
      <c r="V15" s="511">
        <v>46.7</v>
      </c>
      <c r="W15" s="511">
        <v>46.7</v>
      </c>
      <c r="X15" s="534"/>
    </row>
    <row r="16" spans="2:30" x14ac:dyDescent="0.25">
      <c r="B16" s="522" t="s">
        <v>502</v>
      </c>
      <c r="C16" s="522">
        <v>1.0229999999999999</v>
      </c>
      <c r="D16" s="523">
        <v>1.6999999999999999E-3</v>
      </c>
      <c r="E16" s="523">
        <v>1.2199999999999999E-3</v>
      </c>
      <c r="F16" s="524">
        <v>45</v>
      </c>
      <c r="G16" s="524">
        <v>45</v>
      </c>
      <c r="H16" s="532">
        <f t="shared" si="0"/>
        <v>1.0246999999999999</v>
      </c>
      <c r="L16" s="529"/>
      <c r="S16" s="519" t="s">
        <v>467</v>
      </c>
      <c r="T16" s="519">
        <v>0</v>
      </c>
      <c r="U16" s="519">
        <v>0</v>
      </c>
      <c r="V16" s="519">
        <v>0</v>
      </c>
      <c r="W16" s="519"/>
      <c r="X16" s="536"/>
    </row>
    <row r="17" spans="2:12" x14ac:dyDescent="0.25">
      <c r="B17" s="522" t="s">
        <v>503</v>
      </c>
      <c r="C17" s="525">
        <v>0.99</v>
      </c>
      <c r="D17" s="523">
        <v>2.2000000000000001E-3</v>
      </c>
      <c r="E17" s="523">
        <v>2.3E-3</v>
      </c>
      <c r="F17" s="524">
        <v>45</v>
      </c>
      <c r="G17" s="524">
        <v>41.9</v>
      </c>
      <c r="H17" s="532">
        <f t="shared" si="0"/>
        <v>0.99219999999999997</v>
      </c>
      <c r="L17" s="529"/>
    </row>
    <row r="18" spans="2:12" x14ac:dyDescent="0.25">
      <c r="B18" s="522" t="s">
        <v>467</v>
      </c>
      <c r="C18" s="522">
        <v>0</v>
      </c>
      <c r="D18" s="526">
        <v>0</v>
      </c>
      <c r="E18" s="526">
        <v>0</v>
      </c>
      <c r="F18" s="526">
        <v>0</v>
      </c>
      <c r="G18" s="526"/>
      <c r="H18" s="532">
        <f t="shared" si="0"/>
        <v>0</v>
      </c>
      <c r="L18" s="529"/>
    </row>
    <row r="19" spans="2:12" x14ac:dyDescent="0.25">
      <c r="B19" s="515" t="s">
        <v>460</v>
      </c>
      <c r="C19" s="515">
        <v>0.97299999999999998</v>
      </c>
      <c r="D19" s="527">
        <v>3.1099999999999999E-2</v>
      </c>
      <c r="E19" s="527">
        <v>9.7000000000000005E-4</v>
      </c>
      <c r="F19" s="528">
        <v>48</v>
      </c>
      <c r="G19" s="528">
        <v>48</v>
      </c>
      <c r="H19" s="532">
        <f t="shared" si="0"/>
        <v>1.0041</v>
      </c>
      <c r="L19" s="529"/>
    </row>
    <row r="20" spans="2:12" x14ac:dyDescent="0.25">
      <c r="B20" s="515" t="s">
        <v>461</v>
      </c>
      <c r="C20" s="515">
        <v>0.97899999999999998</v>
      </c>
      <c r="D20" s="527">
        <v>3.4500000000000003E-2</v>
      </c>
      <c r="E20" s="527">
        <v>9.7000000000000005E-4</v>
      </c>
      <c r="F20" s="528">
        <v>48</v>
      </c>
      <c r="G20" s="528">
        <v>48</v>
      </c>
      <c r="H20" s="532">
        <f t="shared" si="0"/>
        <v>1.0135000000000001</v>
      </c>
      <c r="L20" s="529"/>
    </row>
    <row r="21" spans="2:12" x14ac:dyDescent="0.25">
      <c r="B21" s="522" t="s">
        <v>504</v>
      </c>
      <c r="C21" s="522">
        <v>0.95199999999999996</v>
      </c>
      <c r="D21" s="523">
        <v>1.2999999999999999E-3</v>
      </c>
      <c r="E21" s="523">
        <v>1.42E-3</v>
      </c>
      <c r="F21" s="524">
        <v>45</v>
      </c>
      <c r="G21" s="524">
        <v>41.9</v>
      </c>
      <c r="H21" s="532">
        <f t="shared" si="0"/>
        <v>0.95329999999999993</v>
      </c>
      <c r="L21" s="529"/>
    </row>
    <row r="22" spans="2:12" x14ac:dyDescent="0.25">
      <c r="L22" s="529"/>
    </row>
    <row r="23" spans="2:12" x14ac:dyDescent="0.25">
      <c r="D23" s="529"/>
      <c r="L23" s="529"/>
    </row>
    <row r="24" spans="2:12" x14ac:dyDescent="0.25">
      <c r="D24" s="529"/>
      <c r="L24" s="529"/>
    </row>
    <row r="25" spans="2:12" x14ac:dyDescent="0.25">
      <c r="D25" s="529"/>
      <c r="L25" s="529"/>
    </row>
    <row r="26" spans="2:12" x14ac:dyDescent="0.25">
      <c r="D26" s="529"/>
    </row>
    <row r="27" spans="2:12" x14ac:dyDescent="0.25">
      <c r="D27" s="529"/>
    </row>
    <row r="28" spans="2:12" x14ac:dyDescent="0.25">
      <c r="D28" s="529"/>
    </row>
    <row r="29" spans="2:12" x14ac:dyDescent="0.25">
      <c r="D29" s="529"/>
    </row>
    <row r="30" spans="2:12" x14ac:dyDescent="0.25">
      <c r="D30" s="529"/>
    </row>
    <row r="31" spans="2:12" x14ac:dyDescent="0.25">
      <c r="D31" s="529"/>
    </row>
    <row r="32" spans="2:12" x14ac:dyDescent="0.25">
      <c r="D32" s="529"/>
    </row>
    <row r="33" spans="4:4" x14ac:dyDescent="0.25">
      <c r="D33" s="529"/>
    </row>
    <row r="34" spans="4:4" x14ac:dyDescent="0.25">
      <c r="D34" s="529"/>
    </row>
    <row r="35" spans="4:4" x14ac:dyDescent="0.25">
      <c r="D35" s="529"/>
    </row>
    <row r="36" spans="4:4" x14ac:dyDescent="0.25">
      <c r="D36" s="529"/>
    </row>
    <row r="37" spans="4:4" x14ac:dyDescent="0.25">
      <c r="D37" s="529"/>
    </row>
    <row r="38" spans="4:4" x14ac:dyDescent="0.25">
      <c r="D38" s="529"/>
    </row>
    <row r="39" spans="4:4" x14ac:dyDescent="0.25">
      <c r="D39" s="529"/>
    </row>
    <row r="40" spans="4:4" x14ac:dyDescent="0.25">
      <c r="D40" s="529"/>
    </row>
  </sheetData>
  <mergeCells count="4">
    <mergeCell ref="B2:G2"/>
    <mergeCell ref="J2:P2"/>
    <mergeCell ref="S2:W2"/>
    <mergeCell ref="Z2:AD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4:AW11"/>
  <sheetViews>
    <sheetView workbookViewId="0">
      <selection activeCell="F22" sqref="F22"/>
    </sheetView>
  </sheetViews>
  <sheetFormatPr defaultRowHeight="15" x14ac:dyDescent="0.25"/>
  <cols>
    <col min="2" max="2" width="13.28515625" bestFit="1" customWidth="1"/>
    <col min="3" max="3" width="5.28515625" bestFit="1" customWidth="1"/>
    <col min="4" max="4" width="25.7109375" bestFit="1" customWidth="1"/>
    <col min="5" max="49" width="9" bestFit="1" customWidth="1"/>
  </cols>
  <sheetData>
    <row r="4" spans="2:49" x14ac:dyDescent="0.25">
      <c r="B4" t="s">
        <v>306</v>
      </c>
      <c r="C4" t="s">
        <v>307</v>
      </c>
      <c r="D4" s="8" t="s">
        <v>308</v>
      </c>
      <c r="E4" s="330">
        <v>43101</v>
      </c>
      <c r="F4" s="330">
        <v>43132</v>
      </c>
      <c r="G4" s="330">
        <v>43160</v>
      </c>
      <c r="H4" s="330">
        <v>43191</v>
      </c>
      <c r="I4" s="330">
        <v>43221</v>
      </c>
      <c r="J4" s="330">
        <v>43252</v>
      </c>
      <c r="K4" s="330">
        <v>43282</v>
      </c>
      <c r="L4" s="330">
        <v>43313</v>
      </c>
      <c r="M4" s="330">
        <v>43344</v>
      </c>
      <c r="N4" s="330">
        <v>43374</v>
      </c>
      <c r="O4" s="330">
        <v>43405</v>
      </c>
      <c r="P4" s="330">
        <v>43435</v>
      </c>
      <c r="Q4" s="330">
        <v>43466</v>
      </c>
      <c r="R4" s="330">
        <v>43497</v>
      </c>
      <c r="S4" s="330">
        <v>43525</v>
      </c>
      <c r="T4" s="330">
        <v>43556</v>
      </c>
      <c r="U4" s="330">
        <v>43586</v>
      </c>
      <c r="V4" s="330">
        <v>43617</v>
      </c>
      <c r="W4" s="330">
        <v>43647</v>
      </c>
      <c r="X4" s="330">
        <v>43678</v>
      </c>
      <c r="Y4" s="330">
        <v>43709</v>
      </c>
      <c r="Z4" s="330">
        <v>43739</v>
      </c>
      <c r="AA4" s="330">
        <v>43770</v>
      </c>
      <c r="AB4" s="330">
        <v>43800</v>
      </c>
      <c r="AC4" s="330">
        <v>43831</v>
      </c>
      <c r="AD4" s="330">
        <v>43862</v>
      </c>
      <c r="AE4" s="330">
        <v>43891</v>
      </c>
      <c r="AF4" s="330">
        <v>43922</v>
      </c>
      <c r="AG4" s="330">
        <v>43952</v>
      </c>
      <c r="AH4" s="330">
        <v>43983</v>
      </c>
      <c r="AI4" s="330">
        <v>44013</v>
      </c>
      <c r="AJ4" s="330">
        <v>44044</v>
      </c>
      <c r="AK4" s="330">
        <v>44075</v>
      </c>
      <c r="AL4" s="330">
        <v>44105</v>
      </c>
      <c r="AM4" s="330">
        <v>44136</v>
      </c>
      <c r="AN4" s="330">
        <v>44166</v>
      </c>
      <c r="AO4" s="330">
        <v>44197</v>
      </c>
      <c r="AP4" s="330">
        <v>44228</v>
      </c>
      <c r="AQ4" s="330">
        <v>44256</v>
      </c>
      <c r="AR4" s="330">
        <v>44287</v>
      </c>
      <c r="AS4" s="330">
        <v>44317</v>
      </c>
      <c r="AT4" s="330">
        <v>44348</v>
      </c>
      <c r="AU4" s="330">
        <v>44378</v>
      </c>
      <c r="AV4" s="330">
        <v>44409</v>
      </c>
      <c r="AW4" s="330">
        <v>44440</v>
      </c>
    </row>
    <row r="5" spans="2:49" x14ac:dyDescent="0.25">
      <c r="B5" t="s">
        <v>309</v>
      </c>
      <c r="C5" t="s">
        <v>310</v>
      </c>
      <c r="D5" s="8" t="s">
        <v>11</v>
      </c>
      <c r="E5" s="6">
        <v>57975.54</v>
      </c>
      <c r="F5" s="6">
        <v>59855.96</v>
      </c>
      <c r="G5" s="6">
        <v>53322.6</v>
      </c>
      <c r="H5" s="6">
        <v>61600.95</v>
      </c>
      <c r="I5" s="6">
        <v>70185.73</v>
      </c>
      <c r="J5" s="6">
        <v>64065.57</v>
      </c>
      <c r="K5" s="6">
        <v>64995.4</v>
      </c>
      <c r="L5" s="6">
        <v>67284.710000000006</v>
      </c>
      <c r="M5" s="6">
        <v>65345.29</v>
      </c>
      <c r="N5" s="6">
        <v>69143.149999999994</v>
      </c>
      <c r="O5" s="6">
        <v>66867.47</v>
      </c>
      <c r="P5" s="6">
        <v>59182.01</v>
      </c>
      <c r="Q5" s="6">
        <v>54335.5</v>
      </c>
      <c r="R5" s="6">
        <v>52472.55</v>
      </c>
      <c r="S5" s="6">
        <v>53871.1</v>
      </c>
      <c r="T5" s="6">
        <v>52175.18</v>
      </c>
      <c r="U5" s="6">
        <v>54372.01</v>
      </c>
      <c r="V5" s="6">
        <v>51492.22</v>
      </c>
      <c r="W5" s="6">
        <v>53626.02</v>
      </c>
      <c r="X5" s="6">
        <v>52370.95</v>
      </c>
      <c r="Y5" s="6">
        <v>51693.2</v>
      </c>
      <c r="Z5" s="6">
        <v>50624.62</v>
      </c>
      <c r="AA5" s="6">
        <v>54559.95</v>
      </c>
      <c r="AB5" s="6">
        <v>52938.07</v>
      </c>
      <c r="AC5" s="6">
        <v>57867.14</v>
      </c>
      <c r="AD5" s="6">
        <v>54667.41</v>
      </c>
      <c r="AE5" s="6">
        <v>49018.48</v>
      </c>
      <c r="AF5" s="6">
        <v>49307.56</v>
      </c>
      <c r="AG5" s="6">
        <v>45332.58</v>
      </c>
      <c r="AH5" s="6">
        <v>40236.79</v>
      </c>
      <c r="AI5" s="6">
        <v>46145.86</v>
      </c>
      <c r="AJ5" s="6">
        <v>45753.52</v>
      </c>
      <c r="AK5" s="6">
        <v>46532.99</v>
      </c>
      <c r="AL5" s="6">
        <v>49421.82</v>
      </c>
      <c r="AM5" s="6">
        <v>46103.79</v>
      </c>
      <c r="AN5" s="6">
        <v>47866.66</v>
      </c>
      <c r="AO5" s="6">
        <v>52586.49</v>
      </c>
      <c r="AP5" s="6">
        <v>56088.3</v>
      </c>
      <c r="AQ5" s="6">
        <v>59665.62</v>
      </c>
      <c r="AR5" s="6">
        <v>56979.75</v>
      </c>
      <c r="AS5" s="6">
        <v>54416.57</v>
      </c>
      <c r="AT5" s="6">
        <v>58024.26</v>
      </c>
      <c r="AU5" s="6">
        <v>63414.63</v>
      </c>
      <c r="AV5" s="6">
        <v>64797.17</v>
      </c>
      <c r="AW5" s="6">
        <v>68335.34</v>
      </c>
    </row>
    <row r="6" spans="2:49" x14ac:dyDescent="0.25">
      <c r="B6" t="s">
        <v>311</v>
      </c>
      <c r="C6" t="s">
        <v>310</v>
      </c>
      <c r="D6" s="8" t="s">
        <v>126</v>
      </c>
      <c r="E6" s="6">
        <v>49284.87</v>
      </c>
      <c r="F6" s="6">
        <v>49707.71</v>
      </c>
      <c r="G6" s="6">
        <v>46172.85</v>
      </c>
      <c r="H6" s="6">
        <v>54399.13</v>
      </c>
      <c r="I6" s="6">
        <v>58085.43</v>
      </c>
      <c r="J6" s="6">
        <v>64854.25</v>
      </c>
      <c r="K6" s="6">
        <v>67626.55</v>
      </c>
      <c r="L6" s="6">
        <v>69343.350000000006</v>
      </c>
      <c r="M6" s="6">
        <v>73852.59</v>
      </c>
      <c r="N6" s="6">
        <v>72452.41</v>
      </c>
      <c r="O6" s="6">
        <v>66703.289999999994</v>
      </c>
      <c r="P6" s="6">
        <v>64358.83</v>
      </c>
      <c r="Q6" s="6">
        <v>54713.26</v>
      </c>
      <c r="R6" s="6">
        <v>53604.92</v>
      </c>
      <c r="S6" s="6">
        <v>56839.95</v>
      </c>
      <c r="T6" s="6">
        <v>58339.29</v>
      </c>
      <c r="U6" s="6">
        <v>62580.98</v>
      </c>
      <c r="V6" s="6">
        <v>58286.400000000001</v>
      </c>
      <c r="W6" s="6">
        <v>55298.559999999998</v>
      </c>
      <c r="X6" s="6">
        <v>53278.63</v>
      </c>
      <c r="Y6" s="6">
        <v>49939.519999999997</v>
      </c>
      <c r="Z6" s="6">
        <v>55462.91</v>
      </c>
      <c r="AA6" s="6">
        <v>50457.59</v>
      </c>
      <c r="AB6" s="6">
        <v>54987.199999999997</v>
      </c>
      <c r="AC6" s="6">
        <v>56740.34</v>
      </c>
      <c r="AD6" s="6">
        <v>56074.76</v>
      </c>
      <c r="AE6" s="6">
        <v>46479.11</v>
      </c>
      <c r="AF6" s="6">
        <v>46105.83</v>
      </c>
      <c r="AG6" s="6">
        <v>38686.269999999997</v>
      </c>
      <c r="AH6" s="6">
        <v>37999.99</v>
      </c>
      <c r="AI6" s="6">
        <v>43879.839999999997</v>
      </c>
      <c r="AJ6" s="6">
        <v>43032.66</v>
      </c>
      <c r="AK6" s="6">
        <v>45101.599999999999</v>
      </c>
      <c r="AL6" s="6">
        <v>43898.66</v>
      </c>
      <c r="AM6" s="6">
        <v>45276.06</v>
      </c>
      <c r="AN6" s="6">
        <v>51824.29</v>
      </c>
      <c r="AO6" s="6">
        <v>49001.73</v>
      </c>
      <c r="AP6" s="6">
        <v>53184.12</v>
      </c>
      <c r="AQ6" s="6">
        <v>55609.11</v>
      </c>
      <c r="AR6" s="6">
        <v>55150.82</v>
      </c>
      <c r="AS6" s="6">
        <v>58279.25</v>
      </c>
      <c r="AT6" s="6">
        <v>56962.81</v>
      </c>
      <c r="AU6" s="6">
        <v>64084.66</v>
      </c>
      <c r="AV6" s="6">
        <v>62567.35</v>
      </c>
      <c r="AW6" s="6">
        <v>62155.360000000001</v>
      </c>
    </row>
    <row r="7" spans="2:49" x14ac:dyDescent="0.25">
      <c r="B7" t="s">
        <v>312</v>
      </c>
      <c r="C7" t="s">
        <v>313</v>
      </c>
      <c r="D7" s="8" t="s">
        <v>139</v>
      </c>
      <c r="E7" s="6">
        <v>58264.4</v>
      </c>
      <c r="F7" s="6">
        <v>58560.65</v>
      </c>
      <c r="G7" s="6">
        <v>58336.34</v>
      </c>
      <c r="H7" s="6">
        <v>62151.15</v>
      </c>
      <c r="I7" s="6">
        <v>64874.92</v>
      </c>
      <c r="J7" s="6">
        <v>66958.78</v>
      </c>
      <c r="K7" s="6">
        <v>67253.98</v>
      </c>
      <c r="L7" s="6">
        <v>66653.31</v>
      </c>
      <c r="M7" s="6">
        <v>66474.97</v>
      </c>
      <c r="N7" s="6">
        <v>66907.41</v>
      </c>
      <c r="O7" s="6">
        <v>68677.600000000006</v>
      </c>
      <c r="P7" s="6">
        <v>68696.320000000007</v>
      </c>
      <c r="Q7" s="6">
        <v>67530.240000000005</v>
      </c>
      <c r="R7" s="6">
        <v>67925.61</v>
      </c>
      <c r="S7" s="6">
        <v>67504.14</v>
      </c>
      <c r="T7" s="6">
        <v>67216.100000000006</v>
      </c>
      <c r="U7" s="6">
        <v>62293.21</v>
      </c>
      <c r="V7" s="6">
        <v>60448.24</v>
      </c>
      <c r="W7" s="6">
        <v>60640.84</v>
      </c>
      <c r="X7" s="6">
        <v>60748.33</v>
      </c>
      <c r="Y7" s="6">
        <v>61281.72</v>
      </c>
      <c r="Z7" s="6">
        <v>62817.59</v>
      </c>
      <c r="AA7" s="6">
        <v>61899.38</v>
      </c>
      <c r="AB7" s="6">
        <v>36144.03</v>
      </c>
      <c r="AC7" s="6">
        <v>32531.16</v>
      </c>
      <c r="AD7" s="6">
        <v>33403.71</v>
      </c>
      <c r="AE7" s="6">
        <v>27968.57</v>
      </c>
      <c r="AF7" s="6">
        <v>27412.61</v>
      </c>
      <c r="AG7" s="6">
        <v>18709.259999999998</v>
      </c>
      <c r="AH7" s="6">
        <v>12180.63</v>
      </c>
      <c r="AI7" s="6">
        <v>20308.5</v>
      </c>
      <c r="AJ7" s="6">
        <v>18767.87</v>
      </c>
      <c r="AK7" s="6">
        <v>22406.28</v>
      </c>
      <c r="AL7" s="6">
        <v>22342.11</v>
      </c>
      <c r="AM7" s="6">
        <v>23822.43</v>
      </c>
      <c r="AN7" s="6">
        <v>29022.11</v>
      </c>
      <c r="AO7" s="6">
        <v>27770.21</v>
      </c>
      <c r="AP7" s="6">
        <v>32780.94</v>
      </c>
      <c r="AQ7" s="6">
        <v>37987.550000000003</v>
      </c>
      <c r="AR7" s="6">
        <v>42160.89</v>
      </c>
      <c r="AS7" s="6">
        <v>45566.79</v>
      </c>
      <c r="AT7" s="6">
        <v>44240.09</v>
      </c>
      <c r="AU7" s="6">
        <v>59857.75</v>
      </c>
      <c r="AV7" s="6">
        <v>56517.42</v>
      </c>
      <c r="AW7" s="6">
        <v>54271.14</v>
      </c>
    </row>
    <row r="8" spans="2:49" x14ac:dyDescent="0.25">
      <c r="B8" t="s">
        <v>314</v>
      </c>
      <c r="C8" t="s">
        <v>313</v>
      </c>
      <c r="D8" s="8" t="s">
        <v>315</v>
      </c>
      <c r="E8" s="6">
        <v>16025.43</v>
      </c>
      <c r="F8" s="6">
        <v>16562</v>
      </c>
      <c r="G8" s="6">
        <v>18738.77</v>
      </c>
      <c r="H8" s="6">
        <v>23070.44</v>
      </c>
      <c r="I8" s="6">
        <v>25065.75</v>
      </c>
      <c r="J8" s="6">
        <v>47065.49</v>
      </c>
      <c r="K8" s="6">
        <v>53129.9</v>
      </c>
      <c r="L8" s="6">
        <v>53962.43</v>
      </c>
      <c r="M8" s="6">
        <v>55454.6</v>
      </c>
      <c r="N8" s="6">
        <v>53051.199999999997</v>
      </c>
      <c r="O8" s="6">
        <v>44582.19</v>
      </c>
      <c r="P8" s="6">
        <v>37845.24</v>
      </c>
      <c r="Q8" s="6">
        <v>26526.46</v>
      </c>
      <c r="R8" s="6">
        <v>23690.35</v>
      </c>
      <c r="S8" s="6">
        <v>28531.35</v>
      </c>
      <c r="T8" s="6">
        <v>31135.97</v>
      </c>
      <c r="U8" s="6">
        <v>36239.620000000003</v>
      </c>
      <c r="V8" s="6">
        <v>34709.85</v>
      </c>
      <c r="W8" s="6">
        <v>30788.39</v>
      </c>
      <c r="X8" s="6">
        <v>27009.9</v>
      </c>
      <c r="Y8" s="6">
        <v>20733.62</v>
      </c>
      <c r="Z8" s="6">
        <v>28160.21</v>
      </c>
      <c r="AA8" s="6">
        <v>37540.959999999999</v>
      </c>
      <c r="AB8" s="6">
        <v>22159.68</v>
      </c>
      <c r="AC8" s="6">
        <v>34983.18</v>
      </c>
      <c r="AD8" s="6">
        <v>39533.07</v>
      </c>
      <c r="AE8" s="6">
        <v>29302.94</v>
      </c>
      <c r="AF8" s="6">
        <v>27259.79</v>
      </c>
      <c r="AG8" s="6">
        <v>13639.18</v>
      </c>
      <c r="AH8" s="6">
        <v>10790.53</v>
      </c>
      <c r="AI8" s="6">
        <v>19436.02</v>
      </c>
      <c r="AJ8" s="6">
        <v>21546.69</v>
      </c>
      <c r="AK8" s="6">
        <v>24906.09</v>
      </c>
      <c r="AL8" s="6">
        <v>23942.560000000001</v>
      </c>
      <c r="AM8" s="6">
        <v>27193.599999999999</v>
      </c>
      <c r="AN8" s="6">
        <v>37575.69</v>
      </c>
      <c r="AO8" s="6">
        <v>32693.69</v>
      </c>
      <c r="AP8" s="6">
        <v>38732.379999999997</v>
      </c>
      <c r="AQ8" s="6">
        <v>42335.48</v>
      </c>
      <c r="AR8" s="6">
        <v>46712.75</v>
      </c>
      <c r="AS8" s="6">
        <v>50023.41</v>
      </c>
      <c r="AT8" s="6">
        <v>51356.68</v>
      </c>
      <c r="AU8" s="6">
        <v>69976.09</v>
      </c>
      <c r="AV8" s="6">
        <v>60706.41</v>
      </c>
      <c r="AW8" s="6">
        <v>60266.25</v>
      </c>
    </row>
    <row r="9" spans="2:49" x14ac:dyDescent="0.25">
      <c r="B9" t="s">
        <v>316</v>
      </c>
      <c r="C9" t="s">
        <v>313</v>
      </c>
      <c r="D9" s="8" t="s">
        <v>317</v>
      </c>
      <c r="E9" s="6">
        <v>26560.11</v>
      </c>
      <c r="F9" s="6">
        <v>24625.34</v>
      </c>
      <c r="G9" s="6">
        <v>26769.08</v>
      </c>
      <c r="H9" s="6">
        <v>26018.62</v>
      </c>
      <c r="I9" s="6">
        <v>27257.24</v>
      </c>
      <c r="J9" s="6">
        <v>38650.550000000003</v>
      </c>
      <c r="K9" s="6">
        <v>51045.1</v>
      </c>
      <c r="L9" s="6">
        <v>55167.7</v>
      </c>
      <c r="M9" s="6">
        <v>61825.64</v>
      </c>
      <c r="N9" s="6">
        <v>63044.37</v>
      </c>
      <c r="O9" s="6">
        <v>55712.49</v>
      </c>
      <c r="P9" s="6">
        <v>45778.89</v>
      </c>
      <c r="Q9" s="6">
        <v>30340.59</v>
      </c>
      <c r="R9" s="6">
        <v>25301.68</v>
      </c>
      <c r="S9" s="6">
        <v>25735.08</v>
      </c>
      <c r="T9" s="6">
        <v>31078.89</v>
      </c>
      <c r="U9" s="6">
        <v>37704.910000000003</v>
      </c>
      <c r="V9" s="6">
        <v>34974.14</v>
      </c>
      <c r="W9" s="6">
        <v>28709.599999999999</v>
      </c>
      <c r="X9" s="6">
        <v>23646.74</v>
      </c>
      <c r="Y9" s="6">
        <v>13671.4</v>
      </c>
      <c r="Z9" s="6">
        <v>21845.86</v>
      </c>
      <c r="AA9" s="6">
        <v>18611.46</v>
      </c>
      <c r="AB9" s="6">
        <v>26228.7</v>
      </c>
      <c r="AC9" s="6">
        <v>28201.47</v>
      </c>
      <c r="AD9" s="6">
        <v>30851.84</v>
      </c>
      <c r="AE9" s="6">
        <v>28968.33</v>
      </c>
      <c r="AF9" s="6">
        <v>28141.74</v>
      </c>
      <c r="AG9" s="6">
        <v>21986.12</v>
      </c>
      <c r="AH9" s="6">
        <v>20497.79</v>
      </c>
      <c r="AI9" s="6">
        <v>24724.79</v>
      </c>
      <c r="AJ9" s="6">
        <v>24614.35</v>
      </c>
      <c r="AK9" s="6">
        <v>22711.51</v>
      </c>
      <c r="AL9" s="6">
        <v>23563.24</v>
      </c>
      <c r="AM9" s="6">
        <v>24533.55</v>
      </c>
      <c r="AN9" s="6">
        <v>26533.17</v>
      </c>
      <c r="AO9" s="6">
        <v>29041.58</v>
      </c>
      <c r="AP9" s="6">
        <v>31356.86</v>
      </c>
      <c r="AQ9" s="6">
        <v>34905.199999999997</v>
      </c>
      <c r="AR9" s="6">
        <v>35307.47</v>
      </c>
      <c r="AS9" s="6">
        <v>36318.519999999997</v>
      </c>
      <c r="AT9" s="6">
        <v>37455.269999999997</v>
      </c>
      <c r="AU9" s="6">
        <v>48711.9</v>
      </c>
      <c r="AV9" s="6">
        <v>47032.92</v>
      </c>
      <c r="AW9" s="6">
        <v>44192.81</v>
      </c>
    </row>
    <row r="10" spans="2:49" x14ac:dyDescent="0.25">
      <c r="B10" t="s">
        <v>318</v>
      </c>
      <c r="C10" t="s">
        <v>313</v>
      </c>
      <c r="D10" s="8" t="s">
        <v>319</v>
      </c>
      <c r="E10" s="6">
        <v>22135.279999999999</v>
      </c>
      <c r="F10" s="6">
        <v>22512.55</v>
      </c>
      <c r="G10" s="6">
        <v>21168.39</v>
      </c>
      <c r="H10" s="6">
        <v>25354.81</v>
      </c>
      <c r="I10" s="6">
        <v>25439.360000000001</v>
      </c>
      <c r="J10" s="6">
        <v>24719.38</v>
      </c>
      <c r="K10" s="6">
        <v>26204.560000000001</v>
      </c>
      <c r="L10" s="6">
        <v>24079.99</v>
      </c>
      <c r="M10" s="6">
        <v>26981.95</v>
      </c>
      <c r="N10" s="6">
        <v>27804.18</v>
      </c>
      <c r="O10" s="6">
        <v>27903.06</v>
      </c>
      <c r="P10" s="6">
        <v>23602.26</v>
      </c>
      <c r="Q10" s="6">
        <v>21818.04</v>
      </c>
      <c r="R10" s="6">
        <v>23202.86</v>
      </c>
      <c r="S10" s="6">
        <v>21906.46</v>
      </c>
      <c r="T10" s="6">
        <v>24795.4</v>
      </c>
      <c r="U10" s="6">
        <v>22889.19</v>
      </c>
      <c r="V10" s="6">
        <v>21837.67</v>
      </c>
      <c r="W10" s="6">
        <v>20710.060000000001</v>
      </c>
      <c r="X10" s="6">
        <v>20220.88</v>
      </c>
      <c r="Y10" s="6">
        <v>21364.78</v>
      </c>
      <c r="Z10" s="6">
        <v>24235.75</v>
      </c>
      <c r="AA10" s="6">
        <v>18254.169999999998</v>
      </c>
      <c r="AB10" s="6">
        <v>22808.97</v>
      </c>
      <c r="AC10" s="6">
        <v>20055.330000000002</v>
      </c>
      <c r="AD10" s="6">
        <v>21185.41</v>
      </c>
      <c r="AE10" s="6">
        <v>17162.53</v>
      </c>
      <c r="AF10" s="6">
        <v>17021.310000000001</v>
      </c>
      <c r="AG10" s="6">
        <v>15085</v>
      </c>
      <c r="AH10" s="6">
        <v>14986.76</v>
      </c>
      <c r="AI10" s="6">
        <v>16539.259999999998</v>
      </c>
      <c r="AJ10" s="6">
        <v>16202.7</v>
      </c>
      <c r="AK10" s="6">
        <v>14237.25</v>
      </c>
      <c r="AL10" s="6">
        <v>14759.22</v>
      </c>
      <c r="AM10" s="6">
        <v>15037.46</v>
      </c>
      <c r="AN10" s="6">
        <v>17052.439999999999</v>
      </c>
      <c r="AO10" s="6">
        <v>17758.98</v>
      </c>
      <c r="AP10" s="6">
        <v>18629.79</v>
      </c>
      <c r="AQ10" s="6">
        <v>19608.060000000001</v>
      </c>
      <c r="AR10" s="6">
        <v>21085.51</v>
      </c>
      <c r="AS10" s="6">
        <v>22310.67</v>
      </c>
      <c r="AT10" s="6">
        <v>23474.77</v>
      </c>
      <c r="AU10" s="6">
        <v>23133.35</v>
      </c>
      <c r="AV10" s="6">
        <v>24278.02</v>
      </c>
      <c r="AW10" s="6">
        <v>23432.880000000001</v>
      </c>
    </row>
    <row r="11" spans="2:49" x14ac:dyDescent="0.25">
      <c r="B11" t="s">
        <v>320</v>
      </c>
      <c r="C11" t="s">
        <v>313</v>
      </c>
      <c r="D11" s="8" t="s">
        <v>321</v>
      </c>
      <c r="E11" s="6">
        <v>14931.43</v>
      </c>
      <c r="F11" s="6">
        <v>14069</v>
      </c>
      <c r="G11" s="6">
        <v>11660.9</v>
      </c>
      <c r="H11" s="6">
        <v>11450.91</v>
      </c>
      <c r="I11" s="6">
        <v>12356.8</v>
      </c>
      <c r="J11" s="6">
        <v>24272.99</v>
      </c>
      <c r="K11" s="6">
        <v>33543.480000000003</v>
      </c>
      <c r="L11" s="6">
        <v>34616.32</v>
      </c>
      <c r="M11" s="6">
        <v>37498.32</v>
      </c>
      <c r="N11" s="6">
        <v>37493.160000000003</v>
      </c>
      <c r="O11" s="6">
        <v>30363.48</v>
      </c>
      <c r="P11" s="6">
        <v>25531.11</v>
      </c>
      <c r="Q11" s="6">
        <v>14881.03</v>
      </c>
      <c r="R11" s="6">
        <v>12038.95</v>
      </c>
      <c r="S11" s="6">
        <v>14316.32</v>
      </c>
      <c r="T11" s="6">
        <v>18007.41</v>
      </c>
      <c r="U11" s="6">
        <v>22552.81</v>
      </c>
      <c r="V11" s="6">
        <v>21694.05</v>
      </c>
      <c r="W11" s="6">
        <v>18028.11</v>
      </c>
      <c r="X11" s="6">
        <v>12943.01</v>
      </c>
      <c r="Y11" s="6">
        <v>7147.9</v>
      </c>
      <c r="Z11" s="6">
        <v>15832.13</v>
      </c>
      <c r="AA11" s="6">
        <v>13446.37</v>
      </c>
      <c r="AB11" s="6">
        <v>26669.119999999999</v>
      </c>
      <c r="AC11" s="6">
        <v>34545.620000000003</v>
      </c>
      <c r="AD11" s="6">
        <v>37790.730000000003</v>
      </c>
      <c r="AE11" s="6">
        <v>29719.26</v>
      </c>
      <c r="AF11" s="6">
        <v>28975.85</v>
      </c>
      <c r="AG11" s="6">
        <v>20953.759999999998</v>
      </c>
      <c r="AH11" s="6">
        <v>20003.18</v>
      </c>
      <c r="AI11" s="6">
        <v>22934.26</v>
      </c>
      <c r="AJ11" s="6">
        <v>25223.43</v>
      </c>
      <c r="AK11" s="6">
        <v>25382.52</v>
      </c>
      <c r="AL11" s="6">
        <v>24162.52</v>
      </c>
      <c r="AM11" s="6">
        <v>26853.81</v>
      </c>
      <c r="AN11" s="6">
        <v>35718.86</v>
      </c>
      <c r="AO11" s="6">
        <v>39917.089999999997</v>
      </c>
      <c r="AP11" s="6">
        <v>44360.67</v>
      </c>
      <c r="AQ11" s="6">
        <v>45799.24</v>
      </c>
      <c r="AR11" s="6">
        <v>41014.99</v>
      </c>
      <c r="AS11" s="6">
        <v>42330.82</v>
      </c>
      <c r="AT11" s="6">
        <v>43213.440000000002</v>
      </c>
      <c r="AU11" s="6">
        <v>55406</v>
      </c>
      <c r="AV11" s="6">
        <v>52547.9</v>
      </c>
      <c r="AW11" s="6">
        <v>51447.02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3:C23"/>
  <sheetViews>
    <sheetView showGridLines="0" workbookViewId="0">
      <selection activeCell="F17" sqref="F17"/>
    </sheetView>
  </sheetViews>
  <sheetFormatPr defaultRowHeight="15" x14ac:dyDescent="0.25"/>
  <cols>
    <col min="1" max="1" width="9.140625" style="361"/>
    <col min="2" max="2" width="9.140625" style="369"/>
    <col min="3" max="3" width="90.28515625" style="367" customWidth="1"/>
    <col min="4" max="16384" width="9.140625" style="361"/>
  </cols>
  <sheetData>
    <row r="3" spans="2:3" s="362" customFormat="1" x14ac:dyDescent="0.25">
      <c r="B3" s="368" t="s">
        <v>324</v>
      </c>
      <c r="C3" s="365" t="s">
        <v>326</v>
      </c>
    </row>
    <row r="4" spans="2:3" ht="30" x14ac:dyDescent="0.25">
      <c r="B4" s="368">
        <v>1</v>
      </c>
      <c r="C4" s="364" t="s">
        <v>337</v>
      </c>
    </row>
    <row r="5" spans="2:3" x14ac:dyDescent="0.25">
      <c r="B5" s="368">
        <v>2</v>
      </c>
      <c r="C5" s="364" t="s">
        <v>325</v>
      </c>
    </row>
    <row r="6" spans="2:3" ht="60" x14ac:dyDescent="0.25">
      <c r="B6" s="368">
        <v>3</v>
      </c>
      <c r="C6" s="364" t="s">
        <v>338</v>
      </c>
    </row>
    <row r="7" spans="2:3" ht="60" x14ac:dyDescent="0.25">
      <c r="B7" s="368">
        <v>4</v>
      </c>
      <c r="C7" s="364" t="s">
        <v>339</v>
      </c>
    </row>
    <row r="8" spans="2:3" ht="30" x14ac:dyDescent="0.25">
      <c r="B8" s="368">
        <v>5</v>
      </c>
      <c r="C8" s="364" t="s">
        <v>340</v>
      </c>
    </row>
    <row r="9" spans="2:3" ht="30" x14ac:dyDescent="0.25">
      <c r="B9" s="368">
        <v>6</v>
      </c>
      <c r="C9" s="364" t="s">
        <v>328</v>
      </c>
    </row>
    <row r="10" spans="2:3" ht="30" x14ac:dyDescent="0.25">
      <c r="B10" s="368">
        <v>7</v>
      </c>
      <c r="C10" s="364" t="s">
        <v>327</v>
      </c>
    </row>
    <row r="11" spans="2:3" ht="30" x14ac:dyDescent="0.25">
      <c r="B11" s="368">
        <v>8</v>
      </c>
      <c r="C11" s="364" t="s">
        <v>329</v>
      </c>
    </row>
    <row r="12" spans="2:3" ht="30" x14ac:dyDescent="0.25">
      <c r="B12" s="368">
        <v>9</v>
      </c>
      <c r="C12" s="364" t="s">
        <v>330</v>
      </c>
    </row>
    <row r="13" spans="2:3" ht="30" x14ac:dyDescent="0.25">
      <c r="B13" s="368">
        <v>10</v>
      </c>
      <c r="C13" s="364" t="s">
        <v>331</v>
      </c>
    </row>
    <row r="14" spans="2:3" ht="30" x14ac:dyDescent="0.25">
      <c r="B14" s="368">
        <v>11</v>
      </c>
      <c r="C14" s="364" t="s">
        <v>332</v>
      </c>
    </row>
    <row r="15" spans="2:3" ht="30" x14ac:dyDescent="0.25">
      <c r="B15" s="368">
        <v>12</v>
      </c>
      <c r="C15" s="364" t="s">
        <v>333</v>
      </c>
    </row>
    <row r="16" spans="2:3" x14ac:dyDescent="0.25">
      <c r="B16" s="368">
        <v>13</v>
      </c>
      <c r="C16" s="364" t="str">
        <f>CONCATENATE("Payback is calculated as Discounted type with Discounting factor of   ",TEXT('CASHFLOW-IRR-PAYBACK'!K2,"0.0%"))</f>
        <v>Payback is calculated as Discounted type with Discounting factor of   8.5%</v>
      </c>
    </row>
    <row r="17" spans="2:3" x14ac:dyDescent="0.25">
      <c r="B17" s="368">
        <v>14</v>
      </c>
      <c r="C17" s="364" t="str">
        <f>CONCATENATE("Inflation rate of  ",TEXT('CASHFLOW-IRR-PAYBACK'!D3,"0.0%"),"  is used")</f>
        <v>Inflation rate of  3.0%  is used</v>
      </c>
    </row>
    <row r="18" spans="2:3" ht="30" x14ac:dyDescent="0.25">
      <c r="B18" s="368">
        <v>15</v>
      </c>
      <c r="C18" s="364" t="s">
        <v>341</v>
      </c>
    </row>
    <row r="19" spans="2:3" ht="60" x14ac:dyDescent="0.25">
      <c r="B19" s="368">
        <v>16</v>
      </c>
      <c r="C19" s="364" t="s">
        <v>342</v>
      </c>
    </row>
    <row r="20" spans="2:3" ht="30" x14ac:dyDescent="0.25">
      <c r="B20" s="368">
        <v>17</v>
      </c>
      <c r="C20" s="364" t="s">
        <v>334</v>
      </c>
    </row>
    <row r="21" spans="2:3" ht="30" x14ac:dyDescent="0.25">
      <c r="B21" s="368">
        <v>18</v>
      </c>
      <c r="C21" s="370" t="s">
        <v>335</v>
      </c>
    </row>
    <row r="22" spans="2:3" x14ac:dyDescent="0.25">
      <c r="B22" s="368">
        <v>19</v>
      </c>
      <c r="C22" s="364" t="str">
        <f>CONCATENATE("Project- Construction Phase is   ", TEXT('CASHFLOW-IRR-PAYBACK'!$G$2,"0.0")," years as assumed.")</f>
        <v>Project- Construction Phase is   4.0 years as assumed.</v>
      </c>
    </row>
    <row r="23" spans="2:3" x14ac:dyDescent="0.25">
      <c r="B23" s="368">
        <v>20</v>
      </c>
      <c r="C23" s="364" t="s">
        <v>343</v>
      </c>
    </row>
  </sheetData>
  <sheetProtection algorithmName="SHA-512" hashValue="fNOL+vnjy7tJLYy5Ifhrw6BU2qI+CABnkk9kiRriA4uDrLQj+V9ZPgZroTM/tpOMMyw+I1eHzs+oA19TTjoxfg==" saltValue="I9E33734ck7gJCEEXLhtXQ==" spinCount="100000" sheet="1" objects="1" scenario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BH106"/>
  <sheetViews>
    <sheetView showGridLines="0" zoomScale="96" zoomScaleNormal="96" workbookViewId="0">
      <selection activeCell="J5" sqref="J5"/>
    </sheetView>
  </sheetViews>
  <sheetFormatPr defaultRowHeight="15" x14ac:dyDescent="0.25"/>
  <cols>
    <col min="1" max="2" width="9.140625" style="361"/>
    <col min="3" max="3" width="57.42578125" style="361" bestFit="1" customWidth="1"/>
    <col min="4" max="4" width="17.42578125" style="361" bestFit="1" customWidth="1"/>
    <col min="5" max="48" width="12.5703125" style="361" customWidth="1"/>
    <col min="49" max="49" width="17.140625" style="361" bestFit="1" customWidth="1"/>
    <col min="50" max="50" width="13.85546875" style="361" bestFit="1" customWidth="1"/>
    <col min="51" max="55" width="9.140625" style="361"/>
    <col min="56" max="56" width="57.28515625" style="367" bestFit="1" customWidth="1"/>
    <col min="57" max="57" width="18" style="361" bestFit="1" customWidth="1"/>
    <col min="58" max="58" width="10.42578125" style="361" bestFit="1" customWidth="1"/>
    <col min="59" max="16384" width="9.140625" style="361"/>
  </cols>
  <sheetData>
    <row r="1" spans="3:58" x14ac:dyDescent="0.25">
      <c r="C1" s="6" t="s">
        <v>295</v>
      </c>
      <c r="D1" s="408" t="s">
        <v>356</v>
      </c>
      <c r="E1" s="408" t="s">
        <v>357</v>
      </c>
      <c r="F1" s="408" t="s">
        <v>358</v>
      </c>
      <c r="G1" s="408" t="s">
        <v>221</v>
      </c>
    </row>
    <row r="2" spans="3:58" x14ac:dyDescent="0.25">
      <c r="C2" s="6" t="s">
        <v>354</v>
      </c>
      <c r="D2" s="6">
        <f>'DFCU Yields as per PwC'!B32</f>
        <v>0.98795180722891562</v>
      </c>
      <c r="E2" s="6">
        <f>'DFCU Yields as per PwC'!C32</f>
        <v>0.65714285714285725</v>
      </c>
      <c r="F2" s="6">
        <f>'DFCU Yields as per PwC'!D32</f>
        <v>0.57894736842105254</v>
      </c>
      <c r="G2" s="6">
        <f>'DFCU Yields as per PwC'!E32</f>
        <v>0.62378167641325533</v>
      </c>
    </row>
    <row r="3" spans="3:58" x14ac:dyDescent="0.25">
      <c r="C3" s="6" t="s">
        <v>355</v>
      </c>
      <c r="D3" s="6">
        <f>'DFCU Yields as per PwC'!B33</f>
        <v>1.2048192771084376E-2</v>
      </c>
      <c r="E3" s="6">
        <f>'DFCU Yields as per PwC'!C33</f>
        <v>0.34285714285714275</v>
      </c>
      <c r="F3" s="6">
        <f>'DFCU Yields as per PwC'!D33</f>
        <v>0.42105263157894746</v>
      </c>
      <c r="G3" s="6">
        <f>'DFCU Yields as per PwC'!E33</f>
        <v>0.37621832358674467</v>
      </c>
    </row>
    <row r="4" spans="3:58" ht="21" x14ac:dyDescent="0.35">
      <c r="C4" s="1002" t="s">
        <v>146</v>
      </c>
      <c r="D4" s="1002"/>
      <c r="E4" s="1002"/>
      <c r="F4" s="1002"/>
      <c r="G4" s="1002"/>
      <c r="H4" s="1002"/>
      <c r="I4" s="1002"/>
      <c r="J4" s="1002"/>
      <c r="K4" s="1002"/>
      <c r="L4" s="1002"/>
      <c r="M4" s="1002"/>
      <c r="N4" s="1002"/>
      <c r="O4" s="1002"/>
      <c r="P4" s="1002"/>
      <c r="Q4" s="1002"/>
      <c r="R4" s="1002"/>
      <c r="S4" s="1002"/>
      <c r="T4" s="1002"/>
      <c r="U4" s="1002"/>
      <c r="V4" s="1002"/>
      <c r="W4" s="1002"/>
      <c r="X4" s="1002"/>
      <c r="Y4" s="1002"/>
      <c r="Z4" s="1002"/>
      <c r="AA4" s="1002"/>
      <c r="AB4" s="1002"/>
      <c r="AC4" s="1002"/>
      <c r="AD4" s="1002"/>
      <c r="AE4" s="1002"/>
      <c r="AF4" s="1002"/>
    </row>
    <row r="5" spans="3:58" x14ac:dyDescent="0.25">
      <c r="C5" s="166" t="s">
        <v>138</v>
      </c>
      <c r="D5" s="167">
        <v>43101</v>
      </c>
      <c r="E5" s="167">
        <v>43132</v>
      </c>
      <c r="F5" s="167">
        <v>43160</v>
      </c>
      <c r="G5" s="167">
        <v>43191</v>
      </c>
      <c r="H5" s="167">
        <v>43221</v>
      </c>
      <c r="I5" s="167">
        <v>43252</v>
      </c>
      <c r="J5" s="167">
        <v>43282</v>
      </c>
      <c r="K5" s="167">
        <v>43313</v>
      </c>
      <c r="L5" s="167">
        <v>43344</v>
      </c>
      <c r="M5" s="167">
        <v>43374</v>
      </c>
      <c r="N5" s="167">
        <v>43405</v>
      </c>
      <c r="O5" s="167">
        <v>43435</v>
      </c>
      <c r="P5" s="167">
        <v>43466</v>
      </c>
      <c r="Q5" s="167">
        <v>43497</v>
      </c>
      <c r="R5" s="167">
        <v>43525</v>
      </c>
      <c r="S5" s="167">
        <v>43556</v>
      </c>
      <c r="T5" s="167">
        <v>43586</v>
      </c>
      <c r="U5" s="167">
        <v>43617</v>
      </c>
      <c r="V5" s="167">
        <v>43647</v>
      </c>
      <c r="W5" s="167">
        <v>43678</v>
      </c>
      <c r="X5" s="167">
        <v>43709</v>
      </c>
      <c r="Y5" s="167">
        <v>43739</v>
      </c>
      <c r="Z5" s="167">
        <v>43770</v>
      </c>
      <c r="AA5" s="167">
        <v>43800</v>
      </c>
      <c r="AB5" s="167">
        <v>43831</v>
      </c>
      <c r="AC5" s="167">
        <v>43862</v>
      </c>
      <c r="AD5" s="167">
        <v>43891</v>
      </c>
      <c r="AE5" s="167">
        <v>43922</v>
      </c>
      <c r="AF5" s="167">
        <v>43952</v>
      </c>
      <c r="AG5" s="167">
        <v>43983</v>
      </c>
      <c r="AH5" s="167">
        <v>44013</v>
      </c>
      <c r="AI5" s="167">
        <v>44044</v>
      </c>
      <c r="AJ5" s="167">
        <v>44075</v>
      </c>
      <c r="AK5" s="167">
        <v>44105</v>
      </c>
      <c r="AL5" s="167">
        <v>44136</v>
      </c>
      <c r="AM5" s="167">
        <v>44166</v>
      </c>
      <c r="AN5" s="167">
        <v>44197</v>
      </c>
      <c r="AO5" s="167">
        <v>44228</v>
      </c>
      <c r="AP5" s="167">
        <v>44256</v>
      </c>
      <c r="AQ5" s="167">
        <v>44287</v>
      </c>
      <c r="AR5" s="167">
        <v>44317</v>
      </c>
      <c r="AS5" s="167">
        <v>44348</v>
      </c>
      <c r="AT5" s="167">
        <v>44378</v>
      </c>
      <c r="AU5" s="167">
        <v>44409</v>
      </c>
      <c r="AV5" s="167">
        <v>44440</v>
      </c>
      <c r="AW5" s="171" t="s">
        <v>145</v>
      </c>
      <c r="BD5" s="364" t="str">
        <f>C5</f>
        <v>Chemical product Price (Rs/MT)</v>
      </c>
      <c r="BE5" s="595" t="s">
        <v>579</v>
      </c>
    </row>
    <row r="6" spans="3:58" x14ac:dyDescent="0.25">
      <c r="C6" s="168" t="s">
        <v>139</v>
      </c>
      <c r="D6" s="168">
        <v>57152</v>
      </c>
      <c r="E6" s="168">
        <v>58526</v>
      </c>
      <c r="F6" s="168">
        <v>58277</v>
      </c>
      <c r="G6" s="168">
        <v>55909</v>
      </c>
      <c r="H6" s="168">
        <v>55303</v>
      </c>
      <c r="I6" s="168">
        <v>58424</v>
      </c>
      <c r="J6" s="168">
        <v>56706</v>
      </c>
      <c r="K6" s="168">
        <v>57565</v>
      </c>
      <c r="L6" s="168">
        <v>61481</v>
      </c>
      <c r="M6" s="168">
        <v>61877</v>
      </c>
      <c r="N6" s="168">
        <v>61367</v>
      </c>
      <c r="O6" s="168">
        <v>49658</v>
      </c>
      <c r="P6" s="168">
        <v>41296</v>
      </c>
      <c r="Q6" s="168">
        <v>39412</v>
      </c>
      <c r="R6" s="168">
        <v>42670</v>
      </c>
      <c r="S6" s="168">
        <v>42621</v>
      </c>
      <c r="T6" s="168">
        <v>43930</v>
      </c>
      <c r="U6" s="168">
        <v>44300</v>
      </c>
      <c r="V6" s="168">
        <v>44000</v>
      </c>
      <c r="W6" s="168">
        <v>46900</v>
      </c>
      <c r="X6" s="168">
        <v>48100</v>
      </c>
      <c r="Y6" s="168">
        <v>52100</v>
      </c>
      <c r="Z6" s="168">
        <v>48600</v>
      </c>
      <c r="AA6" s="168">
        <v>47000</v>
      </c>
      <c r="AB6" s="168">
        <v>52400</v>
      </c>
      <c r="AC6" s="168">
        <v>52900</v>
      </c>
      <c r="AD6" s="168">
        <v>48400</v>
      </c>
      <c r="AE6" s="178">
        <v>37400</v>
      </c>
      <c r="AF6" s="178">
        <v>24900</v>
      </c>
      <c r="AG6" s="178">
        <v>30300</v>
      </c>
      <c r="AH6" s="178">
        <v>33900</v>
      </c>
      <c r="AI6" s="178">
        <v>33100</v>
      </c>
      <c r="AJ6" s="178">
        <v>34400</v>
      </c>
      <c r="AK6" s="178">
        <v>32600</v>
      </c>
      <c r="AL6" s="178">
        <v>32500</v>
      </c>
      <c r="AM6" s="178">
        <v>40800</v>
      </c>
      <c r="AN6" s="178">
        <v>47900</v>
      </c>
      <c r="AO6" s="178">
        <v>48900</v>
      </c>
      <c r="AP6" s="178">
        <v>57200</v>
      </c>
      <c r="AQ6" s="178">
        <v>62200</v>
      </c>
      <c r="AR6" s="178">
        <v>70100</v>
      </c>
      <c r="AS6" s="178">
        <v>75100</v>
      </c>
      <c r="AT6" s="178">
        <v>71430</v>
      </c>
      <c r="AU6" s="178">
        <v>78990</v>
      </c>
      <c r="AV6" s="178">
        <v>72940</v>
      </c>
      <c r="AW6" s="179">
        <f>AVERAGE(D6:AV6)</f>
        <v>50478.533333333333</v>
      </c>
      <c r="AX6" s="350"/>
      <c r="BD6" s="364" t="str">
        <f t="shared" ref="BD6:BD69" si="0">C6</f>
        <v xml:space="preserve">Benzene </v>
      </c>
      <c r="BE6" s="596">
        <f>AW6</f>
        <v>50478.533333333333</v>
      </c>
      <c r="BF6" s="351"/>
    </row>
    <row r="7" spans="3:58" x14ac:dyDescent="0.25">
      <c r="C7" s="168" t="s">
        <v>140</v>
      </c>
      <c r="D7" s="168">
        <v>69058</v>
      </c>
      <c r="E7" s="168">
        <v>79391</v>
      </c>
      <c r="F7" s="168">
        <v>87624</v>
      </c>
      <c r="G7" s="168">
        <v>91678</v>
      </c>
      <c r="H7" s="168">
        <v>90255</v>
      </c>
      <c r="I7" s="168">
        <v>110428</v>
      </c>
      <c r="J7" s="168">
        <v>113142</v>
      </c>
      <c r="K7" s="168">
        <v>109389</v>
      </c>
      <c r="L7" s="168">
        <v>117818</v>
      </c>
      <c r="M7" s="168">
        <v>104990</v>
      </c>
      <c r="N7" s="168">
        <v>79612</v>
      </c>
      <c r="O7" s="168">
        <v>76089</v>
      </c>
      <c r="P7" s="168">
        <v>79660</v>
      </c>
      <c r="Q7" s="168">
        <v>80367</v>
      </c>
      <c r="R7" s="168">
        <v>75404</v>
      </c>
      <c r="S7" s="168">
        <v>71634</v>
      </c>
      <c r="T7" s="168">
        <v>63615</v>
      </c>
      <c r="U7" s="168">
        <v>66900</v>
      </c>
      <c r="V7" s="168">
        <v>74300</v>
      </c>
      <c r="W7" s="168">
        <v>76800</v>
      </c>
      <c r="X7" s="168">
        <v>85000</v>
      </c>
      <c r="Y7" s="168">
        <v>87600</v>
      </c>
      <c r="Z7" s="168">
        <v>81700</v>
      </c>
      <c r="AA7" s="168">
        <v>62200</v>
      </c>
      <c r="AB7" s="168">
        <v>63400</v>
      </c>
      <c r="AC7" s="168">
        <v>65100</v>
      </c>
      <c r="AD7" s="168">
        <v>56000</v>
      </c>
      <c r="AE7" s="178">
        <v>50100</v>
      </c>
      <c r="AF7" s="178">
        <v>28400</v>
      </c>
      <c r="AG7" s="178">
        <v>21600</v>
      </c>
      <c r="AH7" s="178">
        <v>22700</v>
      </c>
      <c r="AI7" s="178">
        <v>28600</v>
      </c>
      <c r="AJ7" s="178">
        <v>40200</v>
      </c>
      <c r="AK7" s="178">
        <v>50700</v>
      </c>
      <c r="AL7" s="178">
        <v>66900</v>
      </c>
      <c r="AM7" s="178">
        <v>94800</v>
      </c>
      <c r="AN7" s="178">
        <v>86100</v>
      </c>
      <c r="AO7" s="178">
        <v>58900</v>
      </c>
      <c r="AP7" s="178">
        <v>57400</v>
      </c>
      <c r="AQ7" s="178">
        <v>80900</v>
      </c>
      <c r="AR7" s="178">
        <v>72100</v>
      </c>
      <c r="AS7" s="178">
        <v>73600</v>
      </c>
      <c r="AT7" s="178">
        <v>88040</v>
      </c>
      <c r="AU7" s="178">
        <v>107190</v>
      </c>
      <c r="AV7" s="178">
        <v>116560</v>
      </c>
      <c r="AW7" s="179">
        <f>AVERAGE(D7:AV7)</f>
        <v>74754.311111111107</v>
      </c>
      <c r="AX7" s="350"/>
      <c r="BD7" s="364" t="str">
        <f t="shared" si="0"/>
        <v xml:space="preserve"> 1,3Butadiene </v>
      </c>
      <c r="BE7" s="596">
        <f>AW7</f>
        <v>74754.311111111107</v>
      </c>
      <c r="BF7" s="351"/>
    </row>
    <row r="8" spans="3:58" x14ac:dyDescent="0.25">
      <c r="C8" s="168" t="s">
        <v>141</v>
      </c>
      <c r="D8" s="168">
        <v>40278</v>
      </c>
      <c r="E8" s="168">
        <v>40825</v>
      </c>
      <c r="F8" s="168">
        <v>39651</v>
      </c>
      <c r="G8" s="168">
        <v>40745</v>
      </c>
      <c r="H8" s="168">
        <v>43210</v>
      </c>
      <c r="I8" s="168">
        <v>49220</v>
      </c>
      <c r="J8" s="168">
        <v>47166</v>
      </c>
      <c r="K8" s="168">
        <v>48765</v>
      </c>
      <c r="L8" s="168">
        <v>49461</v>
      </c>
      <c r="M8" s="168">
        <v>53775</v>
      </c>
      <c r="N8" s="168">
        <v>54370</v>
      </c>
      <c r="O8" s="168">
        <v>41640</v>
      </c>
      <c r="P8" s="168">
        <v>37117</v>
      </c>
      <c r="Q8" s="168">
        <v>37203</v>
      </c>
      <c r="R8" s="168">
        <v>40633</v>
      </c>
      <c r="S8" s="168">
        <v>41946</v>
      </c>
      <c r="T8" s="168">
        <v>44260</v>
      </c>
      <c r="U8" s="168">
        <v>46500</v>
      </c>
      <c r="V8" s="168">
        <v>40900</v>
      </c>
      <c r="W8" s="168">
        <v>43100</v>
      </c>
      <c r="X8" s="168">
        <v>41200</v>
      </c>
      <c r="Y8" s="168">
        <v>43200</v>
      </c>
      <c r="Z8" s="168">
        <v>43200</v>
      </c>
      <c r="AA8" s="168">
        <v>45400</v>
      </c>
      <c r="AB8" s="168">
        <v>48300</v>
      </c>
      <c r="AC8" s="168">
        <v>47500</v>
      </c>
      <c r="AD8" s="168">
        <v>43200</v>
      </c>
      <c r="AE8" s="178">
        <v>30300</v>
      </c>
      <c r="AF8" s="178">
        <v>20000</v>
      </c>
      <c r="AG8" s="178">
        <v>25600</v>
      </c>
      <c r="AH8" s="178">
        <v>36800</v>
      </c>
      <c r="AI8" s="178">
        <v>39400</v>
      </c>
      <c r="AJ8" s="178">
        <v>39300</v>
      </c>
      <c r="AK8" s="178">
        <v>38800</v>
      </c>
      <c r="AL8" s="178">
        <v>38500</v>
      </c>
      <c r="AM8" s="178">
        <v>34300</v>
      </c>
      <c r="AN8" s="178">
        <v>37200</v>
      </c>
      <c r="AO8" s="178">
        <v>42600</v>
      </c>
      <c r="AP8" s="178">
        <v>46400</v>
      </c>
      <c r="AQ8" s="178">
        <v>47800</v>
      </c>
      <c r="AR8" s="178">
        <v>47000</v>
      </c>
      <c r="AS8" s="178">
        <v>49100</v>
      </c>
      <c r="AT8" s="178">
        <v>52210</v>
      </c>
      <c r="AU8" s="178">
        <v>56230</v>
      </c>
      <c r="AV8" s="178">
        <v>53120</v>
      </c>
      <c r="AW8" s="179">
        <f>AVERAGE(D8:AV8)</f>
        <v>42831.666666666664</v>
      </c>
      <c r="AX8" s="350"/>
      <c r="BD8" s="364" t="str">
        <f t="shared" si="0"/>
        <v xml:space="preserve"> Hydrogenated Pygas (HPG) </v>
      </c>
      <c r="BE8" s="596">
        <f>AW8</f>
        <v>42831.666666666664</v>
      </c>
      <c r="BF8" s="351"/>
    </row>
    <row r="9" spans="3:58" x14ac:dyDescent="0.25">
      <c r="C9" s="168" t="s">
        <v>142</v>
      </c>
      <c r="D9" s="168">
        <v>22284</v>
      </c>
      <c r="E9" s="168">
        <v>23133</v>
      </c>
      <c r="F9" s="168">
        <v>21818</v>
      </c>
      <c r="G9" s="168">
        <v>22281</v>
      </c>
      <c r="H9" s="168">
        <v>24177</v>
      </c>
      <c r="I9" s="168">
        <v>28071</v>
      </c>
      <c r="J9" s="168">
        <v>28045</v>
      </c>
      <c r="K9" s="168">
        <v>29524</v>
      </c>
      <c r="L9" s="168">
        <v>28439</v>
      </c>
      <c r="M9" s="168">
        <v>30668</v>
      </c>
      <c r="N9" s="168">
        <v>33226</v>
      </c>
      <c r="O9" s="168">
        <v>28437</v>
      </c>
      <c r="P9" s="168">
        <v>23915</v>
      </c>
      <c r="Q9" s="168">
        <v>25268</v>
      </c>
      <c r="R9" s="168">
        <v>28957</v>
      </c>
      <c r="S9" s="168">
        <v>29150</v>
      </c>
      <c r="T9" s="168">
        <v>30044</v>
      </c>
      <c r="U9" s="168">
        <v>28400</v>
      </c>
      <c r="V9" s="168">
        <v>25400</v>
      </c>
      <c r="W9" s="168">
        <v>26700</v>
      </c>
      <c r="X9" s="168">
        <v>22400</v>
      </c>
      <c r="Y9" s="168">
        <v>24500</v>
      </c>
      <c r="Z9" s="168">
        <v>21200</v>
      </c>
      <c r="AA9" s="168">
        <v>18600</v>
      </c>
      <c r="AB9" s="168">
        <v>21400</v>
      </c>
      <c r="AC9" s="168">
        <v>22400</v>
      </c>
      <c r="AD9" s="168">
        <v>23100</v>
      </c>
      <c r="AE9" s="178">
        <v>14400</v>
      </c>
      <c r="AF9" s="178">
        <v>10800</v>
      </c>
      <c r="AG9" s="178">
        <v>14100</v>
      </c>
      <c r="AH9" s="178">
        <v>18300</v>
      </c>
      <c r="AI9" s="178">
        <v>20100</v>
      </c>
      <c r="AJ9" s="178">
        <v>21300</v>
      </c>
      <c r="AK9" s="178">
        <v>20000</v>
      </c>
      <c r="AL9" s="178">
        <v>20600</v>
      </c>
      <c r="AM9" s="178">
        <v>21500</v>
      </c>
      <c r="AN9" s="178">
        <v>23400</v>
      </c>
      <c r="AO9" s="178">
        <v>24700</v>
      </c>
      <c r="AP9" s="178">
        <v>27200</v>
      </c>
      <c r="AQ9" s="178">
        <v>28300</v>
      </c>
      <c r="AR9" s="178">
        <v>29000</v>
      </c>
      <c r="AS9" s="178">
        <v>29700</v>
      </c>
      <c r="AT9" s="178">
        <v>31350</v>
      </c>
      <c r="AU9" s="178">
        <v>30470</v>
      </c>
      <c r="AV9" s="178">
        <v>31250</v>
      </c>
      <c r="AW9" s="179">
        <f>AVERAGE(D9:AV9)</f>
        <v>24622.37777777778</v>
      </c>
      <c r="AX9" s="350"/>
      <c r="BD9" s="364" t="str">
        <f t="shared" si="0"/>
        <v xml:space="preserve"> CBFS </v>
      </c>
      <c r="BE9" s="596">
        <f>AW9</f>
        <v>24622.37777777778</v>
      </c>
      <c r="BF9" s="351"/>
    </row>
    <row r="10" spans="3:58" x14ac:dyDescent="0.25">
      <c r="C10" s="168" t="s">
        <v>143</v>
      </c>
      <c r="D10" s="168">
        <v>35090</v>
      </c>
      <c r="E10" s="168">
        <v>35648</v>
      </c>
      <c r="F10" s="168">
        <v>34823</v>
      </c>
      <c r="G10" s="168">
        <v>35869</v>
      </c>
      <c r="H10" s="168">
        <v>38900</v>
      </c>
      <c r="I10" s="168">
        <v>48637</v>
      </c>
      <c r="J10" s="168">
        <v>46484</v>
      </c>
      <c r="K10" s="168">
        <v>48182</v>
      </c>
      <c r="L10" s="168">
        <v>48880</v>
      </c>
      <c r="M10" s="168">
        <v>53437</v>
      </c>
      <c r="N10" s="168">
        <v>53976</v>
      </c>
      <c r="O10" s="168">
        <v>40000</v>
      </c>
      <c r="P10" s="168">
        <v>35076</v>
      </c>
      <c r="Q10" s="168">
        <v>35172</v>
      </c>
      <c r="R10" s="168">
        <v>38937</v>
      </c>
      <c r="S10" s="168">
        <v>40545</v>
      </c>
      <c r="T10" s="168">
        <v>43117</v>
      </c>
      <c r="U10" s="168">
        <v>41200</v>
      </c>
      <c r="V10" s="168">
        <v>35000</v>
      </c>
      <c r="W10" s="168">
        <v>37500</v>
      </c>
      <c r="X10" s="168">
        <v>35100</v>
      </c>
      <c r="Y10" s="168">
        <v>37300</v>
      </c>
      <c r="Z10" s="168">
        <v>37300</v>
      </c>
      <c r="AA10" s="168">
        <v>39700</v>
      </c>
      <c r="AB10" s="168">
        <v>41700</v>
      </c>
      <c r="AC10" s="168">
        <v>40900</v>
      </c>
      <c r="AD10" s="168">
        <v>38000</v>
      </c>
      <c r="AE10" s="178">
        <v>25000</v>
      </c>
      <c r="AF10" s="178">
        <v>19100</v>
      </c>
      <c r="AG10" s="178">
        <v>25000</v>
      </c>
      <c r="AH10" s="178">
        <v>31800</v>
      </c>
      <c r="AI10" s="178">
        <v>33800</v>
      </c>
      <c r="AJ10" s="178">
        <v>35100</v>
      </c>
      <c r="AK10" s="178">
        <v>36000</v>
      </c>
      <c r="AL10" s="178">
        <v>35700</v>
      </c>
      <c r="AM10" s="178">
        <v>35700</v>
      </c>
      <c r="AN10" s="178">
        <v>39300</v>
      </c>
      <c r="AO10" s="178">
        <v>42500</v>
      </c>
      <c r="AP10" s="178">
        <v>46600</v>
      </c>
      <c r="AQ10" s="178">
        <v>48300</v>
      </c>
      <c r="AR10" s="178">
        <v>44700</v>
      </c>
      <c r="AS10" s="178">
        <v>47100</v>
      </c>
      <c r="AT10" s="178">
        <v>50610</v>
      </c>
      <c r="AU10" s="178">
        <v>50620</v>
      </c>
      <c r="AV10" s="178">
        <v>44350</v>
      </c>
      <c r="AW10" s="179">
        <f>AVERAGE(D10:AV10)</f>
        <v>39727.844444444447</v>
      </c>
      <c r="AX10" s="350"/>
      <c r="BD10" s="364" t="str">
        <f t="shared" si="0"/>
        <v xml:space="preserve"> C9+   </v>
      </c>
      <c r="BE10" s="596">
        <f>AW10</f>
        <v>39727.844444444447</v>
      </c>
      <c r="BF10" s="351"/>
    </row>
    <row r="11" spans="3:58" x14ac:dyDescent="0.25">
      <c r="C11" s="168" t="s">
        <v>144</v>
      </c>
      <c r="D11" s="168"/>
      <c r="E11" s="168"/>
      <c r="F11" s="168"/>
      <c r="G11" s="168"/>
      <c r="H11" s="168"/>
      <c r="I11" s="168"/>
      <c r="J11" s="168"/>
      <c r="K11" s="168"/>
      <c r="L11" s="168"/>
      <c r="M11" s="168"/>
      <c r="N11" s="168"/>
      <c r="O11" s="168"/>
      <c r="P11" s="168"/>
      <c r="Q11" s="168"/>
      <c r="R11" s="168"/>
      <c r="S11" s="168"/>
      <c r="T11" s="168"/>
      <c r="U11" s="168"/>
      <c r="V11" s="168"/>
      <c r="W11" s="168"/>
      <c r="X11" s="168"/>
      <c r="Y11" s="168"/>
      <c r="Z11" s="168"/>
      <c r="AA11" s="168"/>
      <c r="AB11" s="168"/>
      <c r="AC11" s="168"/>
      <c r="AD11" s="168"/>
      <c r="AE11" s="169">
        <v>21900</v>
      </c>
      <c r="AF11" s="169">
        <v>17400</v>
      </c>
      <c r="AG11" s="169">
        <v>32300</v>
      </c>
      <c r="AH11" s="169">
        <v>31500</v>
      </c>
      <c r="AI11" s="169">
        <v>31000</v>
      </c>
      <c r="AJ11" s="169">
        <v>30000</v>
      </c>
      <c r="AK11" s="169">
        <v>27000</v>
      </c>
      <c r="AL11" s="169">
        <v>31000</v>
      </c>
      <c r="AM11" s="169">
        <v>32000</v>
      </c>
      <c r="AX11" s="350"/>
      <c r="BD11" s="364" t="str">
        <f t="shared" si="0"/>
        <v xml:space="preserve"> MFO </v>
      </c>
      <c r="BF11" s="351"/>
    </row>
    <row r="12" spans="3:58" x14ac:dyDescent="0.25">
      <c r="C12" s="399"/>
      <c r="D12" s="396"/>
      <c r="E12" s="396"/>
      <c r="F12" s="396"/>
      <c r="G12" s="396"/>
      <c r="H12" s="396"/>
      <c r="I12" s="396"/>
      <c r="J12" s="396"/>
      <c r="K12" s="396"/>
      <c r="L12" s="396"/>
      <c r="M12" s="396"/>
      <c r="N12" s="396"/>
      <c r="O12" s="396"/>
      <c r="P12" s="396"/>
      <c r="Q12" s="396"/>
      <c r="R12" s="396"/>
      <c r="S12" s="396"/>
      <c r="T12" s="396"/>
      <c r="U12" s="396"/>
      <c r="V12" s="396"/>
      <c r="W12" s="396"/>
      <c r="X12" s="396"/>
      <c r="Y12" s="396"/>
      <c r="Z12" s="396"/>
      <c r="AA12" s="396"/>
      <c r="AB12" s="396"/>
      <c r="AC12" s="396"/>
      <c r="AD12" s="396"/>
      <c r="AE12" s="397"/>
      <c r="AF12" s="398"/>
      <c r="AG12" s="398"/>
      <c r="AH12" s="398"/>
      <c r="AI12" s="398"/>
      <c r="AJ12" s="398"/>
      <c r="AK12" s="398"/>
      <c r="AL12" s="398"/>
      <c r="AM12" s="398"/>
      <c r="AX12" s="350"/>
      <c r="BD12" s="364">
        <f t="shared" si="0"/>
        <v>0</v>
      </c>
      <c r="BF12" s="351"/>
    </row>
    <row r="13" spans="3:58" x14ac:dyDescent="0.25">
      <c r="C13" s="168" t="s">
        <v>350</v>
      </c>
      <c r="D13" s="407">
        <f>D5</f>
        <v>43101</v>
      </c>
      <c r="E13" s="407">
        <f t="shared" ref="E13:AV13" si="1">E5</f>
        <v>43132</v>
      </c>
      <c r="F13" s="407">
        <f t="shared" si="1"/>
        <v>43160</v>
      </c>
      <c r="G13" s="407">
        <f t="shared" si="1"/>
        <v>43191</v>
      </c>
      <c r="H13" s="407">
        <f t="shared" si="1"/>
        <v>43221</v>
      </c>
      <c r="I13" s="407">
        <f t="shared" si="1"/>
        <v>43252</v>
      </c>
      <c r="J13" s="407">
        <f t="shared" si="1"/>
        <v>43282</v>
      </c>
      <c r="K13" s="407">
        <f t="shared" si="1"/>
        <v>43313</v>
      </c>
      <c r="L13" s="407">
        <f t="shared" si="1"/>
        <v>43344</v>
      </c>
      <c r="M13" s="407">
        <f t="shared" si="1"/>
        <v>43374</v>
      </c>
      <c r="N13" s="407">
        <f t="shared" si="1"/>
        <v>43405</v>
      </c>
      <c r="O13" s="407">
        <f t="shared" si="1"/>
        <v>43435</v>
      </c>
      <c r="P13" s="407">
        <f t="shared" si="1"/>
        <v>43466</v>
      </c>
      <c r="Q13" s="407">
        <f t="shared" si="1"/>
        <v>43497</v>
      </c>
      <c r="R13" s="407">
        <f t="shared" si="1"/>
        <v>43525</v>
      </c>
      <c r="S13" s="407">
        <f t="shared" si="1"/>
        <v>43556</v>
      </c>
      <c r="T13" s="407">
        <f t="shared" si="1"/>
        <v>43586</v>
      </c>
      <c r="U13" s="407">
        <f t="shared" si="1"/>
        <v>43617</v>
      </c>
      <c r="V13" s="407">
        <f t="shared" si="1"/>
        <v>43647</v>
      </c>
      <c r="W13" s="407">
        <f t="shared" si="1"/>
        <v>43678</v>
      </c>
      <c r="X13" s="407">
        <f t="shared" si="1"/>
        <v>43709</v>
      </c>
      <c r="Y13" s="407">
        <f t="shared" si="1"/>
        <v>43739</v>
      </c>
      <c r="Z13" s="407">
        <f t="shared" si="1"/>
        <v>43770</v>
      </c>
      <c r="AA13" s="407">
        <f t="shared" si="1"/>
        <v>43800</v>
      </c>
      <c r="AB13" s="407">
        <f t="shared" si="1"/>
        <v>43831</v>
      </c>
      <c r="AC13" s="407">
        <f t="shared" si="1"/>
        <v>43862</v>
      </c>
      <c r="AD13" s="407">
        <f t="shared" si="1"/>
        <v>43891</v>
      </c>
      <c r="AE13" s="407">
        <f t="shared" si="1"/>
        <v>43922</v>
      </c>
      <c r="AF13" s="407">
        <f t="shared" si="1"/>
        <v>43952</v>
      </c>
      <c r="AG13" s="407">
        <f t="shared" si="1"/>
        <v>43983</v>
      </c>
      <c r="AH13" s="407">
        <f t="shared" si="1"/>
        <v>44013</v>
      </c>
      <c r="AI13" s="407">
        <f t="shared" si="1"/>
        <v>44044</v>
      </c>
      <c r="AJ13" s="407">
        <f t="shared" si="1"/>
        <v>44075</v>
      </c>
      <c r="AK13" s="407">
        <f t="shared" si="1"/>
        <v>44105</v>
      </c>
      <c r="AL13" s="407">
        <f t="shared" si="1"/>
        <v>44136</v>
      </c>
      <c r="AM13" s="407">
        <f t="shared" si="1"/>
        <v>44166</v>
      </c>
      <c r="AN13" s="407">
        <f t="shared" si="1"/>
        <v>44197</v>
      </c>
      <c r="AO13" s="407">
        <f t="shared" si="1"/>
        <v>44228</v>
      </c>
      <c r="AP13" s="407">
        <f t="shared" si="1"/>
        <v>44256</v>
      </c>
      <c r="AQ13" s="407">
        <f t="shared" si="1"/>
        <v>44287</v>
      </c>
      <c r="AR13" s="407">
        <f t="shared" si="1"/>
        <v>44317</v>
      </c>
      <c r="AS13" s="407">
        <f t="shared" si="1"/>
        <v>44348</v>
      </c>
      <c r="AT13" s="407">
        <f t="shared" si="1"/>
        <v>44378</v>
      </c>
      <c r="AU13" s="407">
        <f t="shared" si="1"/>
        <v>44409</v>
      </c>
      <c r="AV13" s="407">
        <f t="shared" si="1"/>
        <v>44440</v>
      </c>
      <c r="AW13" s="171" t="s">
        <v>145</v>
      </c>
      <c r="AX13" s="350"/>
      <c r="BD13" s="364" t="str">
        <f t="shared" si="0"/>
        <v>Monthly Consumption/Production data</v>
      </c>
      <c r="BE13" s="597" t="s">
        <v>580</v>
      </c>
      <c r="BF13" s="351"/>
    </row>
    <row r="14" spans="3:58" x14ac:dyDescent="0.25">
      <c r="C14" s="402" t="s">
        <v>224</v>
      </c>
      <c r="D14" s="404">
        <v>23525.93</v>
      </c>
      <c r="E14" s="404">
        <v>28545</v>
      </c>
      <c r="F14" s="404">
        <v>38874.800000000003</v>
      </c>
      <c r="G14" s="404">
        <v>16285.68</v>
      </c>
      <c r="H14" s="404">
        <v>20395.14</v>
      </c>
      <c r="I14" s="404">
        <v>43208.38</v>
      </c>
      <c r="J14" s="404">
        <v>44409.9</v>
      </c>
      <c r="K14" s="404">
        <v>42545.9</v>
      </c>
      <c r="L14" s="404">
        <v>47261.48</v>
      </c>
      <c r="M14" s="404">
        <v>39072.364999999998</v>
      </c>
      <c r="N14" s="404">
        <v>32280.661</v>
      </c>
      <c r="O14" s="404">
        <v>45854.82</v>
      </c>
      <c r="P14" s="404">
        <v>45239.063999999998</v>
      </c>
      <c r="Q14" s="404">
        <v>45106.99</v>
      </c>
      <c r="R14" s="404">
        <v>52441.29</v>
      </c>
      <c r="S14" s="404">
        <v>56569.88</v>
      </c>
      <c r="T14" s="404">
        <v>53440.942000000003</v>
      </c>
      <c r="U14" s="404">
        <v>53526.178999999996</v>
      </c>
      <c r="V14" s="404">
        <v>54475</v>
      </c>
      <c r="W14" s="404">
        <v>42102</v>
      </c>
      <c r="X14" s="404">
        <v>42870</v>
      </c>
      <c r="Y14" s="404">
        <v>45396</v>
      </c>
      <c r="Z14" s="404">
        <v>46793</v>
      </c>
      <c r="AA14" s="404">
        <v>54388</v>
      </c>
      <c r="AB14" s="404">
        <v>48060</v>
      </c>
      <c r="AC14" s="404">
        <v>49587</v>
      </c>
      <c r="AD14" s="404">
        <v>40624</v>
      </c>
      <c r="AE14" s="404">
        <v>19956</v>
      </c>
      <c r="AF14" s="404">
        <v>24065.138999999999</v>
      </c>
      <c r="AG14" s="404">
        <v>42358</v>
      </c>
      <c r="AH14" s="404">
        <v>50087</v>
      </c>
      <c r="AI14" s="404">
        <v>47948.29</v>
      </c>
      <c r="AJ14" s="404">
        <v>44762.42</v>
      </c>
      <c r="AK14" s="404">
        <v>39579.769999999997</v>
      </c>
      <c r="AL14" s="404">
        <v>48482.49</v>
      </c>
      <c r="AM14" s="404">
        <v>45232.368000000002</v>
      </c>
      <c r="AN14" s="404">
        <v>44290.69</v>
      </c>
      <c r="AO14" s="404">
        <v>43735.178</v>
      </c>
      <c r="AP14" s="404">
        <v>48151.229999999996</v>
      </c>
      <c r="AQ14" s="404">
        <v>45518.543999999994</v>
      </c>
      <c r="AR14" s="404">
        <v>47129.62</v>
      </c>
      <c r="AS14" s="404">
        <v>45501.251000000004</v>
      </c>
      <c r="AT14" s="404">
        <v>41968.390999999996</v>
      </c>
      <c r="AU14" s="404">
        <v>45444.69</v>
      </c>
      <c r="AV14" s="404">
        <v>42818.97</v>
      </c>
      <c r="AW14" s="404">
        <f t="shared" ref="AW14:AW24" si="2">AVERAGE(D14:AV14)</f>
        <v>42664.654266666665</v>
      </c>
      <c r="AX14" s="350"/>
      <c r="BD14" s="364" t="str">
        <f t="shared" si="0"/>
        <v>C2</v>
      </c>
      <c r="BE14" s="611">
        <v>1016000</v>
      </c>
      <c r="BF14" s="351"/>
    </row>
    <row r="15" spans="3:58" x14ac:dyDescent="0.25">
      <c r="C15" s="403" t="s">
        <v>223</v>
      </c>
      <c r="D15" s="404">
        <v>18367.57</v>
      </c>
      <c r="E15" s="404">
        <v>13860.61</v>
      </c>
      <c r="F15" s="404">
        <v>20763.759999999998</v>
      </c>
      <c r="G15" s="404">
        <v>16230.2</v>
      </c>
      <c r="H15" s="404">
        <v>16864.77</v>
      </c>
      <c r="I15" s="404">
        <v>19236.62</v>
      </c>
      <c r="J15" s="404">
        <v>19855.57</v>
      </c>
      <c r="K15" s="404">
        <v>19351.97</v>
      </c>
      <c r="L15" s="404">
        <v>17279.439999999999</v>
      </c>
      <c r="M15" s="404">
        <v>14949</v>
      </c>
      <c r="N15" s="404">
        <v>15001.558000000001</v>
      </c>
      <c r="O15" s="404">
        <v>13870.38</v>
      </c>
      <c r="P15" s="404">
        <v>15068.453</v>
      </c>
      <c r="Q15" s="404">
        <v>16253.66</v>
      </c>
      <c r="R15" s="404">
        <v>19710.8</v>
      </c>
      <c r="S15" s="404">
        <v>19193.288</v>
      </c>
      <c r="T15" s="404">
        <v>18458</v>
      </c>
      <c r="U15" s="404">
        <v>19455.91</v>
      </c>
      <c r="V15" s="404">
        <v>18190</v>
      </c>
      <c r="W15" s="404">
        <v>15509</v>
      </c>
      <c r="X15" s="404">
        <v>17019</v>
      </c>
      <c r="Y15" s="404">
        <v>16747</v>
      </c>
      <c r="Z15" s="404">
        <v>17061</v>
      </c>
      <c r="AA15" s="404">
        <v>19643</v>
      </c>
      <c r="AB15" s="404">
        <v>15246</v>
      </c>
      <c r="AC15" s="404">
        <v>16469</v>
      </c>
      <c r="AD15" s="404">
        <v>16045</v>
      </c>
      <c r="AE15" s="404">
        <v>7420</v>
      </c>
      <c r="AF15" s="404">
        <v>7935</v>
      </c>
      <c r="AG15" s="404">
        <v>13536</v>
      </c>
      <c r="AH15" s="404">
        <v>19162</v>
      </c>
      <c r="AI15" s="404">
        <v>18640.189999999999</v>
      </c>
      <c r="AJ15" s="404">
        <v>17283.261999999999</v>
      </c>
      <c r="AK15" s="404">
        <v>16038.02</v>
      </c>
      <c r="AL15" s="404">
        <v>15930.655000000001</v>
      </c>
      <c r="AM15" s="404">
        <v>8084.7250000000004</v>
      </c>
      <c r="AN15" s="404">
        <v>14349.45</v>
      </c>
      <c r="AO15" s="404">
        <v>13640.329999999998</v>
      </c>
      <c r="AP15" s="404">
        <v>19082.227999999999</v>
      </c>
      <c r="AQ15" s="404">
        <v>17572.519999999997</v>
      </c>
      <c r="AR15" s="404">
        <v>12938.579999999998</v>
      </c>
      <c r="AS15" s="404">
        <v>18246.82</v>
      </c>
      <c r="AT15" s="404">
        <v>16723.643000000004</v>
      </c>
      <c r="AU15" s="404">
        <v>18214.75</v>
      </c>
      <c r="AV15" s="404">
        <v>18015.900000000001</v>
      </c>
      <c r="AW15" s="404">
        <f t="shared" si="2"/>
        <v>16411.436266666664</v>
      </c>
      <c r="AX15" s="350"/>
      <c r="BD15" s="364" t="str">
        <f t="shared" si="0"/>
        <v>C3</v>
      </c>
      <c r="BE15" s="611">
        <v>230400</v>
      </c>
      <c r="BF15" s="351"/>
    </row>
    <row r="16" spans="3:58" x14ac:dyDescent="0.25">
      <c r="C16" s="403" t="s">
        <v>222</v>
      </c>
      <c r="D16" s="404">
        <v>10395.65</v>
      </c>
      <c r="E16" s="404">
        <v>7149.89</v>
      </c>
      <c r="F16" s="404">
        <v>11145.19</v>
      </c>
      <c r="G16" s="404">
        <v>7763.33</v>
      </c>
      <c r="H16" s="404">
        <v>8489.0499999999993</v>
      </c>
      <c r="I16" s="404">
        <v>10800.97</v>
      </c>
      <c r="J16" s="404">
        <v>11699.65</v>
      </c>
      <c r="K16" s="404">
        <v>10335.11</v>
      </c>
      <c r="L16" s="404">
        <v>9914.52</v>
      </c>
      <c r="M16" s="404">
        <v>7980.12</v>
      </c>
      <c r="N16" s="404">
        <v>6901.9</v>
      </c>
      <c r="O16" s="404">
        <v>8782.73</v>
      </c>
      <c r="P16" s="404">
        <v>9804.3739999999998</v>
      </c>
      <c r="Q16" s="404">
        <v>9965.2199999999993</v>
      </c>
      <c r="R16" s="404">
        <v>11451.85</v>
      </c>
      <c r="S16" s="404">
        <v>11282.893</v>
      </c>
      <c r="T16" s="404">
        <v>9577</v>
      </c>
      <c r="U16" s="404">
        <v>11655.96</v>
      </c>
      <c r="V16" s="404">
        <v>11658</v>
      </c>
      <c r="W16" s="404">
        <v>9781</v>
      </c>
      <c r="X16" s="404">
        <v>10719.91</v>
      </c>
      <c r="Y16" s="404">
        <v>10303</v>
      </c>
      <c r="Z16" s="404">
        <v>10979</v>
      </c>
      <c r="AA16" s="404">
        <v>12235</v>
      </c>
      <c r="AB16" s="404">
        <v>8260</v>
      </c>
      <c r="AC16" s="404">
        <v>8918</v>
      </c>
      <c r="AD16" s="404">
        <v>9463</v>
      </c>
      <c r="AE16" s="404">
        <v>1085</v>
      </c>
      <c r="AF16" s="404">
        <v>1977</v>
      </c>
      <c r="AG16" s="404">
        <v>6975</v>
      </c>
      <c r="AH16" s="404">
        <v>11799</v>
      </c>
      <c r="AI16" s="404">
        <v>11043.08</v>
      </c>
      <c r="AJ16" s="404">
        <v>11346.87</v>
      </c>
      <c r="AK16" s="404">
        <v>11421.22</v>
      </c>
      <c r="AL16" s="404">
        <v>9782.6039999999994</v>
      </c>
      <c r="AM16" s="404">
        <v>4147.5529999999999</v>
      </c>
      <c r="AN16" s="404">
        <v>9419.93</v>
      </c>
      <c r="AO16" s="404">
        <v>6841.451</v>
      </c>
      <c r="AP16" s="404">
        <v>11985.442999999999</v>
      </c>
      <c r="AQ16" s="404">
        <v>8750.902</v>
      </c>
      <c r="AR16" s="404">
        <v>8252.0600000000013</v>
      </c>
      <c r="AS16" s="404">
        <v>10883.52</v>
      </c>
      <c r="AT16" s="404">
        <v>11120.630000000001</v>
      </c>
      <c r="AU16" s="404">
        <v>9495.33</v>
      </c>
      <c r="AV16" s="404">
        <v>12022.88</v>
      </c>
      <c r="AW16" s="404">
        <f t="shared" si="2"/>
        <v>9461.3731111111119</v>
      </c>
      <c r="AX16" s="350"/>
      <c r="BD16" s="364" t="str">
        <f t="shared" si="0"/>
        <v>C4</v>
      </c>
      <c r="BE16" s="611">
        <v>128000</v>
      </c>
      <c r="BF16" s="351"/>
    </row>
    <row r="17" spans="3:58" x14ac:dyDescent="0.25">
      <c r="C17" s="403" t="s">
        <v>221</v>
      </c>
      <c r="D17" s="404">
        <v>65158</v>
      </c>
      <c r="E17" s="404">
        <v>78287</v>
      </c>
      <c r="F17" s="404">
        <v>71765</v>
      </c>
      <c r="G17" s="404">
        <v>45011</v>
      </c>
      <c r="H17" s="404">
        <v>74276.800000000003</v>
      </c>
      <c r="I17" s="404">
        <v>67051</v>
      </c>
      <c r="J17" s="404">
        <v>63581</v>
      </c>
      <c r="K17" s="404">
        <v>83798.498000000007</v>
      </c>
      <c r="L17" s="404">
        <v>67515.259999999995</v>
      </c>
      <c r="M17" s="404">
        <v>72203.460000000006</v>
      </c>
      <c r="N17" s="404">
        <v>60431.343999999997</v>
      </c>
      <c r="O17" s="404">
        <v>66799.551999999996</v>
      </c>
      <c r="P17" s="404">
        <v>86332.34</v>
      </c>
      <c r="Q17" s="404">
        <v>79566.964000000007</v>
      </c>
      <c r="R17" s="404">
        <v>102630.795</v>
      </c>
      <c r="S17" s="404">
        <v>85984.406000000003</v>
      </c>
      <c r="T17" s="404">
        <v>88111</v>
      </c>
      <c r="U17" s="404">
        <v>86502.692999999999</v>
      </c>
      <c r="V17" s="404">
        <v>113007</v>
      </c>
      <c r="W17" s="404">
        <v>83457</v>
      </c>
      <c r="X17" s="404">
        <v>88572</v>
      </c>
      <c r="Y17" s="404">
        <v>68240</v>
      </c>
      <c r="Z17" s="404">
        <v>117140</v>
      </c>
      <c r="AA17" s="404">
        <v>128916</v>
      </c>
      <c r="AB17" s="404">
        <v>140248</v>
      </c>
      <c r="AC17" s="404">
        <v>111138</v>
      </c>
      <c r="AD17" s="404">
        <v>106022</v>
      </c>
      <c r="AE17" s="404">
        <v>50931</v>
      </c>
      <c r="AF17" s="404">
        <v>84239</v>
      </c>
      <c r="AG17" s="404">
        <v>110478</v>
      </c>
      <c r="AH17" s="404">
        <v>132100</v>
      </c>
      <c r="AI17" s="404">
        <v>122243.48299999999</v>
      </c>
      <c r="AJ17" s="404">
        <v>119222.27</v>
      </c>
      <c r="AK17" s="404">
        <v>142428.861</v>
      </c>
      <c r="AL17" s="404">
        <v>118705.94</v>
      </c>
      <c r="AM17" s="404">
        <v>96474.813999999998</v>
      </c>
      <c r="AN17" s="404">
        <v>130783.25</v>
      </c>
      <c r="AO17" s="404">
        <v>119759.092</v>
      </c>
      <c r="AP17" s="404">
        <v>141030.43099999998</v>
      </c>
      <c r="AQ17" s="404">
        <v>109834.647</v>
      </c>
      <c r="AR17" s="404">
        <v>82181.577000000005</v>
      </c>
      <c r="AS17" s="404">
        <v>112421.04699999999</v>
      </c>
      <c r="AT17" s="404">
        <v>87199.964999999997</v>
      </c>
      <c r="AU17" s="404">
        <v>118859.33</v>
      </c>
      <c r="AV17" s="404">
        <v>137352.23499999999</v>
      </c>
      <c r="AW17" s="404">
        <f t="shared" si="2"/>
        <v>95955.356755555549</v>
      </c>
      <c r="AX17" s="350"/>
      <c r="BD17" s="364" t="str">
        <f t="shared" si="0"/>
        <v>Naphtha</v>
      </c>
      <c r="BE17" s="611">
        <v>1008000</v>
      </c>
      <c r="BF17" s="351"/>
    </row>
    <row r="18" spans="3:58" x14ac:dyDescent="0.25">
      <c r="C18" s="168" t="s">
        <v>11</v>
      </c>
      <c r="D18" s="404">
        <v>49945.58</v>
      </c>
      <c r="E18" s="404">
        <v>52637.67</v>
      </c>
      <c r="F18" s="404">
        <v>65919.247000000003</v>
      </c>
      <c r="G18" s="404">
        <v>34622.629999999997</v>
      </c>
      <c r="H18" s="404">
        <v>48015.74</v>
      </c>
      <c r="I18" s="404">
        <v>67053.240000000005</v>
      </c>
      <c r="J18" s="404">
        <v>65779.199999999997</v>
      </c>
      <c r="K18" s="404">
        <v>74044.19</v>
      </c>
      <c r="L18" s="404">
        <v>70742.36</v>
      </c>
      <c r="M18" s="404">
        <v>63107.13</v>
      </c>
      <c r="N18" s="404">
        <v>54091.8</v>
      </c>
      <c r="O18" s="404">
        <v>62989.86</v>
      </c>
      <c r="P18" s="404">
        <v>72073.342000000004</v>
      </c>
      <c r="Q18" s="404">
        <v>72902.240000000005</v>
      </c>
      <c r="R18" s="404">
        <v>88796.94</v>
      </c>
      <c r="S18" s="404">
        <v>85756.76</v>
      </c>
      <c r="T18" s="404">
        <v>84081</v>
      </c>
      <c r="U18" s="404">
        <v>85182</v>
      </c>
      <c r="V18" s="404">
        <v>92854</v>
      </c>
      <c r="W18" s="404">
        <v>66915</v>
      </c>
      <c r="X18" s="404">
        <v>74976</v>
      </c>
      <c r="Y18" s="404">
        <v>70163</v>
      </c>
      <c r="Z18" s="404">
        <v>86680</v>
      </c>
      <c r="AA18" s="404">
        <v>98609.9</v>
      </c>
      <c r="AB18" s="404">
        <v>95426.14</v>
      </c>
      <c r="AC18" s="404">
        <v>87937</v>
      </c>
      <c r="AD18" s="404">
        <v>78875</v>
      </c>
      <c r="AE18" s="404">
        <v>34969</v>
      </c>
      <c r="AF18" s="404">
        <v>51949</v>
      </c>
      <c r="AG18" s="404">
        <v>79130</v>
      </c>
      <c r="AH18" s="404">
        <v>96432</v>
      </c>
      <c r="AI18" s="404">
        <v>92929.02</v>
      </c>
      <c r="AJ18" s="404">
        <v>88036.82</v>
      </c>
      <c r="AK18" s="404">
        <v>91118.51</v>
      </c>
      <c r="AL18" s="404">
        <v>90135.27</v>
      </c>
      <c r="AM18" s="404">
        <v>73083.929999999993</v>
      </c>
      <c r="AN18" s="404">
        <v>90574.5</v>
      </c>
      <c r="AO18" s="404">
        <v>84312.5</v>
      </c>
      <c r="AP18" s="404">
        <v>101478.07</v>
      </c>
      <c r="AQ18" s="404">
        <v>86143.58</v>
      </c>
      <c r="AR18" s="404">
        <v>74580.561810412168</v>
      </c>
      <c r="AS18" s="404">
        <v>88314.981495050743</v>
      </c>
      <c r="AT18" s="404">
        <v>75907.87</v>
      </c>
      <c r="AU18" s="404">
        <v>89508.39</v>
      </c>
      <c r="AV18" s="404">
        <v>94324.09</v>
      </c>
      <c r="AW18" s="404">
        <f t="shared" si="2"/>
        <v>76291.223606788044</v>
      </c>
      <c r="AX18" s="350"/>
      <c r="BD18" s="364" t="str">
        <f t="shared" si="0"/>
        <v>Ethylene</v>
      </c>
      <c r="BE18" s="598">
        <f>BE14*'DFCU Yields as per PwC'!$B$20+'DFCU Yields as per PwC'!$C$20*'Prices and Cost of Production'!BE15+'Prices and Cost of Production'!BE16*'DFCU Yields as per PwC'!$D$20+'DFCU Yields as per PwC'!$E$20*'Prices and Cost of Production'!BE17</f>
        <v>1303904</v>
      </c>
      <c r="BF18" s="351"/>
    </row>
    <row r="19" spans="3:58" x14ac:dyDescent="0.25">
      <c r="C19" s="168" t="s">
        <v>126</v>
      </c>
      <c r="D19" s="404">
        <v>22030</v>
      </c>
      <c r="E19" s="404">
        <v>21936.330999999998</v>
      </c>
      <c r="F19" s="404">
        <v>23416.42</v>
      </c>
      <c r="G19" s="404">
        <v>16977.759999999998</v>
      </c>
      <c r="H19" s="404">
        <v>21718.51</v>
      </c>
      <c r="I19" s="404">
        <v>22324.95</v>
      </c>
      <c r="J19" s="404">
        <v>21364.45</v>
      </c>
      <c r="K19" s="404">
        <v>25382.14</v>
      </c>
      <c r="L19" s="404">
        <v>21445</v>
      </c>
      <c r="M19" s="404">
        <v>21636.89</v>
      </c>
      <c r="N19" s="404">
        <v>19075.793000000001</v>
      </c>
      <c r="O19" s="404">
        <v>19312.111000000001</v>
      </c>
      <c r="P19" s="404">
        <v>25051.735000000001</v>
      </c>
      <c r="Q19" s="404">
        <v>24768.079000000002</v>
      </c>
      <c r="R19" s="404">
        <v>29516.187000000002</v>
      </c>
      <c r="S19" s="404">
        <v>26614.23</v>
      </c>
      <c r="T19" s="404">
        <v>25667</v>
      </c>
      <c r="U19" s="404">
        <v>26694</v>
      </c>
      <c r="V19" s="404">
        <v>32013</v>
      </c>
      <c r="W19" s="404">
        <v>22985</v>
      </c>
      <c r="X19" s="404">
        <v>27249</v>
      </c>
      <c r="Y19" s="404">
        <v>22097</v>
      </c>
      <c r="Z19" s="404">
        <v>31429</v>
      </c>
      <c r="AA19" s="404">
        <v>34826.088000000003</v>
      </c>
      <c r="AB19" s="404">
        <v>34737</v>
      </c>
      <c r="AC19" s="404">
        <v>29810</v>
      </c>
      <c r="AD19" s="404">
        <v>28810</v>
      </c>
      <c r="AE19" s="404">
        <v>13222</v>
      </c>
      <c r="AF19" s="404">
        <v>21880</v>
      </c>
      <c r="AG19" s="404">
        <v>28622</v>
      </c>
      <c r="AH19" s="404">
        <v>35924</v>
      </c>
      <c r="AI19" s="404">
        <v>34676.300000000003</v>
      </c>
      <c r="AJ19" s="404">
        <v>31682.02</v>
      </c>
      <c r="AK19" s="404">
        <v>36641.25</v>
      </c>
      <c r="AL19" s="404">
        <v>31566.42</v>
      </c>
      <c r="AM19" s="404">
        <v>23445.39</v>
      </c>
      <c r="AN19" s="404">
        <v>34923.97</v>
      </c>
      <c r="AO19" s="404">
        <v>31332.57</v>
      </c>
      <c r="AP19" s="404">
        <v>38430.959999999999</v>
      </c>
      <c r="AQ19" s="404">
        <v>30936.880000000001</v>
      </c>
      <c r="AR19" s="404">
        <v>23936.43</v>
      </c>
      <c r="AS19" s="404">
        <v>32251.64</v>
      </c>
      <c r="AT19" s="404">
        <v>26003.07</v>
      </c>
      <c r="AU19" s="404">
        <v>32838.07</v>
      </c>
      <c r="AV19" s="404">
        <v>36896</v>
      </c>
      <c r="AW19" s="404">
        <f t="shared" si="2"/>
        <v>27202.147644444442</v>
      </c>
      <c r="AX19" s="350"/>
      <c r="BD19" s="364" t="str">
        <f t="shared" si="0"/>
        <v>Propylene</v>
      </c>
      <c r="BE19" s="598">
        <f>BE14*'DFCU Yields as per PwC'!$B$21+'DFCU Yields as per PwC'!$C$21*'Prices and Cost of Production'!BE15+'Prices and Cost of Production'!BE16*'DFCU Yields as per PwC'!$D$21+'DFCU Yields as per PwC'!$E$21*'Prices and Cost of Production'!BE17</f>
        <v>290720</v>
      </c>
      <c r="BF19" s="351"/>
    </row>
    <row r="20" spans="3:58" x14ac:dyDescent="0.25">
      <c r="C20" s="168" t="str">
        <f>C6</f>
        <v xml:space="preserve">Benzene </v>
      </c>
      <c r="D20" s="404">
        <v>5738.73</v>
      </c>
      <c r="E20" s="404">
        <v>5546.23</v>
      </c>
      <c r="F20" s="404">
        <v>5553.58</v>
      </c>
      <c r="G20" s="404">
        <v>6388.57</v>
      </c>
      <c r="H20" s="404">
        <v>5088.51</v>
      </c>
      <c r="I20" s="404">
        <v>7207.11</v>
      </c>
      <c r="J20" s="404">
        <v>4960.7700000000004</v>
      </c>
      <c r="K20" s="404">
        <v>8255.3799999999992</v>
      </c>
      <c r="L20" s="404">
        <v>5650.77</v>
      </c>
      <c r="M20" s="404">
        <v>4951.7299999999996</v>
      </c>
      <c r="N20" s="404">
        <v>6463.37</v>
      </c>
      <c r="O20" s="404">
        <v>5602.18</v>
      </c>
      <c r="P20" s="404">
        <v>7519.01</v>
      </c>
      <c r="Q20" s="404">
        <v>7910.32</v>
      </c>
      <c r="R20" s="404">
        <v>9453.0400000000009</v>
      </c>
      <c r="S20" s="404">
        <v>7091.68</v>
      </c>
      <c r="T20" s="404">
        <v>8146</v>
      </c>
      <c r="U20" s="404">
        <v>8319</v>
      </c>
      <c r="V20" s="404">
        <v>10924</v>
      </c>
      <c r="W20" s="404">
        <v>5906</v>
      </c>
      <c r="X20" s="404">
        <v>10349</v>
      </c>
      <c r="Y20" s="404">
        <v>6062</v>
      </c>
      <c r="Z20" s="404">
        <v>10097</v>
      </c>
      <c r="AA20" s="404">
        <v>11747.16</v>
      </c>
      <c r="AB20" s="404">
        <v>13722.14</v>
      </c>
      <c r="AC20" s="404">
        <v>10402</v>
      </c>
      <c r="AD20" s="404">
        <v>9781</v>
      </c>
      <c r="AE20" s="404">
        <v>3128</v>
      </c>
      <c r="AF20" s="404">
        <v>8235.06</v>
      </c>
      <c r="AG20" s="404">
        <v>9599.3700000000008</v>
      </c>
      <c r="AH20" s="404">
        <v>11350.844999999999</v>
      </c>
      <c r="AI20" s="404">
        <v>13091.927</v>
      </c>
      <c r="AJ20" s="404">
        <v>10432.85</v>
      </c>
      <c r="AK20" s="404">
        <v>13142.431</v>
      </c>
      <c r="AL20" s="404">
        <v>12844.56</v>
      </c>
      <c r="AM20" s="404">
        <v>8019.9989999999998</v>
      </c>
      <c r="AN20" s="404">
        <v>12525.48</v>
      </c>
      <c r="AO20" s="404">
        <v>10450.965</v>
      </c>
      <c r="AP20" s="404">
        <v>12772.37</v>
      </c>
      <c r="AQ20" s="404">
        <v>10311.493</v>
      </c>
      <c r="AR20" s="404">
        <v>7345.4679999999998</v>
      </c>
      <c r="AS20" s="404">
        <v>10375.859999999999</v>
      </c>
      <c r="AT20" s="404">
        <v>8297.5470000000005</v>
      </c>
      <c r="AU20" s="404">
        <v>10690.93</v>
      </c>
      <c r="AV20" s="404">
        <v>12176.65</v>
      </c>
      <c r="AW20" s="404">
        <f t="shared" si="2"/>
        <v>8747.2907777777764</v>
      </c>
      <c r="AX20" s="350"/>
      <c r="BD20" s="364" t="str">
        <f t="shared" si="0"/>
        <v xml:space="preserve">Benzene </v>
      </c>
      <c r="BE20" s="598">
        <f>BE14*'DFCU Yields as per PwC'!$B$23+'DFCU Yields as per PwC'!$C$23*'Prices and Cost of Production'!BE15+'Prices and Cost of Production'!BE16*'DFCU Yields as per PwC'!$D$23+'DFCU Yields as per PwC'!$E$23*'Prices and Cost of Production'!BE17</f>
        <v>90778.559999999983</v>
      </c>
      <c r="BF20" s="351"/>
    </row>
    <row r="21" spans="3:58" x14ac:dyDescent="0.25">
      <c r="C21" s="168" t="str">
        <f>C7</f>
        <v xml:space="preserve"> 1,3Butadiene </v>
      </c>
      <c r="D21" s="404">
        <v>5035.09</v>
      </c>
      <c r="E21" s="404">
        <v>5318.95</v>
      </c>
      <c r="F21" s="404">
        <v>5868.35</v>
      </c>
      <c r="G21" s="404">
        <v>3840.68</v>
      </c>
      <c r="H21" s="404">
        <v>5402.43</v>
      </c>
      <c r="I21" s="404">
        <v>5254.61</v>
      </c>
      <c r="J21" s="404">
        <v>4959.13</v>
      </c>
      <c r="K21" s="404">
        <v>6711.33</v>
      </c>
      <c r="L21" s="404">
        <v>5427.42</v>
      </c>
      <c r="M21" s="404">
        <v>5758.21</v>
      </c>
      <c r="N21" s="404">
        <v>4917.04</v>
      </c>
      <c r="O21" s="404">
        <v>5195.62</v>
      </c>
      <c r="P21" s="404">
        <v>6549.94</v>
      </c>
      <c r="Q21" s="404">
        <v>6626.56</v>
      </c>
      <c r="R21" s="404">
        <v>8241.35</v>
      </c>
      <c r="S21" s="404">
        <v>6997.62</v>
      </c>
      <c r="T21" s="404">
        <v>7041</v>
      </c>
      <c r="U21" s="404">
        <v>7021</v>
      </c>
      <c r="V21" s="404">
        <v>8358</v>
      </c>
      <c r="W21" s="404">
        <v>6091.23</v>
      </c>
      <c r="X21" s="404">
        <v>7441</v>
      </c>
      <c r="Y21" s="404">
        <v>5606</v>
      </c>
      <c r="Z21" s="404">
        <v>8771</v>
      </c>
      <c r="AA21" s="404">
        <v>9507.3799999999992</v>
      </c>
      <c r="AB21" s="404">
        <v>10231.67</v>
      </c>
      <c r="AC21" s="404">
        <v>7833</v>
      </c>
      <c r="AD21" s="404">
        <v>8015</v>
      </c>
      <c r="AE21" s="404">
        <v>3453</v>
      </c>
      <c r="AF21" s="404">
        <v>6192.43</v>
      </c>
      <c r="AG21" s="404">
        <v>7316.27</v>
      </c>
      <c r="AH21" s="404">
        <v>9601.6319999999996</v>
      </c>
      <c r="AI21" s="404">
        <v>8942.84</v>
      </c>
      <c r="AJ21" s="404">
        <v>8863.77</v>
      </c>
      <c r="AK21" s="404">
        <v>9913.7080000000005</v>
      </c>
      <c r="AL21" s="404">
        <v>8774.1029999999992</v>
      </c>
      <c r="AM21" s="404">
        <v>6341.2259999999997</v>
      </c>
      <c r="AN21" s="404">
        <v>9528.61</v>
      </c>
      <c r="AO21" s="404">
        <v>8494.66</v>
      </c>
      <c r="AP21" s="404">
        <v>10493.012000000002</v>
      </c>
      <c r="AQ21" s="404">
        <v>8309.4509999999991</v>
      </c>
      <c r="AR21" s="404">
        <v>6425.7750000000005</v>
      </c>
      <c r="AS21" s="404">
        <v>8139.817</v>
      </c>
      <c r="AT21" s="404">
        <v>6525.7</v>
      </c>
      <c r="AU21" s="404">
        <v>8576.91</v>
      </c>
      <c r="AV21" s="404">
        <v>9442.6</v>
      </c>
      <c r="AW21" s="404">
        <f t="shared" si="2"/>
        <v>7185.6916444444432</v>
      </c>
      <c r="AX21" s="350"/>
      <c r="BD21" s="364" t="str">
        <f t="shared" si="0"/>
        <v xml:space="preserve"> 1,3Butadiene </v>
      </c>
      <c r="BE21" s="598">
        <f>BE14*'DFCU Yields as per PwC'!$B$24+'DFCU Yields as per PwC'!$C$24*'Prices and Cost of Production'!BE15+'Prices and Cost of Production'!BE16*'DFCU Yields as per PwC'!$D$24+'DFCU Yields as per PwC'!$E$24*'Prices and Cost of Production'!BE17</f>
        <v>89168.228000000003</v>
      </c>
      <c r="BF21" s="351"/>
    </row>
    <row r="22" spans="3:58" x14ac:dyDescent="0.25">
      <c r="C22" s="168" t="str">
        <f>C8</f>
        <v xml:space="preserve"> Hydrogenated Pygas (HPG) </v>
      </c>
      <c r="D22" s="404">
        <v>7003.26</v>
      </c>
      <c r="E22" s="404">
        <v>7167.32</v>
      </c>
      <c r="F22" s="404">
        <v>5434.38</v>
      </c>
      <c r="G22" s="404">
        <v>7311.89</v>
      </c>
      <c r="H22" s="404">
        <v>6381.84</v>
      </c>
      <c r="I22" s="404">
        <v>6988.31</v>
      </c>
      <c r="J22" s="404">
        <v>6327.63</v>
      </c>
      <c r="K22" s="404">
        <v>8450.15</v>
      </c>
      <c r="L22" s="404">
        <v>6385.12</v>
      </c>
      <c r="M22" s="404">
        <v>5925.4</v>
      </c>
      <c r="N22" s="404">
        <v>7156.14</v>
      </c>
      <c r="O22" s="404">
        <v>6727.19</v>
      </c>
      <c r="P22" s="404">
        <v>9138.36</v>
      </c>
      <c r="Q22" s="404">
        <v>8492.11</v>
      </c>
      <c r="R22" s="404">
        <v>9850.5400000000009</v>
      </c>
      <c r="S22" s="404">
        <v>7936</v>
      </c>
      <c r="T22" s="404">
        <v>8416</v>
      </c>
      <c r="U22" s="404">
        <v>9125</v>
      </c>
      <c r="V22" s="404">
        <v>11478</v>
      </c>
      <c r="W22" s="404">
        <v>7130</v>
      </c>
      <c r="X22" s="404">
        <v>10779</v>
      </c>
      <c r="Y22" s="404">
        <v>6740</v>
      </c>
      <c r="Z22" s="404">
        <v>11310</v>
      </c>
      <c r="AA22" s="404">
        <v>12538.1</v>
      </c>
      <c r="AB22" s="404">
        <v>14581.54</v>
      </c>
      <c r="AC22" s="404">
        <v>9686</v>
      </c>
      <c r="AD22" s="404">
        <v>9226</v>
      </c>
      <c r="AE22" s="404">
        <v>3834</v>
      </c>
      <c r="AF22" s="404">
        <v>8534.58</v>
      </c>
      <c r="AG22" s="404">
        <v>8996.82</v>
      </c>
      <c r="AH22" s="404">
        <v>10406.323</v>
      </c>
      <c r="AI22" s="404">
        <v>12070.55</v>
      </c>
      <c r="AJ22" s="404">
        <v>12596.78</v>
      </c>
      <c r="AK22" s="404">
        <v>12632.834000000001</v>
      </c>
      <c r="AL22" s="404">
        <v>12131.97</v>
      </c>
      <c r="AM22" s="404">
        <v>8170.634</v>
      </c>
      <c r="AN22" s="404">
        <v>11747.32</v>
      </c>
      <c r="AO22" s="404">
        <v>10296.02</v>
      </c>
      <c r="AP22" s="404">
        <v>11820.69</v>
      </c>
      <c r="AQ22" s="404">
        <v>10496.224</v>
      </c>
      <c r="AR22" s="404">
        <v>8125.1449999999995</v>
      </c>
      <c r="AS22" s="404">
        <v>10128.516</v>
      </c>
      <c r="AT22" s="404">
        <v>7263.7079999999996</v>
      </c>
      <c r="AU22" s="404">
        <v>9459.25</v>
      </c>
      <c r="AV22" s="404">
        <v>11609.54</v>
      </c>
      <c r="AW22" s="404">
        <f t="shared" si="2"/>
        <v>9066.80408888889</v>
      </c>
      <c r="AX22" s="350"/>
      <c r="BD22" s="364" t="str">
        <f t="shared" si="0"/>
        <v xml:space="preserve"> Hydrogenated Pygas (HPG) </v>
      </c>
      <c r="BE22" s="598">
        <f>BE14*'DFCU Yields as per PwC'!$B$25+'DFCU Yields as per PwC'!$C$25*'Prices and Cost of Production'!BE15+'Prices and Cost of Production'!BE16*'DFCU Yields as per PwC'!$D$25+'DFCU Yields as per PwC'!$E$25*'Prices and Cost of Production'!BE17</f>
        <v>102125.88</v>
      </c>
      <c r="BF22" s="351"/>
    </row>
    <row r="23" spans="3:58" x14ac:dyDescent="0.25">
      <c r="C23" s="168" t="str">
        <f>C9</f>
        <v xml:space="preserve"> CBFS </v>
      </c>
      <c r="D23" s="404">
        <v>2288</v>
      </c>
      <c r="E23" s="404">
        <v>2282</v>
      </c>
      <c r="F23" s="404">
        <v>2420.8200000000002</v>
      </c>
      <c r="G23" s="404">
        <v>1680</v>
      </c>
      <c r="H23" s="404">
        <v>2487</v>
      </c>
      <c r="I23" s="404">
        <v>2995.93</v>
      </c>
      <c r="J23" s="404">
        <v>2652.07</v>
      </c>
      <c r="K23" s="404">
        <v>3750.9</v>
      </c>
      <c r="L23" s="404">
        <v>2821.94</v>
      </c>
      <c r="M23" s="404">
        <v>2783.7</v>
      </c>
      <c r="N23" s="404">
        <v>2230.58</v>
      </c>
      <c r="O23" s="404">
        <v>2831.89</v>
      </c>
      <c r="P23" s="404">
        <v>3192.87</v>
      </c>
      <c r="Q23" s="404">
        <v>2790.34</v>
      </c>
      <c r="R23" s="404">
        <v>3892.67</v>
      </c>
      <c r="S23" s="404">
        <v>3005.33</v>
      </c>
      <c r="T23" s="404">
        <v>3607</v>
      </c>
      <c r="U23" s="404">
        <v>3567</v>
      </c>
      <c r="V23" s="404">
        <v>4318</v>
      </c>
      <c r="W23" s="404">
        <v>3040</v>
      </c>
      <c r="X23" s="404">
        <v>3121</v>
      </c>
      <c r="Y23" s="404">
        <v>2451</v>
      </c>
      <c r="Z23" s="404">
        <v>4111</v>
      </c>
      <c r="AA23" s="404">
        <v>4572</v>
      </c>
      <c r="AB23" s="404">
        <v>5091</v>
      </c>
      <c r="AC23" s="404">
        <v>3886</v>
      </c>
      <c r="AD23" s="404">
        <v>4080</v>
      </c>
      <c r="AE23" s="404">
        <v>1803</v>
      </c>
      <c r="AF23" s="404">
        <v>2864.77</v>
      </c>
      <c r="AG23" s="404">
        <v>3627</v>
      </c>
      <c r="AH23" s="404">
        <v>4737</v>
      </c>
      <c r="AI23" s="404">
        <v>4625.93</v>
      </c>
      <c r="AJ23" s="404">
        <v>5242.67</v>
      </c>
      <c r="AK23" s="404">
        <v>5385.41</v>
      </c>
      <c r="AL23" s="404">
        <v>4755.1000000000004</v>
      </c>
      <c r="AM23" s="404">
        <v>3512.55</v>
      </c>
      <c r="AN23" s="404">
        <v>4747.9799999999996</v>
      </c>
      <c r="AO23" s="404">
        <v>4479.76</v>
      </c>
      <c r="AP23" s="404">
        <v>5413.0480000000007</v>
      </c>
      <c r="AQ23" s="404">
        <v>3936.0899999999997</v>
      </c>
      <c r="AR23" s="404">
        <v>3079.6699999999996</v>
      </c>
      <c r="AS23" s="404">
        <v>3853.76</v>
      </c>
      <c r="AT23" s="404">
        <v>3747.31</v>
      </c>
      <c r="AU23" s="404">
        <v>4174.95</v>
      </c>
      <c r="AV23" s="404">
        <v>4934.9399999999996</v>
      </c>
      <c r="AW23" s="404">
        <f t="shared" si="2"/>
        <v>3574.9106222222235</v>
      </c>
      <c r="AX23" s="350"/>
      <c r="BD23" s="364" t="str">
        <f t="shared" si="0"/>
        <v xml:space="preserve"> CBFS </v>
      </c>
      <c r="BE23" s="598">
        <f>BE14*'DFCU Yields as per PwC'!$B$22+'DFCU Yields as per PwC'!$C$22*'Prices and Cost of Production'!BE15+'Prices and Cost of Production'!BE16*'DFCU Yields as per PwC'!$D$22+'DFCU Yields as per PwC'!$E$22*'Prices and Cost of Production'!BE17</f>
        <v>41700.800000000003</v>
      </c>
      <c r="BF23" s="351"/>
    </row>
    <row r="24" spans="3:58" x14ac:dyDescent="0.25">
      <c r="C24" s="168" t="str">
        <f>C10</f>
        <v xml:space="preserve"> C9+   </v>
      </c>
      <c r="D24" s="404">
        <v>3038.98</v>
      </c>
      <c r="E24" s="404">
        <v>2796.45</v>
      </c>
      <c r="F24" s="404">
        <v>2449.16</v>
      </c>
      <c r="G24" s="404">
        <v>3740.97</v>
      </c>
      <c r="H24" s="404">
        <v>2915</v>
      </c>
      <c r="I24" s="404">
        <v>3313.31</v>
      </c>
      <c r="J24" s="404">
        <v>2909.14</v>
      </c>
      <c r="K24" s="404">
        <v>3347.57</v>
      </c>
      <c r="L24" s="404">
        <v>2754.97</v>
      </c>
      <c r="M24" s="404">
        <v>2411.13</v>
      </c>
      <c r="N24" s="404">
        <v>2954.2</v>
      </c>
      <c r="O24" s="404">
        <v>2424</v>
      </c>
      <c r="P24" s="404">
        <v>3406.96</v>
      </c>
      <c r="Q24" s="404">
        <v>3337.5</v>
      </c>
      <c r="R24" s="404">
        <v>4029.99</v>
      </c>
      <c r="S24" s="404">
        <v>3508</v>
      </c>
      <c r="T24" s="404">
        <v>3465</v>
      </c>
      <c r="U24" s="404">
        <v>3330</v>
      </c>
      <c r="V24" s="404">
        <v>3846</v>
      </c>
      <c r="W24" s="404">
        <v>2811</v>
      </c>
      <c r="X24" s="404">
        <v>4116</v>
      </c>
      <c r="Y24" s="404">
        <v>2590</v>
      </c>
      <c r="Z24" s="404">
        <v>3718</v>
      </c>
      <c r="AA24" s="404">
        <v>4782</v>
      </c>
      <c r="AB24" s="404">
        <v>4613</v>
      </c>
      <c r="AC24" s="404">
        <v>3371</v>
      </c>
      <c r="AD24" s="404">
        <v>3548</v>
      </c>
      <c r="AE24" s="404">
        <v>1377</v>
      </c>
      <c r="AF24" s="404">
        <v>3163.48</v>
      </c>
      <c r="AG24" s="404">
        <v>3551.82</v>
      </c>
      <c r="AH24" s="404">
        <v>4656.0969999999998</v>
      </c>
      <c r="AI24" s="404">
        <v>4523.5879999999997</v>
      </c>
      <c r="AJ24" s="404">
        <v>4271.93</v>
      </c>
      <c r="AK24" s="404">
        <v>5041.34</v>
      </c>
      <c r="AL24" s="404">
        <v>4371.9129999999996</v>
      </c>
      <c r="AM24" s="404">
        <v>2556.2040000000002</v>
      </c>
      <c r="AN24" s="404">
        <v>3435.15</v>
      </c>
      <c r="AO24" s="404">
        <v>2901.2959999999998</v>
      </c>
      <c r="AP24" s="404">
        <v>3775.0142590775276</v>
      </c>
      <c r="AQ24" s="404">
        <v>3725.9984215727795</v>
      </c>
      <c r="AR24" s="404">
        <v>2772.6679999999997</v>
      </c>
      <c r="AS24" s="404">
        <v>3491.4396294150079</v>
      </c>
      <c r="AT24" s="404">
        <v>2706.4340000000002</v>
      </c>
      <c r="AU24" s="404">
        <v>3359.25</v>
      </c>
      <c r="AV24" s="404">
        <v>3871.83</v>
      </c>
      <c r="AW24" s="404">
        <f t="shared" si="2"/>
        <v>3401.7729402236737</v>
      </c>
      <c r="AX24" s="350"/>
      <c r="BD24" s="364" t="str">
        <f t="shared" si="0"/>
        <v xml:space="preserve"> C9+   </v>
      </c>
      <c r="BE24" s="598">
        <f>BE14*'DFCU Yields as per PwC'!$B$28+'DFCU Yields as per PwC'!$C$28*'Prices and Cost of Production'!BE15+'Prices and Cost of Production'!BE16*'DFCU Yields as per PwC'!$D$28+'DFCU Yields as per PwC'!$E$28*'Prices and Cost of Production'!BE17</f>
        <v>30637.763999999999</v>
      </c>
      <c r="BF24" s="351"/>
    </row>
    <row r="25" spans="3:58" x14ac:dyDescent="0.25">
      <c r="C25" s="400"/>
      <c r="D25" s="401"/>
      <c r="E25" s="401"/>
      <c r="F25" s="401"/>
      <c r="G25" s="401"/>
      <c r="H25" s="401"/>
      <c r="I25" s="401"/>
      <c r="J25" s="401"/>
      <c r="K25" s="401"/>
      <c r="L25" s="401"/>
      <c r="M25" s="401"/>
      <c r="N25" s="401"/>
      <c r="O25" s="401"/>
      <c r="P25" s="401"/>
      <c r="Q25" s="401"/>
      <c r="R25" s="401"/>
      <c r="S25" s="401"/>
      <c r="T25" s="401"/>
      <c r="U25" s="401"/>
      <c r="V25" s="401"/>
      <c r="W25" s="401"/>
      <c r="X25" s="401"/>
      <c r="Y25" s="401"/>
      <c r="Z25" s="401"/>
      <c r="AA25" s="401"/>
      <c r="AB25" s="401"/>
      <c r="AC25" s="401"/>
      <c r="AD25" s="401"/>
      <c r="AE25" s="398"/>
      <c r="AF25" s="398"/>
      <c r="AG25" s="398"/>
      <c r="AH25" s="398"/>
      <c r="AI25" s="398"/>
      <c r="AJ25" s="398"/>
      <c r="AK25" s="398"/>
      <c r="AL25" s="398"/>
      <c r="AM25" s="398"/>
      <c r="AX25" s="350"/>
      <c r="BD25" s="619">
        <f t="shared" si="0"/>
        <v>0</v>
      </c>
      <c r="BF25" s="351"/>
    </row>
    <row r="26" spans="3:58" ht="21" x14ac:dyDescent="0.25">
      <c r="C26" s="971" t="s">
        <v>371</v>
      </c>
      <c r="D26" s="972"/>
      <c r="E26" s="972"/>
      <c r="F26" s="972"/>
      <c r="G26" s="972"/>
      <c r="H26" s="972"/>
      <c r="I26" s="972"/>
      <c r="J26" s="972"/>
      <c r="K26" s="972"/>
      <c r="L26" s="972"/>
      <c r="M26" s="972"/>
      <c r="N26" s="972"/>
      <c r="O26" s="972"/>
      <c r="P26" s="972"/>
      <c r="Q26" s="972"/>
      <c r="R26" s="972"/>
      <c r="S26" s="972"/>
      <c r="T26" s="972"/>
      <c r="U26" s="972"/>
      <c r="V26" s="972"/>
      <c r="W26" s="972"/>
      <c r="X26" s="972"/>
      <c r="Y26" s="972"/>
      <c r="Z26" s="972"/>
      <c r="AA26" s="972"/>
      <c r="AB26" s="972"/>
      <c r="AC26" s="972"/>
      <c r="AD26" s="972"/>
      <c r="AE26" s="972"/>
      <c r="AX26" s="350"/>
      <c r="BD26" s="1001" t="str">
        <f>C26</f>
        <v>OPaL Cost of Production as per SAP</v>
      </c>
      <c r="BE26" s="1001"/>
      <c r="BF26" s="618"/>
    </row>
    <row r="27" spans="3:58" x14ac:dyDescent="0.25">
      <c r="C27" s="411" t="s">
        <v>11</v>
      </c>
      <c r="D27" s="404">
        <v>57975.54</v>
      </c>
      <c r="E27" s="404">
        <v>59855.96</v>
      </c>
      <c r="F27" s="404">
        <v>53322.6</v>
      </c>
      <c r="G27" s="404">
        <v>61600.95</v>
      </c>
      <c r="H27" s="404">
        <v>70185.73</v>
      </c>
      <c r="I27" s="404">
        <v>64065.57</v>
      </c>
      <c r="J27" s="404">
        <v>64995.4</v>
      </c>
      <c r="K27" s="404">
        <v>67284.710000000006</v>
      </c>
      <c r="L27" s="404">
        <v>65345.29</v>
      </c>
      <c r="M27" s="404">
        <v>69143.149999999994</v>
      </c>
      <c r="N27" s="404">
        <v>66867.47</v>
      </c>
      <c r="O27" s="404">
        <v>59182.01</v>
      </c>
      <c r="P27" s="404">
        <v>54335.5</v>
      </c>
      <c r="Q27" s="404">
        <v>52472.55</v>
      </c>
      <c r="R27" s="404">
        <v>53871.1</v>
      </c>
      <c r="S27" s="404">
        <v>52175.18</v>
      </c>
      <c r="T27" s="404">
        <v>54372.01</v>
      </c>
      <c r="U27" s="404">
        <v>51492.22</v>
      </c>
      <c r="V27" s="404">
        <v>53626.02</v>
      </c>
      <c r="W27" s="404">
        <v>52370.95</v>
      </c>
      <c r="X27" s="404">
        <v>51693.2</v>
      </c>
      <c r="Y27" s="404">
        <v>50624.62</v>
      </c>
      <c r="Z27" s="404">
        <v>54559.95</v>
      </c>
      <c r="AA27" s="404">
        <v>52938.07</v>
      </c>
      <c r="AB27" s="404">
        <v>57867.14</v>
      </c>
      <c r="AC27" s="404">
        <v>54667.41</v>
      </c>
      <c r="AD27" s="404">
        <v>49018.48</v>
      </c>
      <c r="AE27" s="404">
        <v>49307.56</v>
      </c>
      <c r="AF27" s="404">
        <v>45332.58</v>
      </c>
      <c r="AG27" s="404">
        <v>40236.79</v>
      </c>
      <c r="AH27" s="404">
        <v>46145.86</v>
      </c>
      <c r="AI27" s="404">
        <v>45753.52</v>
      </c>
      <c r="AJ27" s="404">
        <v>46532.99</v>
      </c>
      <c r="AK27" s="404">
        <v>49421.82</v>
      </c>
      <c r="AL27" s="404">
        <v>46103.79</v>
      </c>
      <c r="AM27" s="404">
        <v>47866.66</v>
      </c>
      <c r="AN27" s="404">
        <v>52586.49</v>
      </c>
      <c r="AO27" s="404">
        <v>56088.3</v>
      </c>
      <c r="AP27" s="404">
        <v>59665.62</v>
      </c>
      <c r="AQ27" s="404">
        <v>56979.75</v>
      </c>
      <c r="AR27" s="404">
        <v>54416.57</v>
      </c>
      <c r="AS27" s="404">
        <v>58024.26</v>
      </c>
      <c r="AT27" s="404">
        <v>63414.63</v>
      </c>
      <c r="AU27" s="404">
        <v>64797.17</v>
      </c>
      <c r="AV27" s="404">
        <v>68335.34</v>
      </c>
      <c r="AW27" s="412">
        <f t="shared" ref="AW27:AW52" si="3">AVERAGE(D27:AV27)</f>
        <v>55709.299555555546</v>
      </c>
      <c r="AX27" s="350"/>
      <c r="BD27" s="1001"/>
      <c r="BE27" s="1001"/>
      <c r="BF27" s="351"/>
    </row>
    <row r="28" spans="3:58" x14ac:dyDescent="0.25">
      <c r="C28" s="411" t="s">
        <v>126</v>
      </c>
      <c r="D28" s="404">
        <v>49284.87</v>
      </c>
      <c r="E28" s="404">
        <v>49707.71</v>
      </c>
      <c r="F28" s="404">
        <v>46172.85</v>
      </c>
      <c r="G28" s="404">
        <v>54399.13</v>
      </c>
      <c r="H28" s="404">
        <v>58085.43</v>
      </c>
      <c r="I28" s="404">
        <v>64854.25</v>
      </c>
      <c r="J28" s="404">
        <v>67626.55</v>
      </c>
      <c r="K28" s="404">
        <v>69343.350000000006</v>
      </c>
      <c r="L28" s="404">
        <v>73852.59</v>
      </c>
      <c r="M28" s="404">
        <v>72452.41</v>
      </c>
      <c r="N28" s="404">
        <v>66703.289999999994</v>
      </c>
      <c r="O28" s="404">
        <v>64358.83</v>
      </c>
      <c r="P28" s="404">
        <v>54713.26</v>
      </c>
      <c r="Q28" s="404">
        <v>53604.92</v>
      </c>
      <c r="R28" s="404">
        <v>56839.95</v>
      </c>
      <c r="S28" s="404">
        <v>58339.29</v>
      </c>
      <c r="T28" s="404">
        <v>62580.98</v>
      </c>
      <c r="U28" s="404">
        <v>58286.400000000001</v>
      </c>
      <c r="V28" s="404">
        <v>55298.559999999998</v>
      </c>
      <c r="W28" s="404">
        <v>53278.63</v>
      </c>
      <c r="X28" s="404">
        <v>49939.519999999997</v>
      </c>
      <c r="Y28" s="404">
        <v>55462.91</v>
      </c>
      <c r="Z28" s="404">
        <v>50457.59</v>
      </c>
      <c r="AA28" s="404">
        <v>54987.199999999997</v>
      </c>
      <c r="AB28" s="404">
        <v>56740.34</v>
      </c>
      <c r="AC28" s="404">
        <v>56074.76</v>
      </c>
      <c r="AD28" s="404">
        <v>46479.11</v>
      </c>
      <c r="AE28" s="404">
        <v>46105.83</v>
      </c>
      <c r="AF28" s="404">
        <v>38686.269999999997</v>
      </c>
      <c r="AG28" s="404">
        <v>37999.99</v>
      </c>
      <c r="AH28" s="404">
        <v>43879.839999999997</v>
      </c>
      <c r="AI28" s="404">
        <v>43032.66</v>
      </c>
      <c r="AJ28" s="404">
        <v>45101.599999999999</v>
      </c>
      <c r="AK28" s="404">
        <v>43898.66</v>
      </c>
      <c r="AL28" s="404">
        <v>45276.06</v>
      </c>
      <c r="AM28" s="404">
        <v>51824.29</v>
      </c>
      <c r="AN28" s="404">
        <v>49001.73</v>
      </c>
      <c r="AO28" s="404">
        <v>53184.12</v>
      </c>
      <c r="AP28" s="404">
        <v>55609.11</v>
      </c>
      <c r="AQ28" s="404">
        <v>55150.82</v>
      </c>
      <c r="AR28" s="404">
        <v>58279.25</v>
      </c>
      <c r="AS28" s="404">
        <v>56962.81</v>
      </c>
      <c r="AT28" s="404">
        <v>64084.66</v>
      </c>
      <c r="AU28" s="404">
        <v>62567.35</v>
      </c>
      <c r="AV28" s="404">
        <v>62155.360000000001</v>
      </c>
      <c r="AW28" s="412">
        <f t="shared" si="3"/>
        <v>54949.446444444453</v>
      </c>
      <c r="AX28" s="350"/>
      <c r="BD28" s="1001"/>
      <c r="BE28" s="1001"/>
      <c r="BF28" s="351"/>
    </row>
    <row r="29" spans="3:58" x14ac:dyDescent="0.25">
      <c r="C29" s="406" t="s">
        <v>139</v>
      </c>
      <c r="D29" s="404">
        <v>58264.4</v>
      </c>
      <c r="E29" s="404">
        <v>58560.65</v>
      </c>
      <c r="F29" s="404">
        <v>58336.34</v>
      </c>
      <c r="G29" s="404">
        <v>62151.15</v>
      </c>
      <c r="H29" s="404">
        <v>64874.92</v>
      </c>
      <c r="I29" s="404">
        <v>66958.78</v>
      </c>
      <c r="J29" s="404">
        <v>67253.98</v>
      </c>
      <c r="K29" s="404">
        <v>66653.31</v>
      </c>
      <c r="L29" s="404">
        <v>66474.97</v>
      </c>
      <c r="M29" s="404">
        <v>66907.41</v>
      </c>
      <c r="N29" s="404">
        <v>68677.600000000006</v>
      </c>
      <c r="O29" s="404">
        <v>68696.320000000007</v>
      </c>
      <c r="P29" s="404">
        <v>67530.240000000005</v>
      </c>
      <c r="Q29" s="404">
        <v>67925.61</v>
      </c>
      <c r="R29" s="404">
        <v>67504.14</v>
      </c>
      <c r="S29" s="404">
        <v>67216.100000000006</v>
      </c>
      <c r="T29" s="404">
        <v>62293.21</v>
      </c>
      <c r="U29" s="404">
        <v>60448.24</v>
      </c>
      <c r="V29" s="404">
        <v>60640.84</v>
      </c>
      <c r="W29" s="404">
        <v>60748.33</v>
      </c>
      <c r="X29" s="404">
        <v>61281.72</v>
      </c>
      <c r="Y29" s="404">
        <v>62817.59</v>
      </c>
      <c r="Z29" s="404">
        <v>61899.38</v>
      </c>
      <c r="AA29" s="404">
        <v>36144.03</v>
      </c>
      <c r="AB29" s="404">
        <v>32531.16</v>
      </c>
      <c r="AC29" s="404">
        <v>33403.71</v>
      </c>
      <c r="AD29" s="404">
        <v>27968.57</v>
      </c>
      <c r="AE29" s="404">
        <v>27412.61</v>
      </c>
      <c r="AF29" s="404">
        <v>18709.259999999998</v>
      </c>
      <c r="AG29" s="404">
        <v>12180.63</v>
      </c>
      <c r="AH29" s="404">
        <v>20308.5</v>
      </c>
      <c r="AI29" s="404">
        <v>18767.87</v>
      </c>
      <c r="AJ29" s="404">
        <v>22406.28</v>
      </c>
      <c r="AK29" s="404">
        <v>22342.11</v>
      </c>
      <c r="AL29" s="404">
        <v>23822.43</v>
      </c>
      <c r="AM29" s="404">
        <v>29022.11</v>
      </c>
      <c r="AN29" s="404">
        <v>27770.21</v>
      </c>
      <c r="AO29" s="404">
        <v>32780.94</v>
      </c>
      <c r="AP29" s="404">
        <v>37987.550000000003</v>
      </c>
      <c r="AQ29" s="404">
        <v>42160.89</v>
      </c>
      <c r="AR29" s="404">
        <v>45566.79</v>
      </c>
      <c r="AS29" s="404">
        <v>44240.09</v>
      </c>
      <c r="AT29" s="404">
        <v>59857.75</v>
      </c>
      <c r="AU29" s="404">
        <v>56517.42</v>
      </c>
      <c r="AV29" s="404">
        <v>54271.14</v>
      </c>
      <c r="AW29" s="412">
        <f t="shared" si="3"/>
        <v>48895.272888888903</v>
      </c>
      <c r="AX29" s="350"/>
      <c r="BD29" s="364" t="str">
        <f t="shared" si="0"/>
        <v xml:space="preserve">Benzene </v>
      </c>
      <c r="BE29" s="412">
        <f t="shared" ref="BE29:BE37" si="4">AW29</f>
        <v>48895.272888888903</v>
      </c>
      <c r="BF29" s="351"/>
    </row>
    <row r="30" spans="3:58" x14ac:dyDescent="0.25">
      <c r="C30" s="406" t="s">
        <v>140</v>
      </c>
      <c r="D30" s="404">
        <v>16025.43</v>
      </c>
      <c r="E30" s="404">
        <v>16562</v>
      </c>
      <c r="F30" s="404">
        <v>18738.77</v>
      </c>
      <c r="G30" s="404">
        <v>23070.44</v>
      </c>
      <c r="H30" s="404">
        <v>25065.75</v>
      </c>
      <c r="I30" s="404">
        <v>47065.49</v>
      </c>
      <c r="J30" s="404">
        <v>53129.9</v>
      </c>
      <c r="K30" s="404">
        <v>53962.43</v>
      </c>
      <c r="L30" s="404">
        <v>55454.6</v>
      </c>
      <c r="M30" s="404">
        <v>53051.199999999997</v>
      </c>
      <c r="N30" s="404">
        <v>44582.19</v>
      </c>
      <c r="O30" s="404">
        <v>37845.24</v>
      </c>
      <c r="P30" s="404">
        <v>26526.46</v>
      </c>
      <c r="Q30" s="404">
        <v>23690.35</v>
      </c>
      <c r="R30" s="404">
        <v>28531.35</v>
      </c>
      <c r="S30" s="404">
        <v>31135.97</v>
      </c>
      <c r="T30" s="404">
        <v>36239.620000000003</v>
      </c>
      <c r="U30" s="404">
        <v>34709.85</v>
      </c>
      <c r="V30" s="404">
        <v>30788.39</v>
      </c>
      <c r="W30" s="404">
        <v>27009.9</v>
      </c>
      <c r="X30" s="404">
        <v>20733.62</v>
      </c>
      <c r="Y30" s="404">
        <v>28160.21</v>
      </c>
      <c r="Z30" s="404">
        <v>37540.959999999999</v>
      </c>
      <c r="AA30" s="404">
        <v>22159.68</v>
      </c>
      <c r="AB30" s="404">
        <v>34983.18</v>
      </c>
      <c r="AC30" s="404">
        <v>39533.07</v>
      </c>
      <c r="AD30" s="404">
        <v>29302.94</v>
      </c>
      <c r="AE30" s="404">
        <v>27259.79</v>
      </c>
      <c r="AF30" s="404">
        <v>13639.18</v>
      </c>
      <c r="AG30" s="404">
        <v>10790.53</v>
      </c>
      <c r="AH30" s="404">
        <v>19436.02</v>
      </c>
      <c r="AI30" s="404">
        <v>21546.69</v>
      </c>
      <c r="AJ30" s="404">
        <v>24906.09</v>
      </c>
      <c r="AK30" s="404">
        <v>23942.560000000001</v>
      </c>
      <c r="AL30" s="404">
        <v>27193.599999999999</v>
      </c>
      <c r="AM30" s="404">
        <v>37575.69</v>
      </c>
      <c r="AN30" s="404">
        <v>32693.69</v>
      </c>
      <c r="AO30" s="404">
        <v>38732.379999999997</v>
      </c>
      <c r="AP30" s="404">
        <v>42335.48</v>
      </c>
      <c r="AQ30" s="404">
        <v>46712.75</v>
      </c>
      <c r="AR30" s="404">
        <v>50023.41</v>
      </c>
      <c r="AS30" s="404">
        <v>51356.68</v>
      </c>
      <c r="AT30" s="404">
        <v>69976.09</v>
      </c>
      <c r="AU30" s="404">
        <v>60706.41</v>
      </c>
      <c r="AV30" s="404">
        <v>60266.25</v>
      </c>
      <c r="AW30" s="412">
        <f t="shared" si="3"/>
        <v>34548.717333333327</v>
      </c>
      <c r="AX30" s="350"/>
      <c r="BD30" s="364" t="str">
        <f t="shared" si="0"/>
        <v xml:space="preserve"> 1,3Butadiene </v>
      </c>
      <c r="BE30" s="412">
        <f t="shared" si="4"/>
        <v>34548.717333333327</v>
      </c>
      <c r="BF30" s="351"/>
    </row>
    <row r="31" spans="3:58" x14ac:dyDescent="0.25">
      <c r="C31" s="406" t="s">
        <v>141</v>
      </c>
      <c r="D31" s="404">
        <v>26560.11</v>
      </c>
      <c r="E31" s="404">
        <v>24625.34</v>
      </c>
      <c r="F31" s="404">
        <v>26769.08</v>
      </c>
      <c r="G31" s="404">
        <v>26018.62</v>
      </c>
      <c r="H31" s="404">
        <v>27257.24</v>
      </c>
      <c r="I31" s="404">
        <v>38650.550000000003</v>
      </c>
      <c r="J31" s="404">
        <v>51045.1</v>
      </c>
      <c r="K31" s="404">
        <v>55167.7</v>
      </c>
      <c r="L31" s="404">
        <v>61825.64</v>
      </c>
      <c r="M31" s="404">
        <v>63044.37</v>
      </c>
      <c r="N31" s="404">
        <v>55712.49</v>
      </c>
      <c r="O31" s="404">
        <v>45778.89</v>
      </c>
      <c r="P31" s="404">
        <v>30340.59</v>
      </c>
      <c r="Q31" s="404">
        <v>25301.68</v>
      </c>
      <c r="R31" s="404">
        <v>25735.08</v>
      </c>
      <c r="S31" s="404">
        <v>31078.89</v>
      </c>
      <c r="T31" s="404">
        <v>37704.910000000003</v>
      </c>
      <c r="U31" s="404">
        <v>34974.14</v>
      </c>
      <c r="V31" s="404">
        <v>28709.599999999999</v>
      </c>
      <c r="W31" s="404">
        <v>23646.74</v>
      </c>
      <c r="X31" s="404">
        <v>13671.4</v>
      </c>
      <c r="Y31" s="404">
        <v>21845.86</v>
      </c>
      <c r="Z31" s="404">
        <v>18611.46</v>
      </c>
      <c r="AA31" s="404">
        <v>26228.7</v>
      </c>
      <c r="AB31" s="404">
        <v>28201.47</v>
      </c>
      <c r="AC31" s="404">
        <v>30851.84</v>
      </c>
      <c r="AD31" s="404">
        <v>28968.33</v>
      </c>
      <c r="AE31" s="404">
        <v>28141.74</v>
      </c>
      <c r="AF31" s="404">
        <v>21986.12</v>
      </c>
      <c r="AG31" s="404">
        <v>20497.79</v>
      </c>
      <c r="AH31" s="404">
        <v>24724.79</v>
      </c>
      <c r="AI31" s="404">
        <v>24614.35</v>
      </c>
      <c r="AJ31" s="404">
        <v>22711.51</v>
      </c>
      <c r="AK31" s="404">
        <v>23563.24</v>
      </c>
      <c r="AL31" s="404">
        <v>24533.55</v>
      </c>
      <c r="AM31" s="404">
        <v>26533.17</v>
      </c>
      <c r="AN31" s="404">
        <v>29041.58</v>
      </c>
      <c r="AO31" s="404">
        <v>31356.86</v>
      </c>
      <c r="AP31" s="404">
        <v>34905.199999999997</v>
      </c>
      <c r="AQ31" s="404">
        <v>35307.47</v>
      </c>
      <c r="AR31" s="404">
        <v>36318.519999999997</v>
      </c>
      <c r="AS31" s="404">
        <v>37455.269999999997</v>
      </c>
      <c r="AT31" s="404">
        <v>48711.9</v>
      </c>
      <c r="AU31" s="404">
        <v>47032.92</v>
      </c>
      <c r="AV31" s="404">
        <v>44192.81</v>
      </c>
      <c r="AW31" s="412">
        <f t="shared" si="3"/>
        <v>32665.657999999996</v>
      </c>
      <c r="AX31" s="350"/>
      <c r="BD31" s="364" t="str">
        <f t="shared" si="0"/>
        <v xml:space="preserve"> Hydrogenated Pygas (HPG) </v>
      </c>
      <c r="BE31" s="412">
        <f t="shared" si="4"/>
        <v>32665.657999999996</v>
      </c>
      <c r="BF31" s="351"/>
    </row>
    <row r="32" spans="3:58" x14ac:dyDescent="0.25">
      <c r="C32" s="406" t="s">
        <v>142</v>
      </c>
      <c r="D32" s="404">
        <v>22135.279999999999</v>
      </c>
      <c r="E32" s="404">
        <v>22512.55</v>
      </c>
      <c r="F32" s="404">
        <v>21168.39</v>
      </c>
      <c r="G32" s="404">
        <v>25354.81</v>
      </c>
      <c r="H32" s="404">
        <v>25439.360000000001</v>
      </c>
      <c r="I32" s="404">
        <v>24719.38</v>
      </c>
      <c r="J32" s="404">
        <v>26204.560000000001</v>
      </c>
      <c r="K32" s="404">
        <v>24079.99</v>
      </c>
      <c r="L32" s="404">
        <v>26981.95</v>
      </c>
      <c r="M32" s="404">
        <v>27804.18</v>
      </c>
      <c r="N32" s="404">
        <v>27903.06</v>
      </c>
      <c r="O32" s="404">
        <v>23602.26</v>
      </c>
      <c r="P32" s="404">
        <v>21818.04</v>
      </c>
      <c r="Q32" s="404">
        <v>23202.86</v>
      </c>
      <c r="R32" s="404">
        <v>21906.46</v>
      </c>
      <c r="S32" s="404">
        <v>24795.4</v>
      </c>
      <c r="T32" s="404">
        <v>22889.19</v>
      </c>
      <c r="U32" s="404">
        <v>21837.67</v>
      </c>
      <c r="V32" s="404">
        <v>20710.060000000001</v>
      </c>
      <c r="W32" s="404">
        <v>20220.88</v>
      </c>
      <c r="X32" s="404">
        <v>21364.78</v>
      </c>
      <c r="Y32" s="404">
        <v>24235.75</v>
      </c>
      <c r="Z32" s="404">
        <v>18254.169999999998</v>
      </c>
      <c r="AA32" s="404">
        <v>22808.97</v>
      </c>
      <c r="AB32" s="404">
        <v>20055.330000000002</v>
      </c>
      <c r="AC32" s="404">
        <v>21185.41</v>
      </c>
      <c r="AD32" s="404">
        <v>17162.53</v>
      </c>
      <c r="AE32" s="404">
        <v>17021.310000000001</v>
      </c>
      <c r="AF32" s="404">
        <v>15085</v>
      </c>
      <c r="AG32" s="404">
        <v>14986.76</v>
      </c>
      <c r="AH32" s="404">
        <v>16539.259999999998</v>
      </c>
      <c r="AI32" s="404">
        <v>16202.7</v>
      </c>
      <c r="AJ32" s="404">
        <v>14237.25</v>
      </c>
      <c r="AK32" s="404">
        <v>14759.22</v>
      </c>
      <c r="AL32" s="404">
        <v>15037.46</v>
      </c>
      <c r="AM32" s="404">
        <v>17052.439999999999</v>
      </c>
      <c r="AN32" s="404">
        <v>17758.98</v>
      </c>
      <c r="AO32" s="404">
        <v>18629.79</v>
      </c>
      <c r="AP32" s="404">
        <v>19608.060000000001</v>
      </c>
      <c r="AQ32" s="404">
        <v>21085.51</v>
      </c>
      <c r="AR32" s="404">
        <v>22310.67</v>
      </c>
      <c r="AS32" s="404">
        <v>23474.77</v>
      </c>
      <c r="AT32" s="404">
        <v>23133.35</v>
      </c>
      <c r="AU32" s="404">
        <v>24278.02</v>
      </c>
      <c r="AV32" s="404">
        <v>23432.880000000001</v>
      </c>
      <c r="AW32" s="412">
        <f t="shared" si="3"/>
        <v>21221.92666666667</v>
      </c>
      <c r="AX32" s="350"/>
      <c r="BD32" s="364" t="str">
        <f t="shared" si="0"/>
        <v xml:space="preserve"> CBFS </v>
      </c>
      <c r="BE32" s="412">
        <f t="shared" si="4"/>
        <v>21221.92666666667</v>
      </c>
      <c r="BF32" s="351"/>
    </row>
    <row r="33" spans="3:60" x14ac:dyDescent="0.25">
      <c r="C33" s="406" t="s">
        <v>143</v>
      </c>
      <c r="D33" s="404">
        <v>14931.43</v>
      </c>
      <c r="E33" s="404">
        <v>14069</v>
      </c>
      <c r="F33" s="404">
        <v>11660.9</v>
      </c>
      <c r="G33" s="404">
        <v>11450.91</v>
      </c>
      <c r="H33" s="404">
        <v>12356.8</v>
      </c>
      <c r="I33" s="404">
        <v>24272.99</v>
      </c>
      <c r="J33" s="404">
        <v>33543.480000000003</v>
      </c>
      <c r="K33" s="404">
        <v>34616.32</v>
      </c>
      <c r="L33" s="404">
        <v>37498.32</v>
      </c>
      <c r="M33" s="404">
        <v>37493.160000000003</v>
      </c>
      <c r="N33" s="404">
        <v>30363.48</v>
      </c>
      <c r="O33" s="404">
        <v>25531.11</v>
      </c>
      <c r="P33" s="404">
        <v>14881.03</v>
      </c>
      <c r="Q33" s="404">
        <v>12038.95</v>
      </c>
      <c r="R33" s="404">
        <v>14316.32</v>
      </c>
      <c r="S33" s="404">
        <v>18007.41</v>
      </c>
      <c r="T33" s="404">
        <v>22552.81</v>
      </c>
      <c r="U33" s="404">
        <v>21694.05</v>
      </c>
      <c r="V33" s="404">
        <v>18028.11</v>
      </c>
      <c r="W33" s="404">
        <v>12943.01</v>
      </c>
      <c r="X33" s="404">
        <v>7147.9</v>
      </c>
      <c r="Y33" s="404">
        <v>15832.13</v>
      </c>
      <c r="Z33" s="404">
        <v>13446.37</v>
      </c>
      <c r="AA33" s="404">
        <v>26669.119999999999</v>
      </c>
      <c r="AB33" s="404">
        <v>34545.620000000003</v>
      </c>
      <c r="AC33" s="404">
        <v>37790.730000000003</v>
      </c>
      <c r="AD33" s="404">
        <v>29719.26</v>
      </c>
      <c r="AE33" s="404">
        <v>28975.85</v>
      </c>
      <c r="AF33" s="404">
        <v>20953.759999999998</v>
      </c>
      <c r="AG33" s="404">
        <v>20003.18</v>
      </c>
      <c r="AH33" s="404">
        <v>22934.26</v>
      </c>
      <c r="AI33" s="404">
        <v>25223.43</v>
      </c>
      <c r="AJ33" s="404">
        <v>25382.52</v>
      </c>
      <c r="AK33" s="404">
        <v>24162.52</v>
      </c>
      <c r="AL33" s="404">
        <v>26853.81</v>
      </c>
      <c r="AM33" s="404">
        <v>35718.86</v>
      </c>
      <c r="AN33" s="404">
        <v>39917.089999999997</v>
      </c>
      <c r="AO33" s="404">
        <v>44360.67</v>
      </c>
      <c r="AP33" s="404">
        <v>45799.24</v>
      </c>
      <c r="AQ33" s="404">
        <v>41014.99</v>
      </c>
      <c r="AR33" s="404">
        <v>42330.82</v>
      </c>
      <c r="AS33" s="404">
        <v>43213.440000000002</v>
      </c>
      <c r="AT33" s="404">
        <v>55406</v>
      </c>
      <c r="AU33" s="404">
        <v>52547.9</v>
      </c>
      <c r="AV33" s="404">
        <v>51447.02</v>
      </c>
      <c r="AW33" s="412">
        <f t="shared" si="3"/>
        <v>27414.357333333333</v>
      </c>
      <c r="AX33" s="350"/>
      <c r="BD33" s="364" t="str">
        <f t="shared" si="0"/>
        <v xml:space="preserve"> C9+   </v>
      </c>
      <c r="BE33" s="412">
        <f t="shared" si="4"/>
        <v>27414.357333333333</v>
      </c>
      <c r="BF33" s="351"/>
    </row>
    <row r="34" spans="3:60" x14ac:dyDescent="0.25">
      <c r="C34" s="411" t="s">
        <v>150</v>
      </c>
      <c r="D34" s="592">
        <v>5.2450000000000001</v>
      </c>
      <c r="E34" s="592">
        <v>7.48</v>
      </c>
      <c r="F34" s="593">
        <v>7.6002255138846202</v>
      </c>
      <c r="G34" s="593">
        <v>6.65</v>
      </c>
      <c r="H34" s="593">
        <v>6.77</v>
      </c>
      <c r="I34" s="593">
        <v>6.83</v>
      </c>
      <c r="J34" s="593">
        <v>8.23</v>
      </c>
      <c r="K34" s="593">
        <v>8.2200000000000006</v>
      </c>
      <c r="L34" s="593">
        <v>7.32</v>
      </c>
      <c r="M34" s="593">
        <v>8.18</v>
      </c>
      <c r="N34" s="593">
        <v>7.53</v>
      </c>
      <c r="O34" s="593">
        <v>7.13</v>
      </c>
      <c r="P34" s="593">
        <v>6.42</v>
      </c>
      <c r="Q34" s="593">
        <v>7.18</v>
      </c>
      <c r="R34" s="593">
        <v>6.07</v>
      </c>
      <c r="S34" s="593">
        <v>4.8415999999999997</v>
      </c>
      <c r="T34" s="593">
        <v>4.8899999999999997</v>
      </c>
      <c r="U34" s="593">
        <v>5.4</v>
      </c>
      <c r="V34" s="593">
        <v>5.84</v>
      </c>
      <c r="W34" s="593">
        <v>5.76</v>
      </c>
      <c r="X34" s="593">
        <v>5.46</v>
      </c>
      <c r="Y34" s="593">
        <v>6.36</v>
      </c>
      <c r="Z34" s="593">
        <v>6.17</v>
      </c>
      <c r="AA34" s="593">
        <v>6.84</v>
      </c>
      <c r="AB34" s="593">
        <v>5.67</v>
      </c>
      <c r="AC34" s="593">
        <v>5.33</v>
      </c>
      <c r="AD34" s="593">
        <v>3.69</v>
      </c>
      <c r="AE34" s="593">
        <v>4.9800000000000004</v>
      </c>
      <c r="AF34" s="593">
        <v>4.4800000000000004</v>
      </c>
      <c r="AG34" s="593">
        <v>3</v>
      </c>
      <c r="AH34" s="593">
        <v>2.6</v>
      </c>
      <c r="AI34" s="593">
        <v>3.43</v>
      </c>
      <c r="AJ34" s="593">
        <v>4.3499999999999996</v>
      </c>
      <c r="AK34" s="593">
        <v>4.68</v>
      </c>
      <c r="AL34" s="593">
        <v>5.0999999999999996</v>
      </c>
      <c r="AM34" s="593">
        <v>6.03</v>
      </c>
      <c r="AN34" s="593">
        <v>6.67</v>
      </c>
      <c r="AO34" s="593">
        <v>8.02</v>
      </c>
      <c r="AP34" s="593">
        <v>7.23</v>
      </c>
      <c r="AQ34" s="593">
        <v>5.36</v>
      </c>
      <c r="AR34" s="593">
        <v>5.15</v>
      </c>
      <c r="AS34" s="593">
        <v>5.64</v>
      </c>
      <c r="AT34" s="593">
        <v>6.42</v>
      </c>
      <c r="AU34" s="593">
        <v>7.17</v>
      </c>
      <c r="AV34" s="593">
        <v>7.47</v>
      </c>
      <c r="AW34" s="413">
        <f t="shared" si="3"/>
        <v>6.0197072336418813</v>
      </c>
      <c r="AX34" s="350"/>
      <c r="BD34" s="364" t="str">
        <f t="shared" si="0"/>
        <v>POWER</v>
      </c>
      <c r="BE34" s="413">
        <f t="shared" si="4"/>
        <v>6.0197072336418813</v>
      </c>
      <c r="BF34" s="351"/>
    </row>
    <row r="35" spans="3:60" x14ac:dyDescent="0.25">
      <c r="C35" s="411" t="s">
        <v>151</v>
      </c>
      <c r="D35" s="592">
        <v>1659</v>
      </c>
      <c r="E35" s="592">
        <v>2237</v>
      </c>
      <c r="F35" s="594">
        <v>2255.1410444563789</v>
      </c>
      <c r="G35" s="594">
        <v>2146.2487431145209</v>
      </c>
      <c r="H35" s="594">
        <v>2418.3910474276554</v>
      </c>
      <c r="I35" s="594">
        <v>2701.6199743644243</v>
      </c>
      <c r="J35" s="594">
        <v>2777.0407045596344</v>
      </c>
      <c r="K35" s="594">
        <v>2836.6205896021006</v>
      </c>
      <c r="L35" s="594">
        <v>2780.2581602607625</v>
      </c>
      <c r="M35" s="594">
        <v>3053.926570501239</v>
      </c>
      <c r="N35" s="594">
        <v>2836.1664048306907</v>
      </c>
      <c r="O35" s="594">
        <v>2611.932049598453</v>
      </c>
      <c r="P35" s="594">
        <v>2577.919484614094</v>
      </c>
      <c r="Q35" s="594">
        <v>2856.2006891112787</v>
      </c>
      <c r="R35" s="594">
        <v>2469.3423214225581</v>
      </c>
      <c r="S35" s="594">
        <v>2091.94</v>
      </c>
      <c r="T35" s="594">
        <v>2025.12</v>
      </c>
      <c r="U35" s="594">
        <v>2197.69</v>
      </c>
      <c r="V35" s="594">
        <v>2450.21</v>
      </c>
      <c r="W35" s="594">
        <v>2188.85</v>
      </c>
      <c r="X35" s="594">
        <v>2098.58</v>
      </c>
      <c r="Y35" s="594">
        <v>2650.93</v>
      </c>
      <c r="Z35" s="594">
        <v>2588.92</v>
      </c>
      <c r="AA35" s="594">
        <v>2922.37</v>
      </c>
      <c r="AB35" s="594">
        <v>2398.6999999999998</v>
      </c>
      <c r="AC35" s="594">
        <v>2269.4</v>
      </c>
      <c r="AD35" s="594">
        <v>1425.69</v>
      </c>
      <c r="AE35" s="594">
        <v>1908.42</v>
      </c>
      <c r="AF35" s="594">
        <v>1785.56</v>
      </c>
      <c r="AG35" s="594">
        <v>1111.8399999999999</v>
      </c>
      <c r="AH35" s="594">
        <v>1033.04</v>
      </c>
      <c r="AI35" s="594">
        <v>1321.01</v>
      </c>
      <c r="AJ35" s="594">
        <v>1668.98</v>
      </c>
      <c r="AK35" s="594">
        <v>1783.8</v>
      </c>
      <c r="AL35" s="594">
        <v>2035.2</v>
      </c>
      <c r="AM35" s="594">
        <v>2259.19</v>
      </c>
      <c r="AN35" s="594">
        <v>2699.1</v>
      </c>
      <c r="AO35" s="594">
        <v>3294.54</v>
      </c>
      <c r="AP35" s="594">
        <v>2840.46</v>
      </c>
      <c r="AQ35" s="594">
        <v>2266.15</v>
      </c>
      <c r="AR35" s="594">
        <v>2243.14</v>
      </c>
      <c r="AS35" s="594">
        <v>2506.4699999999998</v>
      </c>
      <c r="AT35" s="594">
        <v>2911.57</v>
      </c>
      <c r="AU35" s="594">
        <v>3467.2</v>
      </c>
      <c r="AV35" s="594">
        <v>3800.16</v>
      </c>
      <c r="AW35" s="412">
        <f t="shared" si="3"/>
        <v>2365.8008396414175</v>
      </c>
      <c r="AX35" s="350"/>
      <c r="BD35" s="364" t="str">
        <f t="shared" si="0"/>
        <v>STEAM</v>
      </c>
      <c r="BE35" s="412">
        <f t="shared" si="4"/>
        <v>2365.8008396414175</v>
      </c>
      <c r="BF35" s="351"/>
    </row>
    <row r="36" spans="3:60" x14ac:dyDescent="0.25">
      <c r="C36" s="411" t="s">
        <v>152</v>
      </c>
      <c r="D36" s="592">
        <v>56.1</v>
      </c>
      <c r="E36" s="592">
        <v>57.6</v>
      </c>
      <c r="F36" s="592">
        <v>55.7</v>
      </c>
      <c r="G36" s="592">
        <v>59.95</v>
      </c>
      <c r="H36" s="592">
        <v>68.569999999999993</v>
      </c>
      <c r="I36" s="592">
        <v>79.7</v>
      </c>
      <c r="J36" s="592">
        <v>85.01</v>
      </c>
      <c r="K36" s="592">
        <v>73.42</v>
      </c>
      <c r="L36" s="592">
        <v>68.25</v>
      </c>
      <c r="M36" s="592">
        <v>53.25</v>
      </c>
      <c r="N36" s="592">
        <v>65.459999999999994</v>
      </c>
      <c r="O36" s="592">
        <v>60.93</v>
      </c>
      <c r="P36" s="592">
        <v>59.7</v>
      </c>
      <c r="Q36" s="592">
        <v>58.94</v>
      </c>
      <c r="R36" s="592">
        <v>57.95</v>
      </c>
      <c r="S36" s="592">
        <v>78.48</v>
      </c>
      <c r="T36" s="592">
        <v>82.51</v>
      </c>
      <c r="U36" s="592">
        <v>83.6</v>
      </c>
      <c r="V36" s="592">
        <v>102.15</v>
      </c>
      <c r="W36" s="592">
        <v>74.58</v>
      </c>
      <c r="X36" s="592">
        <v>78.45</v>
      </c>
      <c r="Y36" s="592">
        <v>76.87</v>
      </c>
      <c r="Z36" s="592">
        <v>82.39</v>
      </c>
      <c r="AA36" s="592">
        <v>77.88</v>
      </c>
      <c r="AB36" s="592">
        <v>75.39</v>
      </c>
      <c r="AC36" s="592">
        <v>66.849999999999994</v>
      </c>
      <c r="AD36" s="592">
        <v>64.58</v>
      </c>
      <c r="AE36" s="592">
        <v>84.97</v>
      </c>
      <c r="AF36" s="592">
        <v>78.069999999999993</v>
      </c>
      <c r="AG36" s="592">
        <v>71.17</v>
      </c>
      <c r="AH36" s="592">
        <v>68.23</v>
      </c>
      <c r="AI36" s="592">
        <v>69.2</v>
      </c>
      <c r="AJ36" s="592">
        <v>71.16</v>
      </c>
      <c r="AK36" s="592">
        <v>82.9</v>
      </c>
      <c r="AL36" s="592">
        <v>88.88</v>
      </c>
      <c r="AM36" s="592">
        <v>80.14</v>
      </c>
      <c r="AN36" s="592">
        <v>89.43</v>
      </c>
      <c r="AO36" s="592">
        <v>102.78</v>
      </c>
      <c r="AP36" s="592">
        <v>102.25</v>
      </c>
      <c r="AQ36" s="592">
        <v>100.32</v>
      </c>
      <c r="AR36" s="592">
        <v>81.34</v>
      </c>
      <c r="AS36" s="592">
        <v>90.67</v>
      </c>
      <c r="AT36" s="592">
        <v>91.86</v>
      </c>
      <c r="AU36" s="592">
        <v>95.99</v>
      </c>
      <c r="AV36" s="592">
        <v>94.95</v>
      </c>
      <c r="AW36" s="413">
        <f t="shared" si="3"/>
        <v>76.634888888888895</v>
      </c>
      <c r="AX36" s="350"/>
      <c r="BD36" s="364" t="str">
        <f t="shared" si="0"/>
        <v>DM WATER</v>
      </c>
      <c r="BE36" s="413">
        <f t="shared" si="4"/>
        <v>76.634888888888895</v>
      </c>
      <c r="BF36" s="351"/>
    </row>
    <row r="37" spans="3:60" s="16" customFormat="1" ht="19.5" customHeight="1" x14ac:dyDescent="0.25">
      <c r="C37" s="411" t="s">
        <v>162</v>
      </c>
      <c r="D37" s="592">
        <v>2.19</v>
      </c>
      <c r="E37" s="592">
        <v>3.16</v>
      </c>
      <c r="F37" s="592">
        <v>3.15</v>
      </c>
      <c r="G37" s="592">
        <v>2.71</v>
      </c>
      <c r="H37" s="592">
        <v>2.67</v>
      </c>
      <c r="I37" s="592">
        <v>2.98</v>
      </c>
      <c r="J37" s="592">
        <v>3.6</v>
      </c>
      <c r="K37" s="592">
        <v>3.3</v>
      </c>
      <c r="L37" s="592">
        <v>3.19</v>
      </c>
      <c r="M37" s="592">
        <v>3.54</v>
      </c>
      <c r="N37" s="592">
        <v>3.04</v>
      </c>
      <c r="O37" s="592">
        <v>2.95</v>
      </c>
      <c r="P37" s="592">
        <v>2.5499999999999998</v>
      </c>
      <c r="Q37" s="592">
        <v>3.17</v>
      </c>
      <c r="R37" s="592">
        <v>2.7</v>
      </c>
      <c r="S37" s="592">
        <v>2.14</v>
      </c>
      <c r="T37" s="592">
        <v>2.11</v>
      </c>
      <c r="U37" s="592">
        <v>2.31</v>
      </c>
      <c r="V37" s="592">
        <v>2.5499999999999998</v>
      </c>
      <c r="W37" s="592">
        <v>2.8</v>
      </c>
      <c r="X37" s="592">
        <v>2.42</v>
      </c>
      <c r="Y37" s="592">
        <v>2.8</v>
      </c>
      <c r="Z37" s="592">
        <v>2.73</v>
      </c>
      <c r="AA37" s="592">
        <v>2.99</v>
      </c>
      <c r="AB37" s="592">
        <v>2.38</v>
      </c>
      <c r="AC37" s="592">
        <v>2.4700000000000002</v>
      </c>
      <c r="AD37" s="592">
        <v>1.66</v>
      </c>
      <c r="AE37" s="592">
        <v>2.34</v>
      </c>
      <c r="AF37" s="592">
        <v>2.73</v>
      </c>
      <c r="AG37" s="592">
        <v>1.44</v>
      </c>
      <c r="AH37" s="592">
        <v>1.22</v>
      </c>
      <c r="AI37" s="592">
        <v>1.58</v>
      </c>
      <c r="AJ37" s="592">
        <v>2.04</v>
      </c>
      <c r="AK37" s="592">
        <v>2.15</v>
      </c>
      <c r="AL37" s="592">
        <v>2.37</v>
      </c>
      <c r="AM37" s="592">
        <v>2.61</v>
      </c>
      <c r="AN37" s="592">
        <v>2.96</v>
      </c>
      <c r="AO37" s="592">
        <v>3.52</v>
      </c>
      <c r="AP37" s="592">
        <v>3.35</v>
      </c>
      <c r="AQ37" s="592">
        <v>2.69</v>
      </c>
      <c r="AR37" s="592">
        <v>2.57</v>
      </c>
      <c r="AS37" s="592">
        <v>2.83</v>
      </c>
      <c r="AT37" s="592">
        <v>3.48</v>
      </c>
      <c r="AU37" s="592">
        <v>3.56</v>
      </c>
      <c r="AV37" s="592">
        <v>3.74</v>
      </c>
      <c r="AW37" s="413">
        <f t="shared" si="3"/>
        <v>2.6986666666666661</v>
      </c>
      <c r="AX37" s="350"/>
      <c r="BD37" s="364" t="str">
        <f t="shared" si="0"/>
        <v>Nitrogen-Rs./NM3 (Considered for Oxygen cost of Production)</v>
      </c>
      <c r="BE37" s="413">
        <f t="shared" si="4"/>
        <v>2.6986666666666661</v>
      </c>
      <c r="BF37" s="352"/>
    </row>
    <row r="38" spans="3:60" s="16" customFormat="1" x14ac:dyDescent="0.25">
      <c r="C38" s="419"/>
      <c r="D38" s="420"/>
      <c r="E38" s="420"/>
      <c r="F38" s="420"/>
      <c r="G38" s="420"/>
      <c r="H38" s="420"/>
      <c r="I38" s="420"/>
      <c r="J38" s="420"/>
      <c r="K38" s="420"/>
      <c r="L38" s="420"/>
      <c r="M38" s="420"/>
      <c r="N38" s="420"/>
      <c r="O38" s="420"/>
      <c r="P38" s="420"/>
      <c r="Q38" s="420"/>
      <c r="R38" s="420"/>
      <c r="S38" s="420"/>
      <c r="T38" s="420"/>
      <c r="U38" s="420"/>
      <c r="V38" s="420"/>
      <c r="W38" s="420"/>
      <c r="X38" s="420"/>
      <c r="Y38" s="420"/>
      <c r="Z38" s="420"/>
      <c r="AA38" s="420"/>
      <c r="AB38" s="420"/>
      <c r="AC38" s="420"/>
      <c r="AD38" s="420"/>
      <c r="AE38" s="420"/>
      <c r="AF38" s="420"/>
      <c r="AG38" s="420"/>
      <c r="AH38" s="420"/>
      <c r="AI38" s="420"/>
      <c r="AJ38" s="420"/>
      <c r="AK38" s="420"/>
      <c r="AL38" s="420"/>
      <c r="AM38" s="420"/>
      <c r="AN38" s="420"/>
      <c r="AO38" s="420"/>
      <c r="AP38" s="420"/>
      <c r="AQ38" s="420"/>
      <c r="AR38" s="420"/>
      <c r="AS38" s="420"/>
      <c r="AT38" s="420"/>
      <c r="AU38" s="420"/>
      <c r="AV38" s="420"/>
      <c r="AW38" s="421"/>
      <c r="BD38" s="364">
        <f t="shared" si="0"/>
        <v>0</v>
      </c>
      <c r="BE38" s="420"/>
    </row>
    <row r="39" spans="3:60" s="16" customFormat="1" x14ac:dyDescent="0.25">
      <c r="C39" s="411" t="s">
        <v>359</v>
      </c>
      <c r="D39" s="422">
        <f t="shared" ref="D39:AV39" si="5">D68*D14+D15*D69+D70*D16+D17*D71</f>
        <v>4239142866.2833729</v>
      </c>
      <c r="E39" s="422">
        <f t="shared" si="5"/>
        <v>4301159721.1825075</v>
      </c>
      <c r="F39" s="422">
        <f t="shared" si="5"/>
        <v>5021169917.4008446</v>
      </c>
      <c r="G39" s="422">
        <f t="shared" si="5"/>
        <v>3054801616.6979752</v>
      </c>
      <c r="H39" s="422">
        <f t="shared" si="5"/>
        <v>4633042460.0725937</v>
      </c>
      <c r="I39" s="422">
        <f t="shared" si="5"/>
        <v>5587072830.0543938</v>
      </c>
      <c r="J39" s="422">
        <f t="shared" si="5"/>
        <v>5875004335.3088274</v>
      </c>
      <c r="K39" s="422">
        <f t="shared" si="5"/>
        <v>6850701896.7432289</v>
      </c>
      <c r="L39" s="422">
        <f t="shared" si="5"/>
        <v>6515857455.243269</v>
      </c>
      <c r="M39" s="422">
        <f t="shared" si="5"/>
        <v>5763095622.1676836</v>
      </c>
      <c r="N39" s="422">
        <f t="shared" si="5"/>
        <v>3840898636.5795746</v>
      </c>
      <c r="O39" s="422">
        <f t="shared" si="5"/>
        <v>3890069037.237072</v>
      </c>
      <c r="P39" s="422">
        <f t="shared" si="5"/>
        <v>4625012709.1663952</v>
      </c>
      <c r="Q39" s="422">
        <f t="shared" si="5"/>
        <v>4757128404.0003777</v>
      </c>
      <c r="R39" s="422">
        <f t="shared" si="5"/>
        <v>6173658553.3944559</v>
      </c>
      <c r="S39" s="422">
        <f t="shared" si="5"/>
        <v>6009814715.3051853</v>
      </c>
      <c r="T39" s="422">
        <f t="shared" si="5"/>
        <v>5894784085.4166346</v>
      </c>
      <c r="U39" s="422">
        <f t="shared" si="5"/>
        <v>5125734178.0043755</v>
      </c>
      <c r="V39" s="422">
        <f t="shared" si="5"/>
        <v>6092172071.2914906</v>
      </c>
      <c r="W39" s="422">
        <f t="shared" si="5"/>
        <v>4506710916.0981083</v>
      </c>
      <c r="X39" s="422">
        <f t="shared" si="5"/>
        <v>4795498060.851367</v>
      </c>
      <c r="Y39" s="422">
        <f t="shared" si="5"/>
        <v>4365146507.882618</v>
      </c>
      <c r="Z39" s="422">
        <f t="shared" si="5"/>
        <v>6228512681.9770737</v>
      </c>
      <c r="AA39" s="422">
        <f t="shared" si="5"/>
        <v>7381398914.0333405</v>
      </c>
      <c r="AB39" s="422">
        <f t="shared" si="5"/>
        <v>7484515638.4229488</v>
      </c>
      <c r="AC39" s="422">
        <f t="shared" si="5"/>
        <v>5960231507.7505493</v>
      </c>
      <c r="AD39" s="422">
        <f t="shared" si="5"/>
        <v>4159272433.255105</v>
      </c>
      <c r="AE39" s="422">
        <f t="shared" si="5"/>
        <v>2688413052.4946795</v>
      </c>
      <c r="AF39" s="422">
        <f t="shared" si="5"/>
        <v>3826723475.9572582</v>
      </c>
      <c r="AG39" s="422">
        <f t="shared" si="5"/>
        <v>5907839714.7544708</v>
      </c>
      <c r="AH39" s="422">
        <f t="shared" si="5"/>
        <v>5727694253.3757019</v>
      </c>
      <c r="AI39" s="422">
        <f t="shared" si="5"/>
        <v>5429836383.9554672</v>
      </c>
      <c r="AJ39" s="422">
        <f t="shared" si="5"/>
        <v>5126117588.5345411</v>
      </c>
      <c r="AK39" s="422">
        <f t="shared" si="5"/>
        <v>4857741860.4496737</v>
      </c>
      <c r="AL39" s="422">
        <f t="shared" si="5"/>
        <v>5045252557.6456213</v>
      </c>
      <c r="AM39" s="422">
        <f t="shared" si="5"/>
        <v>4392136507.5925207</v>
      </c>
      <c r="AN39" s="422">
        <f t="shared" si="5"/>
        <v>6575503612.8208466</v>
      </c>
      <c r="AO39" s="422">
        <f t="shared" si="5"/>
        <v>6588989001.0217028</v>
      </c>
      <c r="AP39" s="422">
        <f t="shared" si="5"/>
        <v>8450847610.0387688</v>
      </c>
      <c r="AQ39" s="422">
        <f t="shared" si="5"/>
        <v>6511403874.0941448</v>
      </c>
      <c r="AR39" s="422">
        <f t="shared" si="5"/>
        <v>5264073995.9744415</v>
      </c>
      <c r="AS39" s="422">
        <f t="shared" si="5"/>
        <v>7322343978.4688549</v>
      </c>
      <c r="AT39" s="422">
        <f t="shared" si="5"/>
        <v>6512998037.2601337</v>
      </c>
      <c r="AU39" s="422">
        <f t="shared" si="5"/>
        <v>7971989811.2033796</v>
      </c>
      <c r="AV39" s="422">
        <f t="shared" si="5"/>
        <v>9104120978.3413754</v>
      </c>
      <c r="AW39" s="412">
        <f t="shared" si="3"/>
        <v>5565236312.5734425</v>
      </c>
      <c r="BD39" s="364" t="str">
        <f t="shared" si="0"/>
        <v>Total Feed cost</v>
      </c>
      <c r="BE39" s="412">
        <f>BE68*BE14+BE15*BE69+BE70*BE16+BE17*BE71</f>
        <v>75906981374.240921</v>
      </c>
    </row>
    <row r="40" spans="3:60" s="16" customFormat="1" x14ac:dyDescent="0.25">
      <c r="C40" s="411" t="s">
        <v>361</v>
      </c>
      <c r="D40" s="422">
        <f t="shared" ref="D40:AV41" si="6">D14*D68</f>
        <v>682132570.65921235</v>
      </c>
      <c r="E40" s="422">
        <f t="shared" si="6"/>
        <v>830189591.02167332</v>
      </c>
      <c r="F40" s="422">
        <f t="shared" si="6"/>
        <v>1335991000.0487301</v>
      </c>
      <c r="G40" s="422">
        <f t="shared" si="6"/>
        <v>546561113.24481905</v>
      </c>
      <c r="H40" s="422">
        <f t="shared" si="6"/>
        <v>534738148.8251906</v>
      </c>
      <c r="I40" s="422">
        <f t="shared" si="6"/>
        <v>1555301846.6413567</v>
      </c>
      <c r="J40" s="422">
        <f t="shared" si="6"/>
        <v>1795366490.2890148</v>
      </c>
      <c r="K40" s="422">
        <f t="shared" si="6"/>
        <v>1778523752.7414637</v>
      </c>
      <c r="L40" s="422">
        <f t="shared" si="6"/>
        <v>1990351739.9826233</v>
      </c>
      <c r="M40" s="422">
        <f t="shared" si="6"/>
        <v>1015734297.8223163</v>
      </c>
      <c r="N40" s="422">
        <f t="shared" si="6"/>
        <v>749982228.34344077</v>
      </c>
      <c r="O40" s="422">
        <f t="shared" si="6"/>
        <v>1066704076.8284609</v>
      </c>
      <c r="P40" s="422">
        <f t="shared" si="6"/>
        <v>1081563292.8639059</v>
      </c>
      <c r="Q40" s="422">
        <f t="shared" si="6"/>
        <v>1051803135.7127048</v>
      </c>
      <c r="R40" s="422">
        <f t="shared" si="6"/>
        <v>1226240913.3124781</v>
      </c>
      <c r="S40" s="422">
        <f t="shared" si="6"/>
        <v>1394518041.1577291</v>
      </c>
      <c r="T40" s="422">
        <f t="shared" si="6"/>
        <v>1312398676.9283323</v>
      </c>
      <c r="U40" s="422">
        <f t="shared" si="6"/>
        <v>1329027434.9892976</v>
      </c>
      <c r="V40" s="422">
        <f t="shared" si="6"/>
        <v>1364894563.805609</v>
      </c>
      <c r="W40" s="422">
        <f t="shared" si="6"/>
        <v>1085752900.783196</v>
      </c>
      <c r="X40" s="422">
        <f t="shared" si="6"/>
        <v>1056455295.3181601</v>
      </c>
      <c r="Y40" s="422">
        <f t="shared" si="6"/>
        <v>1041959739.3840672</v>
      </c>
      <c r="Z40" s="422">
        <f t="shared" si="6"/>
        <v>1073800562.5444434</v>
      </c>
      <c r="AA40" s="422">
        <f t="shared" si="6"/>
        <v>1268178240.24716</v>
      </c>
      <c r="AB40" s="422">
        <f t="shared" si="6"/>
        <v>1148180888.233562</v>
      </c>
      <c r="AC40" s="422">
        <f t="shared" si="6"/>
        <v>1201424102.5170641</v>
      </c>
      <c r="AD40" s="422">
        <f t="shared" si="6"/>
        <v>956369323.69486606</v>
      </c>
      <c r="AE40" s="422">
        <f t="shared" si="6"/>
        <v>411982477.93965584</v>
      </c>
      <c r="AF40" s="422">
        <f t="shared" si="6"/>
        <v>502728077.5876925</v>
      </c>
      <c r="AG40" s="422">
        <f t="shared" si="6"/>
        <v>905382492.6171689</v>
      </c>
      <c r="AH40" s="422">
        <f t="shared" si="6"/>
        <v>1043002446.5751526</v>
      </c>
      <c r="AI40" s="422">
        <f t="shared" si="6"/>
        <v>1019501987.7934065</v>
      </c>
      <c r="AJ40" s="422">
        <f t="shared" si="6"/>
        <v>984736847.30721498</v>
      </c>
      <c r="AK40" s="422">
        <f t="shared" si="6"/>
        <v>754833070.58819973</v>
      </c>
      <c r="AL40" s="422">
        <f t="shared" si="6"/>
        <v>892883251.16036749</v>
      </c>
      <c r="AM40" s="422">
        <f t="shared" si="6"/>
        <v>887974068.98662102</v>
      </c>
      <c r="AN40" s="422">
        <f t="shared" si="6"/>
        <v>835416637.29508519</v>
      </c>
      <c r="AO40" s="422">
        <f t="shared" si="6"/>
        <v>849229796.47025406</v>
      </c>
      <c r="AP40" s="422">
        <f t="shared" si="6"/>
        <v>942477410.52440012</v>
      </c>
      <c r="AQ40" s="422">
        <f t="shared" si="6"/>
        <v>873108585.81732881</v>
      </c>
      <c r="AR40" s="422">
        <f t="shared" si="6"/>
        <v>916136729.11048377</v>
      </c>
      <c r="AS40" s="422">
        <f t="shared" si="6"/>
        <v>880435972.36466229</v>
      </c>
      <c r="AT40" s="422">
        <f t="shared" si="6"/>
        <v>821993677.99415767</v>
      </c>
      <c r="AU40" s="422">
        <f t="shared" si="6"/>
        <v>857646507.21227169</v>
      </c>
      <c r="AV40" s="422">
        <f t="shared" si="6"/>
        <v>811402959.13711214</v>
      </c>
      <c r="AW40" s="412">
        <f t="shared" si="3"/>
        <v>1037000376.9871581</v>
      </c>
      <c r="BD40" s="364" t="str">
        <f t="shared" si="0"/>
        <v>C2 cost</v>
      </c>
      <c r="BE40" s="599">
        <f>BE14*BE68</f>
        <v>24912632881.061188</v>
      </c>
    </row>
    <row r="41" spans="3:60" s="16" customFormat="1" x14ac:dyDescent="0.25">
      <c r="C41" s="411" t="s">
        <v>362</v>
      </c>
      <c r="D41" s="422">
        <f t="shared" si="6"/>
        <v>721252958.811584</v>
      </c>
      <c r="E41" s="422">
        <f t="shared" si="6"/>
        <v>489570506.64459997</v>
      </c>
      <c r="F41" s="422">
        <f t="shared" si="6"/>
        <v>677784016.6839999</v>
      </c>
      <c r="G41" s="422">
        <f t="shared" si="6"/>
        <v>528970034.24434</v>
      </c>
      <c r="H41" s="422">
        <f t="shared" si="6"/>
        <v>595701627.65960002</v>
      </c>
      <c r="I41" s="422">
        <f t="shared" si="6"/>
        <v>763770165.52900004</v>
      </c>
      <c r="J41" s="422">
        <f t="shared" si="6"/>
        <v>791706690.01859999</v>
      </c>
      <c r="K41" s="422">
        <f t="shared" si="6"/>
        <v>816398430.02570033</v>
      </c>
      <c r="L41" s="422">
        <f t="shared" si="6"/>
        <v>783686409.14895129</v>
      </c>
      <c r="M41" s="422">
        <f t="shared" si="6"/>
        <v>753751955.89178622</v>
      </c>
      <c r="N41" s="422">
        <f t="shared" si="6"/>
        <v>608813908.68929577</v>
      </c>
      <c r="O41" s="422">
        <f t="shared" si="6"/>
        <v>457003646.94898933</v>
      </c>
      <c r="P41" s="422">
        <f t="shared" si="6"/>
        <v>479647601.10600901</v>
      </c>
      <c r="Q41" s="422">
        <f t="shared" si="6"/>
        <v>532723879.50538367</v>
      </c>
      <c r="R41" s="422">
        <f t="shared" si="6"/>
        <v>701764132.89359117</v>
      </c>
      <c r="S41" s="422">
        <f t="shared" si="6"/>
        <v>718085132.52290571</v>
      </c>
      <c r="T41" s="422">
        <f t="shared" si="6"/>
        <v>707189317.78154075</v>
      </c>
      <c r="U41" s="422">
        <f t="shared" si="6"/>
        <v>607593578.60858846</v>
      </c>
      <c r="V41" s="422">
        <f t="shared" si="6"/>
        <v>490907968.17710477</v>
      </c>
      <c r="W41" s="422">
        <f t="shared" si="6"/>
        <v>426543245.1459623</v>
      </c>
      <c r="X41" s="422">
        <f t="shared" si="6"/>
        <v>444700617.66073036</v>
      </c>
      <c r="Y41" s="422">
        <f t="shared" si="6"/>
        <v>522575800.78216469</v>
      </c>
      <c r="Z41" s="422">
        <f t="shared" si="6"/>
        <v>548183160.06143475</v>
      </c>
      <c r="AA41" s="422">
        <f t="shared" si="6"/>
        <v>643581980.84531581</v>
      </c>
      <c r="AB41" s="422">
        <f t="shared" si="6"/>
        <v>642571897.99701309</v>
      </c>
      <c r="AC41" s="422">
        <f t="shared" si="6"/>
        <v>622145149.47651601</v>
      </c>
      <c r="AD41" s="422">
        <f t="shared" si="6"/>
        <v>535777165.68038589</v>
      </c>
      <c r="AE41" s="422">
        <f t="shared" si="6"/>
        <v>136032864.82303888</v>
      </c>
      <c r="AF41" s="422">
        <f t="shared" si="6"/>
        <v>213511012.47531998</v>
      </c>
      <c r="AG41" s="422">
        <f t="shared" si="6"/>
        <v>375401773.68279141</v>
      </c>
      <c r="AH41" s="422">
        <f t="shared" si="6"/>
        <v>541103237.87012947</v>
      </c>
      <c r="AI41" s="422">
        <f t="shared" si="6"/>
        <v>531439004.61890721</v>
      </c>
      <c r="AJ41" s="422">
        <f t="shared" si="6"/>
        <v>484973124.41100365</v>
      </c>
      <c r="AK41" s="422">
        <f t="shared" si="6"/>
        <v>462224347.13748163</v>
      </c>
      <c r="AL41" s="422">
        <f t="shared" si="6"/>
        <v>532153793.76262563</v>
      </c>
      <c r="AM41" s="422">
        <f t="shared" si="6"/>
        <v>280088576.69979489</v>
      </c>
      <c r="AN41" s="422">
        <f t="shared" si="6"/>
        <v>603808690.80808818</v>
      </c>
      <c r="AO41" s="422">
        <f t="shared" si="6"/>
        <v>628458328.36715281</v>
      </c>
      <c r="AP41" s="422">
        <f t="shared" si="6"/>
        <v>908726353.42133892</v>
      </c>
      <c r="AQ41" s="422">
        <f t="shared" si="6"/>
        <v>766866747.30599558</v>
      </c>
      <c r="AR41" s="422">
        <f t="shared" si="6"/>
        <v>491476260.06895494</v>
      </c>
      <c r="AS41" s="422">
        <f t="shared" si="6"/>
        <v>744653857.47559309</v>
      </c>
      <c r="AT41" s="422">
        <f t="shared" si="6"/>
        <v>807373023.1902926</v>
      </c>
      <c r="AU41" s="422">
        <f t="shared" si="6"/>
        <v>931815806.41784358</v>
      </c>
      <c r="AV41" s="422">
        <f t="shared" si="6"/>
        <v>920740867.15845072</v>
      </c>
      <c r="AW41" s="412">
        <f t="shared" si="3"/>
        <v>599405525.51635313</v>
      </c>
      <c r="BD41" s="364" t="str">
        <f t="shared" si="0"/>
        <v>C3 Cost</v>
      </c>
      <c r="BE41" s="599">
        <f>BE15*BE69</f>
        <v>8329322998.3182106</v>
      </c>
    </row>
    <row r="42" spans="3:60" x14ac:dyDescent="0.25">
      <c r="C42" s="411" t="s">
        <v>363</v>
      </c>
      <c r="D42" s="411">
        <f t="shared" ref="D42:AV43" si="7">D70*D16</f>
        <v>394357589.17859995</v>
      </c>
      <c r="E42" s="411">
        <f t="shared" si="7"/>
        <v>242936391.62669998</v>
      </c>
      <c r="F42" s="411">
        <f t="shared" si="7"/>
        <v>352432450.11260003</v>
      </c>
      <c r="G42" s="411">
        <f t="shared" si="7"/>
        <v>250333381.89100003</v>
      </c>
      <c r="H42" s="411">
        <f t="shared" si="7"/>
        <v>302929223.40649998</v>
      </c>
      <c r="I42" s="411">
        <f t="shared" si="7"/>
        <v>429120886.90330005</v>
      </c>
      <c r="J42" s="411">
        <f t="shared" si="7"/>
        <v>479126014.11720002</v>
      </c>
      <c r="K42" s="411">
        <f t="shared" si="7"/>
        <v>447148622.1717</v>
      </c>
      <c r="L42" s="411">
        <f t="shared" si="7"/>
        <v>475779727.14064193</v>
      </c>
      <c r="M42" s="411">
        <f t="shared" si="7"/>
        <v>402462809.93088341</v>
      </c>
      <c r="N42" s="411">
        <f t="shared" si="7"/>
        <v>272810999.26637816</v>
      </c>
      <c r="O42" s="411">
        <f t="shared" si="7"/>
        <v>269688892.61874002</v>
      </c>
      <c r="P42" s="411">
        <f t="shared" si="7"/>
        <v>305077767.37121308</v>
      </c>
      <c r="Q42" s="411">
        <f t="shared" si="7"/>
        <v>348882021.34036458</v>
      </c>
      <c r="R42" s="411">
        <f t="shared" si="7"/>
        <v>432742900.38549674</v>
      </c>
      <c r="S42" s="411">
        <f t="shared" si="7"/>
        <v>438532836.74015409</v>
      </c>
      <c r="T42" s="411">
        <f t="shared" si="7"/>
        <v>370421756.05168527</v>
      </c>
      <c r="U42" s="411">
        <f t="shared" si="7"/>
        <v>351297918.15383828</v>
      </c>
      <c r="V42" s="411">
        <f t="shared" si="7"/>
        <v>297845688.19542563</v>
      </c>
      <c r="W42" s="411">
        <f t="shared" si="7"/>
        <v>261747833.89884058</v>
      </c>
      <c r="X42" s="411">
        <f t="shared" si="7"/>
        <v>288076099.59875441</v>
      </c>
      <c r="Y42" s="411">
        <f t="shared" si="7"/>
        <v>332979495.80178535</v>
      </c>
      <c r="Z42" s="411">
        <f t="shared" si="7"/>
        <v>365088968.18061918</v>
      </c>
      <c r="AA42" s="411">
        <f t="shared" si="7"/>
        <v>414532556.86651665</v>
      </c>
      <c r="AB42" s="411">
        <f t="shared" si="7"/>
        <v>363566085.84540647</v>
      </c>
      <c r="AC42" s="411">
        <f t="shared" si="7"/>
        <v>363647274.23281032</v>
      </c>
      <c r="AD42" s="411">
        <f t="shared" si="7"/>
        <v>352641243.64768952</v>
      </c>
      <c r="AE42" s="411">
        <f t="shared" si="7"/>
        <v>20751350.436046515</v>
      </c>
      <c r="AF42" s="411">
        <f t="shared" si="7"/>
        <v>53189092.3455</v>
      </c>
      <c r="AG42" s="411">
        <f t="shared" si="7"/>
        <v>182463639.75784567</v>
      </c>
      <c r="AH42" s="411">
        <f t="shared" si="7"/>
        <v>314735230.10582167</v>
      </c>
      <c r="AI42" s="411">
        <f t="shared" si="7"/>
        <v>297622853.06323767</v>
      </c>
      <c r="AJ42" s="411">
        <f t="shared" si="7"/>
        <v>309687282.02332956</v>
      </c>
      <c r="AK42" s="411">
        <f t="shared" si="7"/>
        <v>333580250.0383082</v>
      </c>
      <c r="AL42" s="411">
        <f t="shared" si="7"/>
        <v>334418691.93670815</v>
      </c>
      <c r="AM42" s="411">
        <f t="shared" si="7"/>
        <v>146862399.59736627</v>
      </c>
      <c r="AN42" s="411">
        <f t="shared" si="7"/>
        <v>381964885.76120806</v>
      </c>
      <c r="AO42" s="411">
        <f t="shared" si="7"/>
        <v>304796846.25869286</v>
      </c>
      <c r="AP42" s="411">
        <f t="shared" si="7"/>
        <v>543282770.84524918</v>
      </c>
      <c r="AQ42" s="411">
        <f t="shared" si="7"/>
        <v>361454687.10376692</v>
      </c>
      <c r="AR42" s="411">
        <f t="shared" si="7"/>
        <v>300787204.4061197</v>
      </c>
      <c r="AS42" s="411">
        <f t="shared" si="7"/>
        <v>439948269.12593663</v>
      </c>
      <c r="AT42" s="411">
        <f t="shared" si="7"/>
        <v>536873213.37640285</v>
      </c>
      <c r="AU42" s="411">
        <f t="shared" si="7"/>
        <v>482168214.45416284</v>
      </c>
      <c r="AV42" s="411">
        <f t="shared" si="7"/>
        <v>614519638.88758898</v>
      </c>
      <c r="AW42" s="412">
        <f t="shared" si="3"/>
        <v>345895865.64884752</v>
      </c>
      <c r="AX42" s="9"/>
      <c r="AY42" s="9"/>
      <c r="AZ42" s="9"/>
      <c r="BA42" s="9"/>
      <c r="BB42" s="9"/>
      <c r="BC42" s="9"/>
      <c r="BD42" s="364" t="str">
        <f t="shared" si="0"/>
        <v>C4 cost</v>
      </c>
      <c r="BE42" s="600">
        <f>BE70*BE16</f>
        <v>4628035216.7612305</v>
      </c>
    </row>
    <row r="43" spans="3:60" x14ac:dyDescent="0.25">
      <c r="C43" s="411" t="s">
        <v>360</v>
      </c>
      <c r="D43" s="411">
        <f t="shared" si="7"/>
        <v>2441399747.6339765</v>
      </c>
      <c r="E43" s="411">
        <f t="shared" si="7"/>
        <v>2738463231.889534</v>
      </c>
      <c r="F43" s="411">
        <f t="shared" si="7"/>
        <v>2654962450.5555143</v>
      </c>
      <c r="G43" s="411">
        <f t="shared" si="7"/>
        <v>1728937087.317816</v>
      </c>
      <c r="H43" s="411">
        <f t="shared" si="7"/>
        <v>3199673460.1813035</v>
      </c>
      <c r="I43" s="411">
        <f t="shared" si="7"/>
        <v>2838879930.9807372</v>
      </c>
      <c r="J43" s="411">
        <f t="shared" si="7"/>
        <v>2808805140.8840127</v>
      </c>
      <c r="K43" s="411">
        <f t="shared" si="7"/>
        <v>3808631091.8043652</v>
      </c>
      <c r="L43" s="411">
        <f t="shared" si="7"/>
        <v>3266039578.9710517</v>
      </c>
      <c r="M43" s="411">
        <f t="shared" si="7"/>
        <v>3591146558.5226974</v>
      </c>
      <c r="N43" s="411">
        <f t="shared" si="7"/>
        <v>2209291500.2804599</v>
      </c>
      <c r="O43" s="411">
        <f t="shared" si="7"/>
        <v>2096672420.8408816</v>
      </c>
      <c r="P43" s="411">
        <f t="shared" si="7"/>
        <v>2758724047.8252678</v>
      </c>
      <c r="Q43" s="411">
        <f t="shared" si="7"/>
        <v>2823719367.4419246</v>
      </c>
      <c r="R43" s="411">
        <f t="shared" si="7"/>
        <v>3812910606.8028898</v>
      </c>
      <c r="S43" s="411">
        <f t="shared" si="7"/>
        <v>3458678704.8843966</v>
      </c>
      <c r="T43" s="411">
        <f t="shared" si="7"/>
        <v>3504774334.655076</v>
      </c>
      <c r="U43" s="411">
        <f t="shared" si="7"/>
        <v>2837815246.2526517</v>
      </c>
      <c r="V43" s="411">
        <f t="shared" si="7"/>
        <v>3938523851.1133509</v>
      </c>
      <c r="W43" s="411">
        <f t="shared" si="7"/>
        <v>2732666936.2701092</v>
      </c>
      <c r="X43" s="411">
        <f t="shared" si="7"/>
        <v>3006266048.2737222</v>
      </c>
      <c r="Y43" s="411">
        <f t="shared" si="7"/>
        <v>2467631471.9146008</v>
      </c>
      <c r="Z43" s="411">
        <f t="shared" si="7"/>
        <v>4241439991.1905761</v>
      </c>
      <c r="AA43" s="411">
        <f t="shared" si="7"/>
        <v>5055106136.0743475</v>
      </c>
      <c r="AB43" s="411">
        <f t="shared" si="7"/>
        <v>5330196766.3469677</v>
      </c>
      <c r="AC43" s="411">
        <f t="shared" si="7"/>
        <v>3773014981.524159</v>
      </c>
      <c r="AD43" s="411">
        <f t="shared" si="7"/>
        <v>2314484700.2321634</v>
      </c>
      <c r="AE43" s="411">
        <f t="shared" si="7"/>
        <v>2119646359.2959385</v>
      </c>
      <c r="AF43" s="411">
        <f t="shared" si="7"/>
        <v>3057295293.5487456</v>
      </c>
      <c r="AG43" s="411">
        <f t="shared" si="7"/>
        <v>4444591808.6966648</v>
      </c>
      <c r="AH43" s="411">
        <f t="shared" si="7"/>
        <v>3828853338.8245978</v>
      </c>
      <c r="AI43" s="411">
        <f t="shared" si="7"/>
        <v>3581272538.4799156</v>
      </c>
      <c r="AJ43" s="411">
        <f t="shared" si="7"/>
        <v>3346720334.7929931</v>
      </c>
      <c r="AK43" s="411">
        <f t="shared" si="7"/>
        <v>3307104192.6856842</v>
      </c>
      <c r="AL43" s="411">
        <f t="shared" si="7"/>
        <v>3285796820.7859201</v>
      </c>
      <c r="AM43" s="411">
        <f t="shared" si="7"/>
        <v>3077211462.3087382</v>
      </c>
      <c r="AN43" s="411">
        <f t="shared" si="7"/>
        <v>4754313398.9564648</v>
      </c>
      <c r="AO43" s="411">
        <f t="shared" si="7"/>
        <v>4806504029.9256029</v>
      </c>
      <c r="AP43" s="411">
        <f t="shared" si="7"/>
        <v>6056361075.2477808</v>
      </c>
      <c r="AQ43" s="411">
        <f t="shared" si="7"/>
        <v>4509973853.867053</v>
      </c>
      <c r="AR43" s="411">
        <f t="shared" si="7"/>
        <v>3555673802.3888831</v>
      </c>
      <c r="AS43" s="411">
        <f t="shared" si="7"/>
        <v>5257305879.5026636</v>
      </c>
      <c r="AT43" s="411">
        <f t="shared" si="7"/>
        <v>4346758122.6992807</v>
      </c>
      <c r="AU43" s="411">
        <f t="shared" si="7"/>
        <v>5700359283.1191015</v>
      </c>
      <c r="AV43" s="411">
        <f t="shared" si="7"/>
        <v>6757457513.1582241</v>
      </c>
      <c r="AW43" s="412">
        <f t="shared" si="3"/>
        <v>3582934544.4210849</v>
      </c>
      <c r="AX43" s="9"/>
      <c r="AY43" s="9"/>
      <c r="AZ43" s="9"/>
      <c r="BA43" s="9"/>
      <c r="BB43" s="9"/>
      <c r="BC43" s="9"/>
      <c r="BD43" s="364" t="str">
        <f t="shared" si="0"/>
        <v>Naphtha Cost</v>
      </c>
      <c r="BE43" s="600">
        <f>BE71*BE17</f>
        <v>38036990278.100296</v>
      </c>
    </row>
    <row r="44" spans="3:60" x14ac:dyDescent="0.25">
      <c r="C44" s="411" t="s">
        <v>364</v>
      </c>
      <c r="D44" s="411">
        <f>D40*$D$2+D41*$E$2+D42*$F$2+D43*$G$2</f>
        <v>2899093051.8745003</v>
      </c>
      <c r="E44" s="411">
        <f t="shared" ref="E44:AV44" si="8">E40*$D$2+E41*$E$2+E42*$F$2+E43*$G$2</f>
        <v>2990755638.5119042</v>
      </c>
      <c r="F44" s="411">
        <f t="shared" si="8"/>
        <v>3625452415.949832</v>
      </c>
      <c r="G44" s="411">
        <f t="shared" si="8"/>
        <v>2110994046.6514425</v>
      </c>
      <c r="H44" s="411">
        <f t="shared" si="8"/>
        <v>3091034341.8068933</v>
      </c>
      <c r="I44" s="411">
        <f t="shared" si="8"/>
        <v>4057749069.642283</v>
      </c>
      <c r="J44" s="411">
        <f t="shared" si="8"/>
        <v>4323469889.5312252</v>
      </c>
      <c r="K44" s="411">
        <f t="shared" si="8"/>
        <v>4928215957.9792929</v>
      </c>
      <c r="L44" s="411">
        <f t="shared" si="8"/>
        <v>4794112589.3279839</v>
      </c>
      <c r="M44" s="411">
        <f t="shared" si="8"/>
        <v>3971915454.2875042</v>
      </c>
      <c r="N44" s="411">
        <f t="shared" si="8"/>
        <v>2677082775.1379547</v>
      </c>
      <c r="O44" s="411">
        <f t="shared" si="8"/>
        <v>2818170414.9974651</v>
      </c>
      <c r="P44" s="411">
        <f t="shared" si="8"/>
        <v>3281194886.7272139</v>
      </c>
      <c r="Q44" s="411">
        <f t="shared" si="8"/>
        <v>3352575229.9107246</v>
      </c>
      <c r="R44" s="411">
        <f t="shared" si="8"/>
        <v>4301585347.4416389</v>
      </c>
      <c r="S44" s="411">
        <f t="shared" si="8"/>
        <v>4260948967.1375623</v>
      </c>
      <c r="T44" s="411">
        <f t="shared" si="8"/>
        <v>4161979764.2973766</v>
      </c>
      <c r="U44" s="411">
        <f t="shared" si="8"/>
        <v>3685850993.3885212</v>
      </c>
      <c r="V44" s="411">
        <f t="shared" si="8"/>
        <v>4300262703.6081467</v>
      </c>
      <c r="W44" s="411">
        <f t="shared" si="8"/>
        <v>3209097169.5542874</v>
      </c>
      <c r="X44" s="411">
        <f t="shared" si="8"/>
        <v>3377993327.8330345</v>
      </c>
      <c r="Y44" s="411">
        <f t="shared" si="8"/>
        <v>3104853861.5375786</v>
      </c>
      <c r="Z44" s="411">
        <f t="shared" si="8"/>
        <v>4278197699.8883877</v>
      </c>
      <c r="AA44" s="411">
        <f t="shared" si="8"/>
        <v>5069099398.9690285</v>
      </c>
      <c r="AB44" s="411">
        <f t="shared" si="8"/>
        <v>5091973619.697279</v>
      </c>
      <c r="AC44" s="411">
        <f t="shared" si="8"/>
        <v>4159857597.1727209</v>
      </c>
      <c r="AD44" s="411">
        <f t="shared" si="8"/>
        <v>2944822805.5199561</v>
      </c>
      <c r="AE44" s="411">
        <f t="shared" si="8"/>
        <v>1830622358.2132757</v>
      </c>
      <c r="AF44" s="411">
        <f t="shared" si="8"/>
        <v>2574856818.1092992</v>
      </c>
      <c r="AG44" s="411">
        <f t="shared" si="8"/>
        <v>4019258637.4207182</v>
      </c>
      <c r="AH44" s="411">
        <f t="shared" si="8"/>
        <v>3956601967.4329882</v>
      </c>
      <c r="AI44" s="411">
        <f t="shared" si="8"/>
        <v>3762690332.5150757</v>
      </c>
      <c r="AJ44" s="411">
        <f t="shared" si="8"/>
        <v>3558484630.4393926</v>
      </c>
      <c r="AK44" s="411">
        <f t="shared" si="8"/>
        <v>3305522529.6663771</v>
      </c>
      <c r="AL44" s="411">
        <f t="shared" si="8"/>
        <v>3475057356.9716511</v>
      </c>
      <c r="AM44" s="411">
        <f t="shared" si="8"/>
        <v>3065867518.1772513</v>
      </c>
      <c r="AN44" s="411">
        <f t="shared" si="8"/>
        <v>4408931092.4858627</v>
      </c>
      <c r="AO44" s="411">
        <f t="shared" si="8"/>
        <v>4426655487.1924133</v>
      </c>
      <c r="AP44" s="411">
        <f t="shared" si="8"/>
        <v>5620664488.2197189</v>
      </c>
      <c r="AQ44" s="411">
        <f t="shared" si="8"/>
        <v>4389032501.6851454</v>
      </c>
      <c r="AR44" s="411">
        <f t="shared" si="8"/>
        <v>3620173176.6315689</v>
      </c>
      <c r="AS44" s="411">
        <f t="shared" si="8"/>
        <v>4893290241.1162701</v>
      </c>
      <c r="AT44" s="411">
        <f t="shared" si="8"/>
        <v>4364898957.7447214</v>
      </c>
      <c r="AU44" s="411">
        <f t="shared" si="8"/>
        <v>5294579206.8006392</v>
      </c>
      <c r="AV44" s="411">
        <f t="shared" si="8"/>
        <v>5977638007.6293058</v>
      </c>
      <c r="AW44" s="412">
        <f t="shared" si="3"/>
        <v>3853625873.9296308</v>
      </c>
      <c r="AX44" s="9"/>
      <c r="AY44" s="9"/>
      <c r="AZ44" s="9"/>
      <c r="BA44" s="9"/>
      <c r="BB44" s="9"/>
      <c r="BC44" s="9"/>
      <c r="BD44" s="364" t="str">
        <f t="shared" si="0"/>
        <v>Feed Cost on Ethylene</v>
      </c>
      <c r="BE44" s="600">
        <f>BE40*$D$2+BE41*$E$2+BE42*$F$2+BE43*$G$2</f>
        <v>56492202161.947411</v>
      </c>
    </row>
    <row r="45" spans="3:60" x14ac:dyDescent="0.25">
      <c r="C45" s="411" t="s">
        <v>365</v>
      </c>
      <c r="D45" s="411">
        <f>$D$3*D40+D41*$E$3+D42*$F$3+D43*$G$3</f>
        <v>1340049814.4088726</v>
      </c>
      <c r="E45" s="411">
        <f t="shared" ref="E45:AV45" si="9">$D$3*E40+E41*$E$3+E42*$F$3+E43*$G$3</f>
        <v>1310404082.6706033</v>
      </c>
      <c r="F45" s="411">
        <f t="shared" si="9"/>
        <v>1395717501.4510126</v>
      </c>
      <c r="G45" s="411">
        <f t="shared" si="9"/>
        <v>943807570.04653263</v>
      </c>
      <c r="H45" s="411">
        <f t="shared" si="9"/>
        <v>1542008118.2657011</v>
      </c>
      <c r="I45" s="411">
        <f t="shared" si="9"/>
        <v>1529323760.4121113</v>
      </c>
      <c r="J45" s="411">
        <f t="shared" si="9"/>
        <v>1551534445.7776024</v>
      </c>
      <c r="K45" s="411">
        <f t="shared" si="9"/>
        <v>1922485938.763936</v>
      </c>
      <c r="L45" s="411">
        <f t="shared" si="9"/>
        <v>1721744865.9152846</v>
      </c>
      <c r="M45" s="411">
        <f t="shared" si="9"/>
        <v>1791180167.8801789</v>
      </c>
      <c r="N45" s="411">
        <f t="shared" si="9"/>
        <v>1163815861.4416201</v>
      </c>
      <c r="O45" s="411">
        <f t="shared" si="9"/>
        <v>1071898622.2396065</v>
      </c>
      <c r="P45" s="411">
        <f t="shared" si="9"/>
        <v>1343817822.4391818</v>
      </c>
      <c r="Q45" s="411">
        <f t="shared" si="9"/>
        <v>1404553174.0896533</v>
      </c>
      <c r="R45" s="411">
        <f t="shared" si="9"/>
        <v>1872073205.9528165</v>
      </c>
      <c r="S45" s="411">
        <f t="shared" si="9"/>
        <v>1748865748.1676233</v>
      </c>
      <c r="T45" s="411">
        <f t="shared" si="9"/>
        <v>1732804321.1192577</v>
      </c>
      <c r="U45" s="411">
        <f t="shared" si="9"/>
        <v>1439883184.6158552</v>
      </c>
      <c r="V45" s="411">
        <f t="shared" si="9"/>
        <v>1791909367.6833434</v>
      </c>
      <c r="W45" s="411">
        <f t="shared" si="9"/>
        <v>1297613746.5438206</v>
      </c>
      <c r="X45" s="411">
        <f t="shared" si="9"/>
        <v>1417504733.0183325</v>
      </c>
      <c r="Y45" s="411">
        <f t="shared" si="9"/>
        <v>1260292646.3450396</v>
      </c>
      <c r="Z45" s="411">
        <f t="shared" si="9"/>
        <v>1950314982.0886855</v>
      </c>
      <c r="AA45" s="411">
        <f t="shared" si="9"/>
        <v>2312299515.0643115</v>
      </c>
      <c r="AB45" s="411">
        <f t="shared" si="9"/>
        <v>2392542018.7256699</v>
      </c>
      <c r="AC45" s="411">
        <f t="shared" si="9"/>
        <v>1800373910.5778284</v>
      </c>
      <c r="AD45" s="411">
        <f t="shared" si="9"/>
        <v>1214449627.7351487</v>
      </c>
      <c r="AE45" s="411">
        <f t="shared" si="9"/>
        <v>857790694.28140402</v>
      </c>
      <c r="AF45" s="411">
        <f t="shared" si="9"/>
        <v>1251866657.847959</v>
      </c>
      <c r="AG45" s="411">
        <f t="shared" si="9"/>
        <v>1888581077.3337526</v>
      </c>
      <c r="AH45" s="411">
        <f t="shared" si="9"/>
        <v>1771092285.9427137</v>
      </c>
      <c r="AI45" s="411">
        <f t="shared" si="9"/>
        <v>1667146051.4403911</v>
      </c>
      <c r="AJ45" s="411">
        <f t="shared" si="9"/>
        <v>1567632958.0951488</v>
      </c>
      <c r="AK45" s="411">
        <f t="shared" si="9"/>
        <v>1552219330.7832971</v>
      </c>
      <c r="AL45" s="411">
        <f t="shared" si="9"/>
        <v>1570195200.6739702</v>
      </c>
      <c r="AM45" s="411">
        <f t="shared" si="9"/>
        <v>1326268989.4152689</v>
      </c>
      <c r="AN45" s="411">
        <f t="shared" si="9"/>
        <v>2166572520.3349833</v>
      </c>
      <c r="AO45" s="411">
        <f t="shared" si="9"/>
        <v>2162333513.8292899</v>
      </c>
      <c r="AP45" s="411">
        <f t="shared" si="9"/>
        <v>2830183121.8190498</v>
      </c>
      <c r="AQ45" s="411">
        <f t="shared" si="9"/>
        <v>2122371372.408999</v>
      </c>
      <c r="AR45" s="411">
        <f t="shared" si="9"/>
        <v>1643900819.3428729</v>
      </c>
      <c r="AS45" s="411">
        <f t="shared" si="9"/>
        <v>2429053737.3525853</v>
      </c>
      <c r="AT45" s="411">
        <f t="shared" si="9"/>
        <v>2148099079.5154128</v>
      </c>
      <c r="AU45" s="411">
        <f t="shared" si="9"/>
        <v>2677410604.4027405</v>
      </c>
      <c r="AV45" s="411">
        <f t="shared" si="9"/>
        <v>3126482970.71207</v>
      </c>
      <c r="AW45" s="412">
        <f t="shared" si="3"/>
        <v>1711610438.6438117</v>
      </c>
      <c r="AX45" s="9"/>
      <c r="AY45" s="9"/>
      <c r="AZ45" s="9"/>
      <c r="BA45" s="9"/>
      <c r="BB45" s="9"/>
      <c r="BC45" s="9"/>
      <c r="BD45" s="364" t="str">
        <f t="shared" si="0"/>
        <v>Feed cost on Propylene</v>
      </c>
      <c r="BE45" s="600">
        <f>$D$3*BE40+BE41*$E$3+BE42*$F$3+BE43*$G$3</f>
        <v>19414779212.29351</v>
      </c>
    </row>
    <row r="46" spans="3:60" x14ac:dyDescent="0.25">
      <c r="C46" s="411" t="s">
        <v>369</v>
      </c>
      <c r="D46" s="411">
        <f>D44/D39</f>
        <v>0.68388661182732247</v>
      </c>
      <c r="E46" s="411">
        <f t="shared" ref="E46:AV46" si="10">E44/E39</f>
        <v>0.69533703288973958</v>
      </c>
      <c r="F46" s="411">
        <f t="shared" si="10"/>
        <v>0.72203340567819485</v>
      </c>
      <c r="G46" s="411">
        <f t="shared" si="10"/>
        <v>0.69104128893753758</v>
      </c>
      <c r="H46" s="411">
        <f t="shared" si="10"/>
        <v>0.6671715980255577</v>
      </c>
      <c r="I46" s="411">
        <f t="shared" si="10"/>
        <v>0.72627459728366883</v>
      </c>
      <c r="J46" s="411">
        <f t="shared" si="10"/>
        <v>0.73590922538510029</v>
      </c>
      <c r="K46" s="411">
        <f t="shared" si="10"/>
        <v>0.71937387325554614</v>
      </c>
      <c r="L46" s="411">
        <f t="shared" si="10"/>
        <v>0.73576081463694265</v>
      </c>
      <c r="M46" s="411">
        <f t="shared" si="10"/>
        <v>0.6891982564040019</v>
      </c>
      <c r="N46" s="411">
        <f t="shared" si="10"/>
        <v>0.69699386222854609</v>
      </c>
      <c r="O46" s="411">
        <f t="shared" si="10"/>
        <v>0.72445254519160807</v>
      </c>
      <c r="P46" s="411">
        <f t="shared" si="10"/>
        <v>0.70944559357083603</v>
      </c>
      <c r="Q46" s="411">
        <f t="shared" si="10"/>
        <v>0.70474768498816798</v>
      </c>
      <c r="R46" s="411">
        <f t="shared" si="10"/>
        <v>0.69676437565153371</v>
      </c>
      <c r="S46" s="411">
        <f t="shared" si="10"/>
        <v>0.70899839162864875</v>
      </c>
      <c r="T46" s="411">
        <f t="shared" si="10"/>
        <v>0.70604447999951025</v>
      </c>
      <c r="U46" s="411">
        <f t="shared" si="10"/>
        <v>0.71908742540830506</v>
      </c>
      <c r="V46" s="411">
        <f t="shared" si="10"/>
        <v>0.70586691467112916</v>
      </c>
      <c r="W46" s="411">
        <f t="shared" si="10"/>
        <v>0.71207078272788582</v>
      </c>
      <c r="X46" s="411">
        <f t="shared" si="10"/>
        <v>0.70440927823737332</v>
      </c>
      <c r="Y46" s="411">
        <f t="shared" si="10"/>
        <v>0.71128285291932525</v>
      </c>
      <c r="Z46" s="411">
        <f t="shared" si="10"/>
        <v>0.68687308163758753</v>
      </c>
      <c r="AA46" s="411">
        <f t="shared" si="10"/>
        <v>0.68673966249565199</v>
      </c>
      <c r="AB46" s="411">
        <f t="shared" si="10"/>
        <v>0.68033442185047011</v>
      </c>
      <c r="AC46" s="411">
        <f t="shared" si="10"/>
        <v>0.69793557377147797</v>
      </c>
      <c r="AD46" s="411">
        <f t="shared" si="10"/>
        <v>0.7080139261797036</v>
      </c>
      <c r="AE46" s="411">
        <f t="shared" si="10"/>
        <v>0.68093046807467794</v>
      </c>
      <c r="AF46" s="411">
        <f t="shared" si="10"/>
        <v>0.67286200173248645</v>
      </c>
      <c r="AG46" s="411">
        <f t="shared" si="10"/>
        <v>0.68032628363001524</v>
      </c>
      <c r="AH46" s="411">
        <f t="shared" si="10"/>
        <v>0.69078442256255312</v>
      </c>
      <c r="AI46" s="411">
        <f t="shared" si="10"/>
        <v>0.6929656929688317</v>
      </c>
      <c r="AJ46" s="411">
        <f t="shared" si="10"/>
        <v>0.69418708583637767</v>
      </c>
      <c r="AK46" s="411">
        <f t="shared" si="10"/>
        <v>0.68046483831901061</v>
      </c>
      <c r="AL46" s="411">
        <f t="shared" si="10"/>
        <v>0.68877768105097492</v>
      </c>
      <c r="AM46" s="411">
        <f t="shared" si="10"/>
        <v>0.69803557172628894</v>
      </c>
      <c r="AN46" s="411">
        <f t="shared" si="10"/>
        <v>0.67050850430518749</v>
      </c>
      <c r="AO46" s="411">
        <f t="shared" si="10"/>
        <v>0.67182620679834293</v>
      </c>
      <c r="AP46" s="411">
        <f t="shared" si="10"/>
        <v>0.66510067955111707</v>
      </c>
      <c r="AQ46" s="411">
        <f t="shared" si="10"/>
        <v>0.6740531821635376</v>
      </c>
      <c r="AR46" s="411">
        <f t="shared" si="10"/>
        <v>0.68771320072628128</v>
      </c>
      <c r="AS46" s="411">
        <f t="shared" si="10"/>
        <v>0.66826828342192768</v>
      </c>
      <c r="AT46" s="411">
        <f t="shared" si="10"/>
        <v>0.67018275343760625</v>
      </c>
      <c r="AU46" s="411">
        <f t="shared" si="10"/>
        <v>0.66414776388197838</v>
      </c>
      <c r="AV46" s="411">
        <f t="shared" si="10"/>
        <v>0.65658595946275922</v>
      </c>
      <c r="AW46" s="413">
        <f t="shared" si="3"/>
        <v>0.6940837363806962</v>
      </c>
      <c r="AX46" s="9"/>
      <c r="AY46" s="9"/>
      <c r="AZ46" s="9"/>
      <c r="BA46" s="9"/>
      <c r="BB46" s="9"/>
      <c r="BC46" s="9"/>
      <c r="BD46" s="364" t="str">
        <f t="shared" si="0"/>
        <v>Ethylene Cost Factor based on Feed Yields</v>
      </c>
      <c r="BE46" s="600">
        <f>BE44/BE39</f>
        <v>0.74422933357639842</v>
      </c>
    </row>
    <row r="47" spans="3:60" x14ac:dyDescent="0.25">
      <c r="C47" s="411" t="s">
        <v>370</v>
      </c>
      <c r="D47" s="411">
        <f>D45/D39</f>
        <v>0.31611338817267753</v>
      </c>
      <c r="E47" s="411">
        <f t="shared" ref="E47:AV47" si="11">E45/E39</f>
        <v>0.30466296711026042</v>
      </c>
      <c r="F47" s="411">
        <f t="shared" si="11"/>
        <v>0.2779665943218052</v>
      </c>
      <c r="G47" s="411">
        <f t="shared" si="11"/>
        <v>0.30895871106246237</v>
      </c>
      <c r="H47" s="411">
        <f t="shared" si="11"/>
        <v>0.33282840197444247</v>
      </c>
      <c r="I47" s="411">
        <f t="shared" si="11"/>
        <v>0.27372540271633122</v>
      </c>
      <c r="J47" s="411">
        <f t="shared" si="11"/>
        <v>0.26409077461489977</v>
      </c>
      <c r="K47" s="411">
        <f t="shared" si="11"/>
        <v>0.28062612674445392</v>
      </c>
      <c r="L47" s="411">
        <f t="shared" si="11"/>
        <v>0.26423918536305724</v>
      </c>
      <c r="M47" s="411">
        <f t="shared" si="11"/>
        <v>0.31080174359599799</v>
      </c>
      <c r="N47" s="411">
        <f t="shared" si="11"/>
        <v>0.30300613777145391</v>
      </c>
      <c r="O47" s="411">
        <f t="shared" si="11"/>
        <v>0.27554745480839188</v>
      </c>
      <c r="P47" s="411">
        <f t="shared" si="11"/>
        <v>0.29055440642916402</v>
      </c>
      <c r="Q47" s="411">
        <f t="shared" si="11"/>
        <v>0.29525231501183202</v>
      </c>
      <c r="R47" s="411">
        <f t="shared" si="11"/>
        <v>0.30323562434846618</v>
      </c>
      <c r="S47" s="411">
        <f t="shared" si="11"/>
        <v>0.29100160837135125</v>
      </c>
      <c r="T47" s="411">
        <f t="shared" si="11"/>
        <v>0.29395552000048969</v>
      </c>
      <c r="U47" s="411">
        <f t="shared" si="11"/>
        <v>0.28091257459169511</v>
      </c>
      <c r="V47" s="411">
        <f t="shared" si="11"/>
        <v>0.29413308532887078</v>
      </c>
      <c r="W47" s="411">
        <f t="shared" si="11"/>
        <v>0.28792921727211412</v>
      </c>
      <c r="X47" s="411">
        <f t="shared" si="11"/>
        <v>0.29559072176262674</v>
      </c>
      <c r="Y47" s="411">
        <f t="shared" si="11"/>
        <v>0.28871714708067475</v>
      </c>
      <c r="Z47" s="411">
        <f t="shared" si="11"/>
        <v>0.31312691836241241</v>
      </c>
      <c r="AA47" s="411">
        <f t="shared" si="11"/>
        <v>0.31326033750434795</v>
      </c>
      <c r="AB47" s="411">
        <f t="shared" si="11"/>
        <v>0.31966557814952989</v>
      </c>
      <c r="AC47" s="411">
        <f t="shared" si="11"/>
        <v>0.30206442622852203</v>
      </c>
      <c r="AD47" s="411">
        <f t="shared" si="11"/>
        <v>0.29198607382029634</v>
      </c>
      <c r="AE47" s="411">
        <f t="shared" si="11"/>
        <v>0.31906953192532217</v>
      </c>
      <c r="AF47" s="411">
        <f t="shared" si="11"/>
        <v>0.32713799826751355</v>
      </c>
      <c r="AG47" s="411">
        <f t="shared" si="11"/>
        <v>0.31967371636998482</v>
      </c>
      <c r="AH47" s="411">
        <f t="shared" si="11"/>
        <v>0.30921557743744688</v>
      </c>
      <c r="AI47" s="411">
        <f t="shared" si="11"/>
        <v>0.30703430703116819</v>
      </c>
      <c r="AJ47" s="411">
        <f t="shared" si="11"/>
        <v>0.30581291416362244</v>
      </c>
      <c r="AK47" s="411">
        <f t="shared" si="11"/>
        <v>0.31953516168098944</v>
      </c>
      <c r="AL47" s="411">
        <f t="shared" si="11"/>
        <v>0.31122231894902508</v>
      </c>
      <c r="AM47" s="411">
        <f t="shared" si="11"/>
        <v>0.30196442827371089</v>
      </c>
      <c r="AN47" s="411">
        <f t="shared" si="11"/>
        <v>0.3294914956948124</v>
      </c>
      <c r="AO47" s="411">
        <f t="shared" si="11"/>
        <v>0.32817379320165718</v>
      </c>
      <c r="AP47" s="411">
        <f t="shared" si="11"/>
        <v>0.33489932044888288</v>
      </c>
      <c r="AQ47" s="411">
        <f t="shared" si="11"/>
        <v>0.32594681783646229</v>
      </c>
      <c r="AR47" s="411">
        <f t="shared" si="11"/>
        <v>0.31228679927371872</v>
      </c>
      <c r="AS47" s="411">
        <f t="shared" si="11"/>
        <v>0.33173171657807243</v>
      </c>
      <c r="AT47" s="411">
        <f t="shared" si="11"/>
        <v>0.32981724656239386</v>
      </c>
      <c r="AU47" s="411">
        <f t="shared" si="11"/>
        <v>0.33585223611802167</v>
      </c>
      <c r="AV47" s="411">
        <f t="shared" si="11"/>
        <v>0.34341404053724084</v>
      </c>
      <c r="AW47" s="413">
        <f t="shared" si="3"/>
        <v>0.3059162636193038</v>
      </c>
      <c r="AX47" s="9"/>
      <c r="AY47" s="9"/>
      <c r="AZ47" s="9"/>
      <c r="BA47" s="9"/>
      <c r="BB47" s="9"/>
      <c r="BC47" s="9"/>
      <c r="BD47" s="364" t="str">
        <f t="shared" si="0"/>
        <v>Propylene cost factor based on Feed Yields</v>
      </c>
      <c r="BE47" s="600">
        <f>BE45/BE39</f>
        <v>0.25577066642360152</v>
      </c>
    </row>
    <row r="48" spans="3:60" s="16" customFormat="1" x14ac:dyDescent="0.25">
      <c r="C48" s="411" t="s">
        <v>353</v>
      </c>
      <c r="D48" s="422">
        <f>(D18*D27+D19*D28)-(D6-D29)*D20-(D7-D30)*D21-(D8-D31)*D22-(D9-D32)*D23-(D10-D33)*D24</f>
        <v>3563055944.8439002</v>
      </c>
      <c r="E48" s="422">
        <f t="shared" ref="E48:AV48" si="12">(E18*E27+E19*E28)-(E6-E29)*E20-(E7-E30)*E21-(E8-E31)*E22-(E9-E32)*E23-(E10-E33)*E24</f>
        <v>3729222308.5835094</v>
      </c>
      <c r="F48" s="422">
        <f t="shared" si="12"/>
        <v>4063969872.1200995</v>
      </c>
      <c r="G48" s="422">
        <f t="shared" si="12"/>
        <v>2638879989.5265002</v>
      </c>
      <c r="H48" s="422">
        <f t="shared" si="12"/>
        <v>4152033305.9028001</v>
      </c>
      <c r="I48" s="422">
        <f t="shared" si="12"/>
        <v>5307608419.0898008</v>
      </c>
      <c r="J48" s="422">
        <f t="shared" si="12"/>
        <v>5456886508.5684996</v>
      </c>
      <c r="K48" s="422">
        <f t="shared" si="12"/>
        <v>6433437694.5719995</v>
      </c>
      <c r="L48" s="422">
        <f t="shared" si="12"/>
        <v>5939678048.9934998</v>
      </c>
      <c r="M48" s="422">
        <f t="shared" si="12"/>
        <v>5665415333.9504986</v>
      </c>
      <c r="N48" s="422">
        <f t="shared" si="12"/>
        <v>4692385798.2639704</v>
      </c>
      <c r="O48" s="422">
        <f t="shared" si="12"/>
        <v>4857806502.6156311</v>
      </c>
      <c r="P48" s="422">
        <f t="shared" si="12"/>
        <v>4998613128.9078999</v>
      </c>
      <c r="Q48" s="422">
        <f t="shared" si="12"/>
        <v>4819001568.7840805</v>
      </c>
      <c r="R48" s="422">
        <f t="shared" si="12"/>
        <v>6036332555.8009501</v>
      </c>
      <c r="S48" s="422">
        <f t="shared" si="12"/>
        <v>5739670164.6948996</v>
      </c>
      <c r="T48" s="422">
        <f t="shared" si="12"/>
        <v>5982525689.0900002</v>
      </c>
      <c r="U48" s="422">
        <f t="shared" si="12"/>
        <v>5656901493.9400015</v>
      </c>
      <c r="V48" s="422">
        <f t="shared" si="12"/>
        <v>6342331301.0799999</v>
      </c>
      <c r="W48" s="422">
        <f t="shared" si="12"/>
        <v>4280088748.4669995</v>
      </c>
      <c r="X48" s="422">
        <f t="shared" si="12"/>
        <v>4479750285.7600002</v>
      </c>
      <c r="Y48" s="422">
        <f t="shared" si="12"/>
        <v>4309113339.5199995</v>
      </c>
      <c r="Z48" s="422">
        <f t="shared" si="12"/>
        <v>5683158471.2599993</v>
      </c>
      <c r="AA48" s="422">
        <f t="shared" si="12"/>
        <v>6343559567.0098</v>
      </c>
      <c r="AB48" s="422">
        <f t="shared" si="12"/>
        <v>6596716075.7664013</v>
      </c>
      <c r="AC48" s="422">
        <f t="shared" si="12"/>
        <v>5899355133.8300009</v>
      </c>
      <c r="AD48" s="422">
        <f t="shared" si="12"/>
        <v>4606672685.8299999</v>
      </c>
      <c r="AE48" s="422">
        <f t="shared" si="12"/>
        <v>2225665747.3899989</v>
      </c>
      <c r="AF48" s="422">
        <f t="shared" si="12"/>
        <v>3094141898.2474003</v>
      </c>
      <c r="AG48" s="422">
        <f t="shared" si="12"/>
        <v>3958118176.9416008</v>
      </c>
      <c r="AH48" s="422">
        <f t="shared" si="12"/>
        <v>5665383492.6975298</v>
      </c>
      <c r="AI48" s="422">
        <f t="shared" si="12"/>
        <v>5258034946.8638306</v>
      </c>
      <c r="AJ48" s="422">
        <f t="shared" si="12"/>
        <v>4977334254.6400003</v>
      </c>
      <c r="AK48" s="422">
        <f t="shared" si="12"/>
        <v>5431281346.8742504</v>
      </c>
      <c r="AL48" s="422">
        <f t="shared" si="12"/>
        <v>4890367314.2781296</v>
      </c>
      <c r="AM48" s="422">
        <f t="shared" si="12"/>
        <v>4176959378.7299504</v>
      </c>
      <c r="AN48" s="422">
        <f t="shared" si="12"/>
        <v>5592803581.5343008</v>
      </c>
      <c r="AO48" s="422">
        <f t="shared" si="12"/>
        <v>5918008825.91222</v>
      </c>
      <c r="AP48" s="422">
        <f t="shared" si="12"/>
        <v>7608407852.3950415</v>
      </c>
      <c r="AQ48" s="422">
        <f t="shared" si="12"/>
        <v>5937258320.6436577</v>
      </c>
      <c r="AR48" s="422">
        <f t="shared" si="12"/>
        <v>5017389989.0656509</v>
      </c>
      <c r="AS48" s="422">
        <f t="shared" si="12"/>
        <v>6304796763.5357933</v>
      </c>
      <c r="AT48" s="422">
        <f t="shared" si="12"/>
        <v>6222946990.0842495</v>
      </c>
      <c r="AU48" s="422">
        <f t="shared" si="12"/>
        <v>7109170646.8484993</v>
      </c>
      <c r="AV48" s="422">
        <f t="shared" si="12"/>
        <v>7865330252.4127979</v>
      </c>
      <c r="AW48" s="412">
        <f t="shared" si="3"/>
        <v>5233945993.6859264</v>
      </c>
      <c r="BD48" s="364" t="str">
        <f t="shared" si="0"/>
        <v>Ethylene + Propylene Total Cost of Production</v>
      </c>
      <c r="BE48" s="612">
        <f>(BE39-(BE6-BE29)*BE20-(BE7-BE30)*BE21-(BE8-BE31)*BE22-(BE9-BE32)*BE23-(BE10-BE33)*BE24)+334.34753153326*(BE18+BE19)</f>
        <v>71154080491.268265</v>
      </c>
      <c r="BG48" s="574"/>
      <c r="BH48" s="574"/>
    </row>
    <row r="49" spans="2:60" s="16" customFormat="1" x14ac:dyDescent="0.25">
      <c r="C49" s="409" t="s">
        <v>351</v>
      </c>
      <c r="D49" s="410">
        <f>D48*D46/D18</f>
        <v>48787.625609122842</v>
      </c>
      <c r="E49" s="410">
        <f t="shared" ref="E49:AV49" si="13">E48*E46/E18</f>
        <v>49262.559969631679</v>
      </c>
      <c r="F49" s="410">
        <f t="shared" si="13"/>
        <v>44513.888445061479</v>
      </c>
      <c r="G49" s="410">
        <f t="shared" si="13"/>
        <v>52670.03197948476</v>
      </c>
      <c r="H49" s="410">
        <f t="shared" si="13"/>
        <v>57691.888029935821</v>
      </c>
      <c r="I49" s="410">
        <f t="shared" si="13"/>
        <v>57488.365470689489</v>
      </c>
      <c r="J49" s="410">
        <f t="shared" si="13"/>
        <v>61049.284934068048</v>
      </c>
      <c r="K49" s="410">
        <f t="shared" si="13"/>
        <v>62503.850642332509</v>
      </c>
      <c r="L49" s="410">
        <f t="shared" si="13"/>
        <v>61776.032917316064</v>
      </c>
      <c r="M49" s="410">
        <f t="shared" si="13"/>
        <v>61872.475740271817</v>
      </c>
      <c r="N49" s="410">
        <f t="shared" si="13"/>
        <v>60463.214398455661</v>
      </c>
      <c r="O49" s="410">
        <f t="shared" si="13"/>
        <v>55870.108059745457</v>
      </c>
      <c r="P49" s="410">
        <f t="shared" si="13"/>
        <v>49203.26933457642</v>
      </c>
      <c r="Q49" s="410">
        <f t="shared" si="13"/>
        <v>46585.402582347684</v>
      </c>
      <c r="R49" s="410">
        <f t="shared" si="13"/>
        <v>47365.387641372276</v>
      </c>
      <c r="S49" s="410">
        <f t="shared" si="13"/>
        <v>47453.016126631017</v>
      </c>
      <c r="T49" s="410">
        <f t="shared" si="13"/>
        <v>50236.429624258286</v>
      </c>
      <c r="U49" s="410">
        <f t="shared" si="13"/>
        <v>47754.299395009628</v>
      </c>
      <c r="V49" s="410">
        <f t="shared" si="13"/>
        <v>48213.774606537874</v>
      </c>
      <c r="W49" s="410">
        <f t="shared" si="13"/>
        <v>45546.232463060805</v>
      </c>
      <c r="X49" s="410">
        <f t="shared" si="13"/>
        <v>42087.836980845452</v>
      </c>
      <c r="Y49" s="410">
        <f t="shared" si="13"/>
        <v>43683.970606822775</v>
      </c>
      <c r="Z49" s="410">
        <f t="shared" si="13"/>
        <v>45034.708959265306</v>
      </c>
      <c r="AA49" s="410">
        <f t="shared" si="13"/>
        <v>44177.855936060929</v>
      </c>
      <c r="AB49" s="410">
        <f t="shared" si="13"/>
        <v>47030.855670346049</v>
      </c>
      <c r="AC49" s="410">
        <f t="shared" si="13"/>
        <v>46821.813459765013</v>
      </c>
      <c r="AD49" s="410">
        <f t="shared" si="13"/>
        <v>41351.358667756562</v>
      </c>
      <c r="AE49" s="410">
        <f t="shared" si="13"/>
        <v>43339.060858132914</v>
      </c>
      <c r="AF49" s="410">
        <f t="shared" si="13"/>
        <v>40076.430947642904</v>
      </c>
      <c r="AG49" s="410">
        <f t="shared" si="13"/>
        <v>34030.226582675219</v>
      </c>
      <c r="AH49" s="410">
        <f t="shared" si="13"/>
        <v>40583.609845263847</v>
      </c>
      <c r="AI49" s="410">
        <f t="shared" si="13"/>
        <v>39208.826592681471</v>
      </c>
      <c r="AJ49" s="410">
        <f t="shared" si="13"/>
        <v>39247.228165012326</v>
      </c>
      <c r="AK49" s="410">
        <f t="shared" si="13"/>
        <v>40560.320658951132</v>
      </c>
      <c r="AL49" s="410">
        <f t="shared" si="13"/>
        <v>37370.230967477815</v>
      </c>
      <c r="AM49" s="410">
        <f t="shared" si="13"/>
        <v>39894.76521048123</v>
      </c>
      <c r="AN49" s="410">
        <f t="shared" si="13"/>
        <v>41402.628381357441</v>
      </c>
      <c r="AO49" s="410">
        <f t="shared" si="13"/>
        <v>47156.393432904042</v>
      </c>
      <c r="AP49" s="410">
        <f t="shared" si="13"/>
        <v>49866.510399044811</v>
      </c>
      <c r="AQ49" s="410">
        <f t="shared" si="13"/>
        <v>46457.645066025798</v>
      </c>
      <c r="AR49" s="410">
        <f t="shared" si="13"/>
        <v>46265.745992149576</v>
      </c>
      <c r="AS49" s="410">
        <f t="shared" si="13"/>
        <v>47707.598859977195</v>
      </c>
      <c r="AT49" s="410">
        <f t="shared" si="13"/>
        <v>54941.757005050029</v>
      </c>
      <c r="AU49" s="410">
        <f t="shared" si="13"/>
        <v>52749.689589543821</v>
      </c>
      <c r="AV49" s="410">
        <f t="shared" si="13"/>
        <v>54750.227754881314</v>
      </c>
      <c r="AW49" s="418">
        <f t="shared" si="3"/>
        <v>48046.765212445003</v>
      </c>
      <c r="BD49" s="364" t="str">
        <f t="shared" si="0"/>
        <v>Ethylene Cost of Production based on Byproducts</v>
      </c>
      <c r="BE49" s="620">
        <f>BE48*BE46/BE18</f>
        <v>40612.617113881082</v>
      </c>
      <c r="BG49" s="589"/>
      <c r="BH49" s="589"/>
    </row>
    <row r="50" spans="2:60" s="16" customFormat="1" x14ac:dyDescent="0.25">
      <c r="C50" s="409" t="s">
        <v>352</v>
      </c>
      <c r="D50" s="410">
        <f>D47*D48/D19</f>
        <v>51127.085200790105</v>
      </c>
      <c r="E50" s="410">
        <f t="shared" ref="E50:AV50" si="14">E47*E48/E19</f>
        <v>51793.343816102482</v>
      </c>
      <c r="F50" s="410">
        <f t="shared" si="14"/>
        <v>48241.698123780086</v>
      </c>
      <c r="G50" s="410">
        <f t="shared" si="14"/>
        <v>48021.939302512925</v>
      </c>
      <c r="H50" s="410">
        <f t="shared" si="14"/>
        <v>63628.426174184628</v>
      </c>
      <c r="I50" s="410">
        <f t="shared" si="14"/>
        <v>65076.394436536066</v>
      </c>
      <c r="J50" s="410">
        <f t="shared" si="14"/>
        <v>67453.802229097913</v>
      </c>
      <c r="K50" s="410">
        <f t="shared" si="14"/>
        <v>71128.387987754759</v>
      </c>
      <c r="L50" s="410">
        <f t="shared" si="14"/>
        <v>73187.022102349059</v>
      </c>
      <c r="M50" s="410">
        <f t="shared" si="14"/>
        <v>81380.501725863476</v>
      </c>
      <c r="N50" s="410">
        <f t="shared" si="14"/>
        <v>74535.391407612056</v>
      </c>
      <c r="O50" s="410">
        <f t="shared" si="14"/>
        <v>69311.750421659905</v>
      </c>
      <c r="P50" s="410">
        <f t="shared" si="14"/>
        <v>57974.789795551529</v>
      </c>
      <c r="Q50" s="410">
        <f t="shared" si="14"/>
        <v>57445.769986002953</v>
      </c>
      <c r="R50" s="410">
        <f t="shared" si="14"/>
        <v>62014.482810170346</v>
      </c>
      <c r="S50" s="410">
        <f t="shared" si="14"/>
        <v>62757.902424653061</v>
      </c>
      <c r="T50" s="410">
        <f t="shared" si="14"/>
        <v>68515.854983158875</v>
      </c>
      <c r="U50" s="410">
        <f t="shared" si="14"/>
        <v>59530.035321581337</v>
      </c>
      <c r="V50" s="410">
        <f t="shared" si="14"/>
        <v>58272.872700606989</v>
      </c>
      <c r="W50" s="410">
        <f t="shared" si="14"/>
        <v>53615.949671580849</v>
      </c>
      <c r="X50" s="410">
        <f t="shared" si="14"/>
        <v>48595.273965434761</v>
      </c>
      <c r="Y50" s="410">
        <f t="shared" si="14"/>
        <v>56302.435164660055</v>
      </c>
      <c r="Z50" s="410">
        <f t="shared" si="14"/>
        <v>56621.270122208225</v>
      </c>
      <c r="AA50" s="410">
        <f t="shared" si="14"/>
        <v>57060.259278631158</v>
      </c>
      <c r="AB50" s="410">
        <f t="shared" si="14"/>
        <v>60705.96361943071</v>
      </c>
      <c r="AC50" s="410">
        <f t="shared" si="14"/>
        <v>59778.105455170917</v>
      </c>
      <c r="AD50" s="410">
        <f t="shared" si="14"/>
        <v>46688.103815019138</v>
      </c>
      <c r="AE50" s="410">
        <f t="shared" si="14"/>
        <v>53709.130860834164</v>
      </c>
      <c r="AF50" s="410">
        <f t="shared" si="14"/>
        <v>46261.946387033786</v>
      </c>
      <c r="AG50" s="410">
        <f t="shared" si="14"/>
        <v>44207.474930281278</v>
      </c>
      <c r="AH50" s="410">
        <f t="shared" si="14"/>
        <v>48764.748583093373</v>
      </c>
      <c r="AI50" s="410">
        <f t="shared" si="14"/>
        <v>46556.210329706497</v>
      </c>
      <c r="AJ50" s="410">
        <f t="shared" si="14"/>
        <v>48044.067050582002</v>
      </c>
      <c r="AK50" s="410">
        <f t="shared" si="14"/>
        <v>47364.251036970782</v>
      </c>
      <c r="AL50" s="410">
        <f t="shared" si="14"/>
        <v>48215.52320669101</v>
      </c>
      <c r="AM50" s="410">
        <f t="shared" si="14"/>
        <v>53797.064187062111</v>
      </c>
      <c r="AN50" s="410">
        <f t="shared" si="14"/>
        <v>52765.513691800799</v>
      </c>
      <c r="AO50" s="410">
        <f t="shared" si="14"/>
        <v>61984.554876937924</v>
      </c>
      <c r="AP50" s="410">
        <f t="shared" si="14"/>
        <v>66302.028871124829</v>
      </c>
      <c r="AQ50" s="410">
        <f t="shared" si="14"/>
        <v>62554.157248140677</v>
      </c>
      <c r="AR50" s="410">
        <f t="shared" si="14"/>
        <v>65459.413136934403</v>
      </c>
      <c r="AS50" s="410">
        <f t="shared" si="14"/>
        <v>64849.448060427443</v>
      </c>
      <c r="AT50" s="410">
        <f t="shared" si="14"/>
        <v>78930.497121044697</v>
      </c>
      <c r="AU50" s="410">
        <f t="shared" si="14"/>
        <v>72709.232262696052</v>
      </c>
      <c r="AV50" s="410">
        <f t="shared" si="14"/>
        <v>73207.524992976891</v>
      </c>
      <c r="AW50" s="418">
        <f t="shared" si="3"/>
        <v>59254.39108614318</v>
      </c>
      <c r="BD50" s="364" t="str">
        <f t="shared" si="0"/>
        <v>Propylene Cost of Production based on Byproducts</v>
      </c>
      <c r="BE50" s="620">
        <f>BE47*BE48/BE19</f>
        <v>62600.187761455243</v>
      </c>
      <c r="BG50" s="589"/>
      <c r="BH50" s="589"/>
    </row>
    <row r="51" spans="2:60" s="16" customFormat="1" x14ac:dyDescent="0.25">
      <c r="C51" s="409" t="s">
        <v>366</v>
      </c>
      <c r="D51" s="423">
        <f t="shared" ref="D51:AV52" si="15">D27-D49</f>
        <v>9187.9143908771584</v>
      </c>
      <c r="E51" s="423">
        <f t="shared" si="15"/>
        <v>10593.400030368321</v>
      </c>
      <c r="F51" s="423">
        <f t="shared" si="15"/>
        <v>8808.7115549385198</v>
      </c>
      <c r="G51" s="423">
        <f t="shared" si="15"/>
        <v>8930.918020515237</v>
      </c>
      <c r="H51" s="423">
        <f t="shared" si="15"/>
        <v>12493.841970064175</v>
      </c>
      <c r="I51" s="423">
        <f t="shared" si="15"/>
        <v>6577.2045293105111</v>
      </c>
      <c r="J51" s="423">
        <f t="shared" si="15"/>
        <v>3946.1150659319537</v>
      </c>
      <c r="K51" s="423">
        <f t="shared" si="15"/>
        <v>4780.8593576674975</v>
      </c>
      <c r="L51" s="423">
        <f t="shared" si="15"/>
        <v>3569.2570826839365</v>
      </c>
      <c r="M51" s="423">
        <f t="shared" si="15"/>
        <v>7270.6742597281773</v>
      </c>
      <c r="N51" s="423">
        <f t="shared" si="15"/>
        <v>6404.2556015443406</v>
      </c>
      <c r="O51" s="423">
        <f t="shared" si="15"/>
        <v>3311.9019402545455</v>
      </c>
      <c r="P51" s="423">
        <f t="shared" si="15"/>
        <v>5132.2306654235799</v>
      </c>
      <c r="Q51" s="423">
        <f t="shared" si="15"/>
        <v>5887.1474176523188</v>
      </c>
      <c r="R51" s="423">
        <f t="shared" si="15"/>
        <v>6505.712358627723</v>
      </c>
      <c r="S51" s="423">
        <f t="shared" si="15"/>
        <v>4722.1638733689833</v>
      </c>
      <c r="T51" s="423">
        <f t="shared" si="15"/>
        <v>4135.5803757417161</v>
      </c>
      <c r="U51" s="423">
        <f t="shared" si="15"/>
        <v>3737.9206049903732</v>
      </c>
      <c r="V51" s="423">
        <f t="shared" si="15"/>
        <v>5412.2453934621226</v>
      </c>
      <c r="W51" s="423">
        <f t="shared" si="15"/>
        <v>6824.7175369391916</v>
      </c>
      <c r="X51" s="423">
        <f t="shared" si="15"/>
        <v>9605.3630191545453</v>
      </c>
      <c r="Y51" s="423">
        <f t="shared" si="15"/>
        <v>6940.6493931772275</v>
      </c>
      <c r="Z51" s="423">
        <f t="shared" si="15"/>
        <v>9525.2410407346906</v>
      </c>
      <c r="AA51" s="423">
        <f t="shared" si="15"/>
        <v>8760.2140639390709</v>
      </c>
      <c r="AB51" s="423">
        <f t="shared" si="15"/>
        <v>10836.28432965395</v>
      </c>
      <c r="AC51" s="423">
        <f t="shared" si="15"/>
        <v>7845.5965402349902</v>
      </c>
      <c r="AD51" s="423">
        <f t="shared" si="15"/>
        <v>7667.1213322434414</v>
      </c>
      <c r="AE51" s="423">
        <f t="shared" si="15"/>
        <v>5968.4991418670834</v>
      </c>
      <c r="AF51" s="423">
        <f t="shared" si="15"/>
        <v>5256.1490523570974</v>
      </c>
      <c r="AG51" s="423">
        <f t="shared" si="15"/>
        <v>6206.5634173247818</v>
      </c>
      <c r="AH51" s="423">
        <f t="shared" si="15"/>
        <v>5562.2501547361535</v>
      </c>
      <c r="AI51" s="423">
        <f t="shared" si="15"/>
        <v>6544.6934073185257</v>
      </c>
      <c r="AJ51" s="423">
        <f t="shared" si="15"/>
        <v>7285.761834987672</v>
      </c>
      <c r="AK51" s="423">
        <f t="shared" si="15"/>
        <v>8861.4993410488678</v>
      </c>
      <c r="AL51" s="423">
        <f t="shared" si="15"/>
        <v>8733.5590325221856</v>
      </c>
      <c r="AM51" s="423">
        <f t="shared" si="15"/>
        <v>7971.8947895187739</v>
      </c>
      <c r="AN51" s="423">
        <f t="shared" si="15"/>
        <v>11183.861618642557</v>
      </c>
      <c r="AO51" s="423">
        <f t="shared" si="15"/>
        <v>8931.9065670959608</v>
      </c>
      <c r="AP51" s="423">
        <f t="shared" si="15"/>
        <v>9799.1096009551911</v>
      </c>
      <c r="AQ51" s="423">
        <f t="shared" si="15"/>
        <v>10522.104933974202</v>
      </c>
      <c r="AR51" s="423">
        <f t="shared" si="15"/>
        <v>8150.8240078504241</v>
      </c>
      <c r="AS51" s="423">
        <f t="shared" si="15"/>
        <v>10316.661140022807</v>
      </c>
      <c r="AT51" s="423">
        <f t="shared" si="15"/>
        <v>8472.8729949499684</v>
      </c>
      <c r="AU51" s="423">
        <f t="shared" si="15"/>
        <v>12047.480410456177</v>
      </c>
      <c r="AV51" s="423">
        <f t="shared" si="15"/>
        <v>13585.112245118682</v>
      </c>
      <c r="AW51" s="418">
        <f t="shared" si="3"/>
        <v>7662.5343431105657</v>
      </c>
    </row>
    <row r="52" spans="2:60" s="16" customFormat="1" x14ac:dyDescent="0.25">
      <c r="C52" s="409" t="s">
        <v>367</v>
      </c>
      <c r="D52" s="423">
        <f t="shared" si="15"/>
        <v>-1842.2152007901022</v>
      </c>
      <c r="E52" s="423">
        <f t="shared" si="15"/>
        <v>-2085.6338161024833</v>
      </c>
      <c r="F52" s="423">
        <f t="shared" si="15"/>
        <v>-2068.8481237800879</v>
      </c>
      <c r="G52" s="423">
        <f t="shared" si="15"/>
        <v>6377.1906974870726</v>
      </c>
      <c r="H52" s="423">
        <f t="shared" si="15"/>
        <v>-5542.9961741846273</v>
      </c>
      <c r="I52" s="423">
        <f t="shared" si="15"/>
        <v>-222.14443653606577</v>
      </c>
      <c r="J52" s="423">
        <f t="shared" si="15"/>
        <v>172.74777090208954</v>
      </c>
      <c r="K52" s="423">
        <f t="shared" si="15"/>
        <v>-1785.037987754753</v>
      </c>
      <c r="L52" s="423">
        <f t="shared" si="15"/>
        <v>665.56789765093708</v>
      </c>
      <c r="M52" s="423">
        <f t="shared" si="15"/>
        <v>-8928.0917258634727</v>
      </c>
      <c r="N52" s="423">
        <f t="shared" si="15"/>
        <v>-7832.1014076120628</v>
      </c>
      <c r="O52" s="423">
        <f t="shared" si="15"/>
        <v>-4952.9204216599028</v>
      </c>
      <c r="P52" s="423">
        <f t="shared" si="15"/>
        <v>-3261.5297955515271</v>
      </c>
      <c r="Q52" s="423">
        <f t="shared" si="15"/>
        <v>-3840.8499860029551</v>
      </c>
      <c r="R52" s="423">
        <f t="shared" si="15"/>
        <v>-5174.532810170349</v>
      </c>
      <c r="S52" s="423">
        <f t="shared" si="15"/>
        <v>-4418.6124246530599</v>
      </c>
      <c r="T52" s="423">
        <f t="shared" si="15"/>
        <v>-5934.8749831588721</v>
      </c>
      <c r="U52" s="423">
        <f t="shared" si="15"/>
        <v>-1243.635321581336</v>
      </c>
      <c r="V52" s="423">
        <f t="shared" si="15"/>
        <v>-2974.3127006069917</v>
      </c>
      <c r="W52" s="423">
        <f t="shared" si="15"/>
        <v>-337.31967158085172</v>
      </c>
      <c r="X52" s="423">
        <f t="shared" si="15"/>
        <v>1344.2460345652362</v>
      </c>
      <c r="Y52" s="423">
        <f t="shared" si="15"/>
        <v>-839.52516466005181</v>
      </c>
      <c r="Z52" s="423">
        <f t="shared" si="15"/>
        <v>-6163.6801222082286</v>
      </c>
      <c r="AA52" s="423">
        <f t="shared" si="15"/>
        <v>-2073.0592786311609</v>
      </c>
      <c r="AB52" s="423">
        <f t="shared" si="15"/>
        <v>-3965.623619430713</v>
      </c>
      <c r="AC52" s="423">
        <f t="shared" si="15"/>
        <v>-3703.3454551709146</v>
      </c>
      <c r="AD52" s="423">
        <f t="shared" si="15"/>
        <v>-208.9938150191374</v>
      </c>
      <c r="AE52" s="423">
        <f t="shared" si="15"/>
        <v>-7603.3008608341624</v>
      </c>
      <c r="AF52" s="423">
        <f t="shared" si="15"/>
        <v>-7575.6763870337891</v>
      </c>
      <c r="AG52" s="423">
        <f t="shared" si="15"/>
        <v>-6207.48493028128</v>
      </c>
      <c r="AH52" s="423">
        <f t="shared" si="15"/>
        <v>-4884.9085830933764</v>
      </c>
      <c r="AI52" s="423">
        <f t="shared" si="15"/>
        <v>-3523.5503297064934</v>
      </c>
      <c r="AJ52" s="423">
        <f t="shared" si="15"/>
        <v>-2942.4670505820031</v>
      </c>
      <c r="AK52" s="423">
        <f t="shared" si="15"/>
        <v>-3465.5910369707781</v>
      </c>
      <c r="AL52" s="423">
        <f t="shared" si="15"/>
        <v>-2939.4632066910126</v>
      </c>
      <c r="AM52" s="423">
        <f t="shared" si="15"/>
        <v>-1972.7741870621103</v>
      </c>
      <c r="AN52" s="423">
        <f t="shared" si="15"/>
        <v>-3763.7836918007961</v>
      </c>
      <c r="AO52" s="423">
        <f t="shared" si="15"/>
        <v>-8800.4348769379212</v>
      </c>
      <c r="AP52" s="423">
        <f t="shared" si="15"/>
        <v>-10692.918871124828</v>
      </c>
      <c r="AQ52" s="423">
        <f t="shared" si="15"/>
        <v>-7403.3372481406768</v>
      </c>
      <c r="AR52" s="423">
        <f t="shared" si="15"/>
        <v>-7180.1631369344032</v>
      </c>
      <c r="AS52" s="423">
        <f t="shared" si="15"/>
        <v>-7886.6380604274455</v>
      </c>
      <c r="AT52" s="423">
        <f t="shared" si="15"/>
        <v>-14845.837121044693</v>
      </c>
      <c r="AU52" s="423">
        <f t="shared" si="15"/>
        <v>-10141.882262696054</v>
      </c>
      <c r="AV52" s="423">
        <f t="shared" si="15"/>
        <v>-11052.16499297689</v>
      </c>
      <c r="AW52" s="418">
        <f t="shared" si="3"/>
        <v>-4304.9446416987348</v>
      </c>
    </row>
    <row r="53" spans="2:60" x14ac:dyDescent="0.25">
      <c r="C53" s="172"/>
      <c r="D53" s="334"/>
      <c r="E53" s="334"/>
      <c r="F53" s="334"/>
      <c r="G53" s="334"/>
      <c r="H53" s="334"/>
      <c r="I53" s="334"/>
      <c r="J53" s="334"/>
      <c r="K53" s="334"/>
      <c r="L53" s="334"/>
      <c r="M53" s="334"/>
      <c r="N53" s="334"/>
      <c r="O53" s="334"/>
      <c r="P53" s="334"/>
      <c r="Q53" s="334"/>
      <c r="R53" s="334"/>
      <c r="S53" s="334"/>
      <c r="T53" s="334"/>
      <c r="U53" s="334"/>
      <c r="V53" s="334"/>
      <c r="W53" s="334"/>
      <c r="X53" s="334"/>
      <c r="Y53" s="334"/>
      <c r="Z53" s="334"/>
      <c r="AA53" s="334"/>
      <c r="AB53" s="334"/>
      <c r="AC53" s="334"/>
      <c r="AD53" s="334"/>
      <c r="AE53" s="334"/>
      <c r="AF53" s="334"/>
      <c r="AG53" s="334"/>
      <c r="AH53" s="334"/>
      <c r="AI53" s="334"/>
      <c r="AJ53" s="334"/>
      <c r="AK53" s="334"/>
      <c r="AL53" s="334"/>
      <c r="AM53" s="334"/>
      <c r="AN53" s="182"/>
      <c r="AO53" s="182"/>
      <c r="AP53" s="182"/>
      <c r="AQ53" s="9"/>
      <c r="AR53" s="9"/>
      <c r="AS53" s="9"/>
      <c r="AT53" s="9"/>
      <c r="AU53" s="9"/>
      <c r="AV53" s="9"/>
      <c r="AW53" s="9"/>
      <c r="AX53" s="9"/>
      <c r="AY53" s="9"/>
      <c r="AZ53" s="9"/>
      <c r="BA53" s="9"/>
      <c r="BB53" s="9"/>
      <c r="BC53" s="9"/>
      <c r="BD53" s="16"/>
      <c r="BE53" s="9"/>
    </row>
    <row r="54" spans="2:60" x14ac:dyDescent="0.25">
      <c r="C54" s="172"/>
      <c r="D54" s="334"/>
      <c r="E54" s="334"/>
      <c r="F54" s="334"/>
      <c r="G54" s="334"/>
      <c r="H54" s="334"/>
      <c r="I54" s="334"/>
      <c r="J54" s="334"/>
      <c r="K54" s="334"/>
      <c r="L54" s="334"/>
      <c r="M54" s="334"/>
      <c r="N54" s="334"/>
      <c r="O54" s="334"/>
      <c r="P54" s="334"/>
      <c r="Q54" s="334"/>
      <c r="R54" s="334"/>
      <c r="S54" s="334"/>
      <c r="T54" s="334"/>
      <c r="U54" s="334"/>
      <c r="V54" s="334"/>
      <c r="W54" s="334"/>
      <c r="X54" s="334"/>
      <c r="Y54" s="334"/>
      <c r="Z54" s="334"/>
      <c r="AA54" s="334"/>
      <c r="AB54" s="334"/>
      <c r="AC54" s="334"/>
      <c r="AD54" s="334"/>
      <c r="AE54" s="334"/>
      <c r="AF54" s="334"/>
      <c r="AG54" s="334"/>
      <c r="AH54" s="334"/>
      <c r="AI54" s="334"/>
      <c r="AJ54" s="334"/>
      <c r="AK54" s="334"/>
      <c r="AL54" s="334"/>
      <c r="AM54" s="334"/>
      <c r="AN54" s="182"/>
      <c r="AO54" s="182"/>
      <c r="AP54" s="182"/>
      <c r="AQ54" s="9"/>
      <c r="AR54" s="9"/>
      <c r="AS54" s="9"/>
      <c r="AT54" s="9"/>
      <c r="AU54" s="9"/>
      <c r="AV54" s="9"/>
      <c r="AW54" s="9"/>
      <c r="AX54" s="9"/>
      <c r="AY54" s="9"/>
      <c r="AZ54" s="9"/>
      <c r="BA54" s="9"/>
      <c r="BB54" s="9"/>
      <c r="BC54" s="9"/>
      <c r="BD54" s="16"/>
      <c r="BE54" s="9"/>
    </row>
    <row r="55" spans="2:60" x14ac:dyDescent="0.25">
      <c r="C55" s="172"/>
      <c r="D55" s="334"/>
      <c r="E55" s="334"/>
      <c r="F55" s="334"/>
      <c r="G55" s="334"/>
      <c r="H55" s="334"/>
      <c r="I55" s="334"/>
      <c r="J55" s="334"/>
      <c r="K55" s="334"/>
      <c r="L55" s="334"/>
      <c r="M55" s="334"/>
      <c r="N55" s="334"/>
      <c r="O55" s="334"/>
      <c r="P55" s="334"/>
      <c r="Q55" s="334"/>
      <c r="R55" s="334"/>
      <c r="S55" s="334"/>
      <c r="T55" s="334"/>
      <c r="U55" s="334"/>
      <c r="V55" s="334"/>
      <c r="W55" s="334"/>
      <c r="X55" s="334"/>
      <c r="Y55" s="334"/>
      <c r="Z55" s="334"/>
      <c r="AA55" s="334"/>
      <c r="AB55" s="334"/>
      <c r="AC55" s="334"/>
      <c r="AD55" s="334"/>
      <c r="AE55" s="334"/>
      <c r="AF55" s="334"/>
      <c r="AG55" s="334"/>
      <c r="AH55" s="334"/>
      <c r="AI55" s="334"/>
      <c r="AJ55" s="334"/>
      <c r="AK55" s="334"/>
      <c r="AL55" s="334"/>
      <c r="AM55" s="334"/>
      <c r="AN55" s="182"/>
      <c r="AO55" s="182"/>
      <c r="AP55" s="182"/>
      <c r="AQ55" s="9"/>
      <c r="AR55" s="9"/>
      <c r="AS55" s="9"/>
      <c r="AT55" s="9"/>
      <c r="AU55" s="9"/>
      <c r="AV55" s="9"/>
      <c r="AW55" s="9"/>
      <c r="AX55" s="9"/>
      <c r="AY55" s="9"/>
      <c r="AZ55" s="9"/>
      <c r="BA55" s="9"/>
      <c r="BB55" s="9"/>
      <c r="BC55" s="9"/>
      <c r="BD55" s="16"/>
      <c r="BE55" s="9"/>
    </row>
    <row r="56" spans="2:60" x14ac:dyDescent="0.25">
      <c r="B56" s="16"/>
      <c r="C56" s="973" t="s">
        <v>157</v>
      </c>
      <c r="D56" s="973"/>
      <c r="E56" s="973"/>
      <c r="F56" s="973"/>
      <c r="G56" s="973"/>
      <c r="H56" s="973"/>
      <c r="I56" s="973"/>
      <c r="J56" s="973"/>
      <c r="K56" s="973"/>
      <c r="L56" s="973"/>
      <c r="M56" s="973"/>
      <c r="N56" s="973"/>
      <c r="O56" s="973"/>
      <c r="P56" s="973"/>
      <c r="Q56" s="973"/>
      <c r="R56" s="973"/>
      <c r="S56" s="973"/>
      <c r="T56" s="973"/>
      <c r="U56" s="973"/>
      <c r="V56" s="973"/>
      <c r="W56" s="973"/>
      <c r="X56" s="973"/>
      <c r="Y56" s="973"/>
      <c r="Z56" s="973"/>
      <c r="AA56" s="973"/>
      <c r="AB56" s="973"/>
      <c r="AC56" s="973"/>
      <c r="AD56" s="973"/>
      <c r="AE56" s="974"/>
      <c r="AF56" s="974"/>
      <c r="AG56" s="974"/>
      <c r="AH56" s="974"/>
      <c r="AI56" s="974"/>
      <c r="AJ56" s="974"/>
      <c r="AK56" s="974"/>
      <c r="AL56" s="974"/>
      <c r="AM56" s="974"/>
      <c r="AN56" s="974"/>
      <c r="AO56" s="974"/>
      <c r="AP56" s="974"/>
      <c r="AQ56" s="974"/>
      <c r="AR56" s="974"/>
      <c r="AS56" s="974"/>
      <c r="AT56" s="974"/>
      <c r="AU56" s="974"/>
      <c r="AV56" s="974"/>
      <c r="AW56" s="974"/>
      <c r="BD56" s="364" t="str">
        <f t="shared" si="0"/>
        <v>PVC  Prices India- (Data by Chemanalyst)</v>
      </c>
    </row>
    <row r="57" spans="2:60" x14ac:dyDescent="0.25">
      <c r="B57" s="16"/>
      <c r="C57" s="414" t="s">
        <v>156</v>
      </c>
      <c r="D57" s="415">
        <v>68800</v>
      </c>
      <c r="E57" s="415">
        <v>70300</v>
      </c>
      <c r="F57" s="415">
        <v>74650</v>
      </c>
      <c r="G57" s="415">
        <v>74650</v>
      </c>
      <c r="H57" s="415">
        <v>74038</v>
      </c>
      <c r="I57" s="415">
        <v>77038</v>
      </c>
      <c r="J57" s="415">
        <v>85370</v>
      </c>
      <c r="K57" s="415">
        <v>86820</v>
      </c>
      <c r="L57" s="415">
        <v>87660</v>
      </c>
      <c r="M57" s="415">
        <v>84450</v>
      </c>
      <c r="N57" s="415">
        <v>87130</v>
      </c>
      <c r="O57" s="415">
        <v>85840</v>
      </c>
      <c r="P57" s="415">
        <v>69920</v>
      </c>
      <c r="Q57" s="415">
        <v>73060</v>
      </c>
      <c r="R57" s="415">
        <v>73390</v>
      </c>
      <c r="S57" s="415">
        <v>71080</v>
      </c>
      <c r="T57" s="415">
        <v>71100</v>
      </c>
      <c r="U57" s="415">
        <v>69220</v>
      </c>
      <c r="V57" s="415">
        <v>73140</v>
      </c>
      <c r="W57" s="415">
        <v>75100</v>
      </c>
      <c r="X57" s="415">
        <v>76560</v>
      </c>
      <c r="Y57" s="415">
        <v>75820</v>
      </c>
      <c r="Z57" s="415">
        <v>74240</v>
      </c>
      <c r="AA57" s="415">
        <v>74180</v>
      </c>
      <c r="AB57" s="415">
        <v>74790</v>
      </c>
      <c r="AC57" s="415">
        <v>76180</v>
      </c>
      <c r="AD57" s="415">
        <v>75130</v>
      </c>
      <c r="AE57" s="415">
        <v>70280</v>
      </c>
      <c r="AF57" s="415">
        <v>65840</v>
      </c>
      <c r="AG57" s="415">
        <v>73050</v>
      </c>
      <c r="AH57" s="415">
        <v>75370</v>
      </c>
      <c r="AI57" s="415">
        <v>78360</v>
      </c>
      <c r="AJ57" s="415">
        <v>85450</v>
      </c>
      <c r="AK57" s="415">
        <v>93490</v>
      </c>
      <c r="AL57" s="415">
        <v>98520</v>
      </c>
      <c r="AM57" s="415">
        <v>110130</v>
      </c>
      <c r="AN57" s="415">
        <v>118350</v>
      </c>
      <c r="AO57" s="415">
        <v>118720</v>
      </c>
      <c r="AP57" s="415">
        <v>130090</v>
      </c>
      <c r="AQ57" s="415">
        <v>133480</v>
      </c>
      <c r="AR57" s="415">
        <v>134090</v>
      </c>
      <c r="AS57" s="415">
        <v>124550</v>
      </c>
      <c r="AT57" s="415">
        <v>118450</v>
      </c>
      <c r="AU57" s="415">
        <v>126560</v>
      </c>
      <c r="AV57" s="415">
        <v>132725.1</v>
      </c>
      <c r="AW57" s="412">
        <f>AVERAGE(D57:AV57)</f>
        <v>87714.691111111111</v>
      </c>
      <c r="BD57" s="364" t="str">
        <f t="shared" si="0"/>
        <v>PVC Suspension  rigid grade K67 Ex Mumbai (India)</v>
      </c>
      <c r="BE57" s="603">
        <v>132725.1</v>
      </c>
    </row>
    <row r="58" spans="2:60" s="16" customFormat="1" ht="30" x14ac:dyDescent="0.25">
      <c r="C58" s="416" t="s">
        <v>368</v>
      </c>
      <c r="D58" s="417">
        <f>D57*0.97</f>
        <v>66736</v>
      </c>
      <c r="E58" s="417">
        <f t="shared" ref="E58:AV58" si="16">E57*0.97</f>
        <v>68191</v>
      </c>
      <c r="F58" s="417">
        <f t="shared" si="16"/>
        <v>72410.5</v>
      </c>
      <c r="G58" s="417">
        <f t="shared" si="16"/>
        <v>72410.5</v>
      </c>
      <c r="H58" s="417">
        <f t="shared" si="16"/>
        <v>71816.86</v>
      </c>
      <c r="I58" s="417">
        <f t="shared" si="16"/>
        <v>74726.86</v>
      </c>
      <c r="J58" s="417">
        <f t="shared" si="16"/>
        <v>82808.899999999994</v>
      </c>
      <c r="K58" s="417">
        <f t="shared" si="16"/>
        <v>84215.4</v>
      </c>
      <c r="L58" s="417">
        <f t="shared" si="16"/>
        <v>85030.2</v>
      </c>
      <c r="M58" s="417">
        <f t="shared" si="16"/>
        <v>81916.5</v>
      </c>
      <c r="N58" s="417">
        <f t="shared" si="16"/>
        <v>84516.099999999991</v>
      </c>
      <c r="O58" s="417">
        <f t="shared" si="16"/>
        <v>83264.800000000003</v>
      </c>
      <c r="P58" s="417">
        <f t="shared" si="16"/>
        <v>67822.399999999994</v>
      </c>
      <c r="Q58" s="417">
        <f t="shared" si="16"/>
        <v>70868.2</v>
      </c>
      <c r="R58" s="417">
        <f t="shared" si="16"/>
        <v>71188.3</v>
      </c>
      <c r="S58" s="417">
        <f t="shared" si="16"/>
        <v>68947.599999999991</v>
      </c>
      <c r="T58" s="417">
        <f t="shared" si="16"/>
        <v>68967</v>
      </c>
      <c r="U58" s="417">
        <f t="shared" si="16"/>
        <v>67143.399999999994</v>
      </c>
      <c r="V58" s="417">
        <f t="shared" si="16"/>
        <v>70945.8</v>
      </c>
      <c r="W58" s="417">
        <f t="shared" si="16"/>
        <v>72847</v>
      </c>
      <c r="X58" s="417">
        <f t="shared" si="16"/>
        <v>74263.199999999997</v>
      </c>
      <c r="Y58" s="417">
        <f t="shared" si="16"/>
        <v>73545.399999999994</v>
      </c>
      <c r="Z58" s="417">
        <f t="shared" si="16"/>
        <v>72012.800000000003</v>
      </c>
      <c r="AA58" s="417">
        <f t="shared" si="16"/>
        <v>71954.599999999991</v>
      </c>
      <c r="AB58" s="417">
        <f t="shared" si="16"/>
        <v>72546.3</v>
      </c>
      <c r="AC58" s="417">
        <f t="shared" si="16"/>
        <v>73894.599999999991</v>
      </c>
      <c r="AD58" s="417">
        <f t="shared" si="16"/>
        <v>72876.099999999991</v>
      </c>
      <c r="AE58" s="417">
        <f t="shared" si="16"/>
        <v>68171.599999999991</v>
      </c>
      <c r="AF58" s="417">
        <f t="shared" si="16"/>
        <v>63864.799999999996</v>
      </c>
      <c r="AG58" s="417">
        <f t="shared" si="16"/>
        <v>70858.5</v>
      </c>
      <c r="AH58" s="417">
        <f t="shared" si="16"/>
        <v>73108.899999999994</v>
      </c>
      <c r="AI58" s="417">
        <f t="shared" si="16"/>
        <v>76009.2</v>
      </c>
      <c r="AJ58" s="417">
        <f t="shared" si="16"/>
        <v>82886.5</v>
      </c>
      <c r="AK58" s="417">
        <f t="shared" si="16"/>
        <v>90685.3</v>
      </c>
      <c r="AL58" s="417">
        <f t="shared" si="16"/>
        <v>95564.4</v>
      </c>
      <c r="AM58" s="417">
        <f t="shared" si="16"/>
        <v>106826.09999999999</v>
      </c>
      <c r="AN58" s="417">
        <f t="shared" si="16"/>
        <v>114799.5</v>
      </c>
      <c r="AO58" s="417">
        <f t="shared" si="16"/>
        <v>115158.39999999999</v>
      </c>
      <c r="AP58" s="417">
        <f t="shared" si="16"/>
        <v>126187.3</v>
      </c>
      <c r="AQ58" s="417">
        <f t="shared" si="16"/>
        <v>129475.59999999999</v>
      </c>
      <c r="AR58" s="417">
        <f t="shared" si="16"/>
        <v>130067.3</v>
      </c>
      <c r="AS58" s="417">
        <f t="shared" si="16"/>
        <v>120813.5</v>
      </c>
      <c r="AT58" s="417">
        <f t="shared" si="16"/>
        <v>114896.5</v>
      </c>
      <c r="AU58" s="417">
        <f t="shared" si="16"/>
        <v>122763.2</v>
      </c>
      <c r="AV58" s="417">
        <f t="shared" si="16"/>
        <v>128743.34700000001</v>
      </c>
      <c r="AW58" s="418">
        <f>AVERAGE(D58:AV58)</f>
        <v>85083.250377777775</v>
      </c>
      <c r="BD58" s="364" t="str">
        <f t="shared" si="0"/>
        <v>Average Revenue Per MT for PVC considered (97% OF EX-Mumbai Price TAKEN)</v>
      </c>
      <c r="BE58" s="604">
        <f>BE57*0.97</f>
        <v>128743.34700000001</v>
      </c>
    </row>
    <row r="59" spans="2:60" x14ac:dyDescent="0.25">
      <c r="C59" s="172"/>
      <c r="D59" s="334"/>
      <c r="E59" s="334"/>
      <c r="F59" s="334"/>
      <c r="G59" s="334"/>
      <c r="H59" s="334"/>
      <c r="I59" s="334"/>
      <c r="J59" s="334"/>
      <c r="K59" s="334"/>
      <c r="L59" s="334"/>
      <c r="M59" s="334"/>
      <c r="N59" s="334"/>
      <c r="O59" s="334"/>
      <c r="P59" s="334"/>
      <c r="Q59" s="334"/>
      <c r="R59" s="334"/>
      <c r="S59" s="334"/>
      <c r="T59" s="334"/>
      <c r="U59" s="334"/>
      <c r="V59" s="334"/>
      <c r="W59" s="334"/>
      <c r="X59" s="334"/>
      <c r="Y59" s="334"/>
      <c r="Z59" s="334"/>
      <c r="AA59" s="334"/>
      <c r="AB59" s="334"/>
      <c r="AC59" s="334"/>
      <c r="AD59" s="334"/>
      <c r="AE59" s="334"/>
      <c r="AF59" s="334"/>
      <c r="AG59" s="334"/>
      <c r="AH59" s="334"/>
      <c r="AI59" s="334"/>
      <c r="AJ59" s="334"/>
      <c r="AK59" s="334"/>
      <c r="AL59" s="334"/>
      <c r="AM59" s="334"/>
      <c r="AN59" s="182"/>
      <c r="AO59" s="182"/>
      <c r="AP59" s="182"/>
      <c r="AQ59" s="9"/>
      <c r="AR59" s="9"/>
      <c r="AS59" s="9"/>
      <c r="AT59" s="9"/>
      <c r="AU59" s="9"/>
      <c r="AV59" s="9"/>
      <c r="AW59" s="9"/>
      <c r="AX59" s="9"/>
      <c r="AY59" s="9"/>
      <c r="AZ59" s="9"/>
      <c r="BA59" s="9"/>
      <c r="BB59" s="9"/>
      <c r="BC59" s="9"/>
      <c r="BD59" s="364">
        <f t="shared" si="0"/>
        <v>0</v>
      </c>
      <c r="BE59" s="9"/>
    </row>
    <row r="60" spans="2:60" x14ac:dyDescent="0.25">
      <c r="C60" s="172"/>
      <c r="D60" s="334"/>
      <c r="E60" s="334"/>
      <c r="F60" s="334"/>
      <c r="G60" s="334"/>
      <c r="H60" s="334"/>
      <c r="I60" s="334"/>
      <c r="J60" s="334"/>
      <c r="K60" s="334"/>
      <c r="L60" s="334"/>
      <c r="M60" s="334"/>
      <c r="N60" s="334"/>
      <c r="O60" s="334"/>
      <c r="P60" s="334"/>
      <c r="Q60" s="334"/>
      <c r="R60" s="334"/>
      <c r="S60" s="334"/>
      <c r="T60" s="334"/>
      <c r="U60" s="334"/>
      <c r="V60" s="334"/>
      <c r="W60" s="334"/>
      <c r="X60" s="334"/>
      <c r="Y60" s="334"/>
      <c r="Z60" s="334"/>
      <c r="AA60" s="334"/>
      <c r="AB60" s="334"/>
      <c r="AC60" s="334"/>
      <c r="AD60" s="334"/>
      <c r="AE60" s="334"/>
      <c r="AF60" s="334"/>
      <c r="AG60" s="334"/>
      <c r="AH60" s="334"/>
      <c r="AI60" s="334"/>
      <c r="AJ60" s="334"/>
      <c r="AK60" s="334"/>
      <c r="AL60" s="334"/>
      <c r="AM60" s="334"/>
      <c r="AN60" s="182"/>
      <c r="AO60" s="182"/>
      <c r="AP60" s="182"/>
      <c r="AQ60" s="9"/>
      <c r="AR60" s="9"/>
      <c r="AS60" s="9"/>
      <c r="AT60" s="9"/>
      <c r="AU60" s="9"/>
      <c r="AV60" s="9"/>
      <c r="AW60" s="9"/>
      <c r="AX60" s="9"/>
      <c r="AY60" s="9"/>
      <c r="AZ60" s="9"/>
      <c r="BA60" s="9"/>
      <c r="BB60" s="9"/>
      <c r="BC60" s="9"/>
      <c r="BD60" s="364">
        <f t="shared" si="0"/>
        <v>0</v>
      </c>
      <c r="BE60" s="9"/>
    </row>
    <row r="61" spans="2:60" x14ac:dyDescent="0.25">
      <c r="C61" s="975" t="s">
        <v>159</v>
      </c>
      <c r="D61" s="975"/>
      <c r="E61" s="975"/>
      <c r="F61" s="975"/>
      <c r="G61" s="975"/>
      <c r="H61" s="975"/>
      <c r="I61" s="975"/>
      <c r="J61" s="975"/>
      <c r="K61" s="975"/>
      <c r="L61" s="975"/>
      <c r="M61" s="975"/>
      <c r="N61" s="975"/>
      <c r="O61" s="975"/>
      <c r="P61" s="975"/>
      <c r="Q61" s="975"/>
      <c r="R61" s="975"/>
      <c r="S61" s="975"/>
      <c r="T61" s="975"/>
      <c r="U61" s="975"/>
      <c r="V61" s="975"/>
      <c r="W61" s="975"/>
      <c r="X61" s="975"/>
      <c r="Y61" s="975"/>
      <c r="Z61" s="975"/>
      <c r="AA61" s="975"/>
      <c r="AB61" s="975"/>
      <c r="AC61" s="975"/>
      <c r="AD61" s="975"/>
      <c r="AE61" s="975"/>
      <c r="AF61" s="975"/>
      <c r="AG61" s="975"/>
      <c r="AH61" s="975"/>
      <c r="AI61" s="975"/>
      <c r="AJ61" s="975"/>
      <c r="AK61" s="975"/>
      <c r="AL61" s="975"/>
      <c r="AM61" s="975"/>
      <c r="AN61" s="975"/>
      <c r="AO61" s="975"/>
      <c r="AP61" s="975"/>
      <c r="AQ61" s="975"/>
      <c r="AR61" s="975"/>
      <c r="AS61" s="975"/>
      <c r="AT61" s="975"/>
      <c r="AU61" s="975"/>
      <c r="AV61" s="975"/>
      <c r="AW61" s="975"/>
      <c r="BD61" s="364" t="str">
        <f t="shared" si="0"/>
        <v>Acetone Prices India- (Data by Chemanalyst)</v>
      </c>
    </row>
    <row r="62" spans="2:60" x14ac:dyDescent="0.25">
      <c r="C62" s="6" t="s">
        <v>158</v>
      </c>
      <c r="D62" s="6">
        <v>66560</v>
      </c>
      <c r="E62" s="6">
        <v>68920</v>
      </c>
      <c r="F62" s="6">
        <v>66980</v>
      </c>
      <c r="G62" s="6">
        <v>69750</v>
      </c>
      <c r="H62" s="6">
        <v>72465</v>
      </c>
      <c r="I62" s="6">
        <v>69700</v>
      </c>
      <c r="J62" s="6">
        <v>66450</v>
      </c>
      <c r="K62" s="6">
        <v>61800</v>
      </c>
      <c r="L62" s="6">
        <v>64200</v>
      </c>
      <c r="M62" s="6">
        <v>69340</v>
      </c>
      <c r="N62" s="6">
        <v>66200</v>
      </c>
      <c r="O62" s="6">
        <v>67300</v>
      </c>
      <c r="P62" s="6">
        <v>63460</v>
      </c>
      <c r="Q62" s="6">
        <v>62020</v>
      </c>
      <c r="R62" s="6">
        <v>60110</v>
      </c>
      <c r="S62" s="6">
        <v>57030</v>
      </c>
      <c r="T62" s="6">
        <v>54580</v>
      </c>
      <c r="U62" s="6">
        <v>51150</v>
      </c>
      <c r="V62" s="6">
        <v>49300</v>
      </c>
      <c r="W62" s="6">
        <v>50880</v>
      </c>
      <c r="X62" s="6">
        <v>56390</v>
      </c>
      <c r="Y62" s="6">
        <v>57460</v>
      </c>
      <c r="Z62" s="6">
        <v>54240</v>
      </c>
      <c r="AA62" s="6">
        <v>52760</v>
      </c>
      <c r="AB62" s="6">
        <v>54180</v>
      </c>
      <c r="AC62" s="6">
        <v>56350</v>
      </c>
      <c r="AD62" s="6">
        <v>50075</v>
      </c>
      <c r="AE62" s="6">
        <v>55010</v>
      </c>
      <c r="AF62" s="6">
        <v>56130</v>
      </c>
      <c r="AG62" s="6">
        <v>55730</v>
      </c>
      <c r="AH62" s="6">
        <v>58960</v>
      </c>
      <c r="AI62" s="6">
        <v>66830</v>
      </c>
      <c r="AJ62" s="6">
        <v>66400</v>
      </c>
      <c r="AK62" s="6">
        <v>67680</v>
      </c>
      <c r="AL62" s="6">
        <v>72030</v>
      </c>
      <c r="AM62" s="6">
        <v>80250</v>
      </c>
      <c r="AN62" s="6">
        <v>75640</v>
      </c>
      <c r="AO62" s="6">
        <v>85370</v>
      </c>
      <c r="AP62" s="6">
        <v>104400</v>
      </c>
      <c r="AQ62" s="6">
        <v>104940</v>
      </c>
      <c r="AR62" s="6">
        <v>107470</v>
      </c>
      <c r="AS62" s="6">
        <v>98400</v>
      </c>
      <c r="AT62" s="6">
        <v>73230</v>
      </c>
      <c r="AU62" s="6">
        <v>66620</v>
      </c>
      <c r="AV62" s="6">
        <v>65090</v>
      </c>
      <c r="AW62" s="179">
        <f>AVERAGE(D62:AV62)</f>
        <v>66662.888888888891</v>
      </c>
      <c r="BD62" s="364" t="str">
        <f t="shared" si="0"/>
        <v>Acetone Ex-Ahmedabad (India)</v>
      </c>
      <c r="BE62" s="605">
        <v>65090</v>
      </c>
    </row>
    <row r="63" spans="2:60" x14ac:dyDescent="0.25">
      <c r="C63" s="975" t="s">
        <v>161</v>
      </c>
      <c r="D63" s="975"/>
      <c r="E63" s="975"/>
      <c r="F63" s="975"/>
      <c r="G63" s="975"/>
      <c r="H63" s="975"/>
      <c r="I63" s="975"/>
      <c r="J63" s="975"/>
      <c r="K63" s="975"/>
      <c r="L63" s="975"/>
      <c r="M63" s="975"/>
      <c r="N63" s="975"/>
      <c r="O63" s="975"/>
      <c r="P63" s="975"/>
      <c r="Q63" s="975"/>
      <c r="R63" s="975"/>
      <c r="S63" s="975"/>
      <c r="T63" s="975"/>
      <c r="U63" s="975"/>
      <c r="V63" s="975"/>
      <c r="W63" s="975"/>
      <c r="X63" s="975"/>
      <c r="Y63" s="975"/>
      <c r="Z63" s="975"/>
      <c r="AA63" s="975"/>
      <c r="AB63" s="975"/>
      <c r="AC63" s="975"/>
      <c r="AD63" s="975"/>
      <c r="AE63" s="975"/>
      <c r="AF63" s="975"/>
      <c r="AG63" s="975"/>
      <c r="AH63" s="975"/>
      <c r="AI63" s="975"/>
      <c r="AJ63" s="975"/>
      <c r="AK63" s="975"/>
      <c r="AL63" s="975"/>
      <c r="AM63" s="975"/>
      <c r="AN63" s="975"/>
      <c r="AO63" s="975"/>
      <c r="AP63" s="975"/>
      <c r="AQ63" s="975"/>
      <c r="AR63" s="975"/>
      <c r="AS63" s="975"/>
      <c r="AT63" s="975"/>
      <c r="AU63" s="975"/>
      <c r="AV63" s="975"/>
      <c r="AW63" s="975"/>
      <c r="BD63" s="364" t="str">
        <f t="shared" si="0"/>
        <v>Phenol Prices India- (Data by Chemanalyst)</v>
      </c>
    </row>
    <row r="64" spans="2:60" ht="15.75" x14ac:dyDescent="0.25">
      <c r="C64" s="183" t="s">
        <v>160</v>
      </c>
      <c r="D64" s="183">
        <v>95670</v>
      </c>
      <c r="E64" s="183">
        <v>94470</v>
      </c>
      <c r="F64" s="183">
        <v>96500</v>
      </c>
      <c r="G64" s="183">
        <v>98700</v>
      </c>
      <c r="H64" s="183">
        <v>97560</v>
      </c>
      <c r="I64" s="183">
        <v>95400</v>
      </c>
      <c r="J64" s="183">
        <v>96320</v>
      </c>
      <c r="K64" s="183">
        <v>96320</v>
      </c>
      <c r="L64" s="183">
        <v>97240</v>
      </c>
      <c r="M64" s="183">
        <v>102840</v>
      </c>
      <c r="N64" s="183">
        <v>102400</v>
      </c>
      <c r="O64" s="183">
        <v>99300</v>
      </c>
      <c r="P64" s="183">
        <v>94680</v>
      </c>
      <c r="Q64" s="183">
        <v>91500</v>
      </c>
      <c r="R64" s="183">
        <v>88200</v>
      </c>
      <c r="S64" s="183">
        <v>87400</v>
      </c>
      <c r="T64" s="183">
        <v>85200</v>
      </c>
      <c r="U64" s="183">
        <v>83500</v>
      </c>
      <c r="V64" s="183">
        <v>83400</v>
      </c>
      <c r="W64" s="183">
        <v>79600</v>
      </c>
      <c r="X64" s="183">
        <v>80570</v>
      </c>
      <c r="Y64" s="183">
        <v>79300</v>
      </c>
      <c r="Z64" s="183">
        <v>75800</v>
      </c>
      <c r="AA64" s="183">
        <v>71250</v>
      </c>
      <c r="AB64" s="183">
        <v>76400</v>
      </c>
      <c r="AC64" s="183">
        <v>83500</v>
      </c>
      <c r="AD64" s="183">
        <v>81600</v>
      </c>
      <c r="AE64" s="183">
        <v>77800</v>
      </c>
      <c r="AF64" s="183">
        <v>77000</v>
      </c>
      <c r="AG64" s="183">
        <v>77650</v>
      </c>
      <c r="AH64" s="183">
        <v>79000</v>
      </c>
      <c r="AI64" s="183">
        <v>79200</v>
      </c>
      <c r="AJ64" s="183">
        <v>81000</v>
      </c>
      <c r="AK64" s="183">
        <v>80000</v>
      </c>
      <c r="AL64" s="183">
        <v>80600</v>
      </c>
      <c r="AM64" s="183">
        <v>85680</v>
      </c>
      <c r="AN64" s="183">
        <v>79080</v>
      </c>
      <c r="AO64" s="183">
        <v>85390</v>
      </c>
      <c r="AP64" s="183">
        <v>104190</v>
      </c>
      <c r="AQ64" s="183">
        <v>101680</v>
      </c>
      <c r="AR64" s="183">
        <v>104260</v>
      </c>
      <c r="AS64" s="183">
        <v>105810</v>
      </c>
      <c r="AT64" s="183">
        <v>114750</v>
      </c>
      <c r="AU64" s="183">
        <v>120930</v>
      </c>
      <c r="AV64" s="183">
        <v>121060</v>
      </c>
      <c r="AW64" s="179">
        <f>AVERAGE(D64:AV64)</f>
        <v>90437.777777777781</v>
      </c>
      <c r="BD64" s="364" t="str">
        <f t="shared" si="0"/>
        <v>Phenol  Ex-Dahej (India)</v>
      </c>
      <c r="BE64" s="606">
        <v>121060</v>
      </c>
    </row>
    <row r="65" spans="3:60" x14ac:dyDescent="0.25">
      <c r="BD65" s="364">
        <f t="shared" si="0"/>
        <v>0</v>
      </c>
    </row>
    <row r="66" spans="3:60" x14ac:dyDescent="0.25">
      <c r="C66" s="171" t="s">
        <v>348</v>
      </c>
      <c r="D66" s="392">
        <v>43101</v>
      </c>
      <c r="E66" s="392">
        <v>43132</v>
      </c>
      <c r="F66" s="392">
        <v>43160</v>
      </c>
      <c r="G66" s="392">
        <v>43191</v>
      </c>
      <c r="H66" s="392">
        <v>43221</v>
      </c>
      <c r="I66" s="392">
        <v>43252</v>
      </c>
      <c r="J66" s="392">
        <v>43282</v>
      </c>
      <c r="K66" s="392">
        <v>43313</v>
      </c>
      <c r="L66" s="392">
        <v>43344</v>
      </c>
      <c r="M66" s="392">
        <v>43374</v>
      </c>
      <c r="N66" s="392">
        <v>43405</v>
      </c>
      <c r="O66" s="392">
        <v>43435</v>
      </c>
      <c r="P66" s="392">
        <v>43466</v>
      </c>
      <c r="Q66" s="392">
        <v>43497</v>
      </c>
      <c r="R66" s="392">
        <v>43525</v>
      </c>
      <c r="S66" s="392">
        <v>43556</v>
      </c>
      <c r="T66" s="392">
        <v>43586</v>
      </c>
      <c r="U66" s="392">
        <v>43617</v>
      </c>
      <c r="V66" s="392">
        <v>43647</v>
      </c>
      <c r="W66" s="392">
        <v>43678</v>
      </c>
      <c r="X66" s="392">
        <v>43709</v>
      </c>
      <c r="Y66" s="392">
        <v>43739</v>
      </c>
      <c r="Z66" s="392">
        <v>43770</v>
      </c>
      <c r="AA66" s="392">
        <v>43800</v>
      </c>
      <c r="AB66" s="392">
        <v>43831</v>
      </c>
      <c r="AC66" s="392">
        <v>43862</v>
      </c>
      <c r="AD66" s="392">
        <v>43891</v>
      </c>
      <c r="AE66" s="392">
        <v>43922</v>
      </c>
      <c r="AF66" s="392">
        <v>43952</v>
      </c>
      <c r="AG66" s="392">
        <v>43983</v>
      </c>
      <c r="AH66" s="392">
        <v>44013</v>
      </c>
      <c r="AI66" s="392">
        <v>44044</v>
      </c>
      <c r="AJ66" s="392">
        <v>44075</v>
      </c>
      <c r="AK66" s="392">
        <v>44105</v>
      </c>
      <c r="AL66" s="392">
        <v>44136</v>
      </c>
      <c r="AM66" s="392">
        <v>44166</v>
      </c>
      <c r="AN66" s="392">
        <v>44197</v>
      </c>
      <c r="AO66" s="392">
        <v>44228</v>
      </c>
      <c r="AP66" s="392">
        <v>44256</v>
      </c>
      <c r="AQ66" s="392">
        <v>44287</v>
      </c>
      <c r="AR66" s="392">
        <v>44317</v>
      </c>
      <c r="AS66" s="392">
        <v>44348</v>
      </c>
      <c r="AT66" s="392">
        <v>44378</v>
      </c>
      <c r="AU66" s="392">
        <v>44409</v>
      </c>
      <c r="AV66" s="392">
        <v>44440</v>
      </c>
      <c r="AW66" s="389" t="s">
        <v>145</v>
      </c>
      <c r="BD66" s="364" t="str">
        <f t="shared" si="0"/>
        <v>FEED PRICES</v>
      </c>
      <c r="BE66" s="607">
        <v>44440</v>
      </c>
    </row>
    <row r="67" spans="3:60" x14ac:dyDescent="0.25">
      <c r="C67" s="390" t="s">
        <v>515</v>
      </c>
      <c r="D67" s="216">
        <v>588.71747803983283</v>
      </c>
      <c r="E67" s="216">
        <v>590.5166939044143</v>
      </c>
      <c r="F67" s="216">
        <v>697.78287680121571</v>
      </c>
      <c r="G67" s="216">
        <v>681.42454890166846</v>
      </c>
      <c r="H67" s="216">
        <v>532.3526503234558</v>
      </c>
      <c r="I67" s="216">
        <v>730.85571449593704</v>
      </c>
      <c r="J67" s="216">
        <v>820.83952969259474</v>
      </c>
      <c r="K67" s="216">
        <v>848.76389635213764</v>
      </c>
      <c r="L67" s="216">
        <v>855.08139761372263</v>
      </c>
      <c r="M67" s="216">
        <v>527.8315687615243</v>
      </c>
      <c r="N67" s="216">
        <v>471.73000011868834</v>
      </c>
      <c r="O67" s="216">
        <v>472.32823204179397</v>
      </c>
      <c r="P67" s="216">
        <v>485.42626573181502</v>
      </c>
      <c r="Q67" s="216">
        <v>473.45156542531328</v>
      </c>
      <c r="R67" s="216">
        <v>474.77449331991664</v>
      </c>
      <c r="S67" s="216">
        <v>500.52275091136357</v>
      </c>
      <c r="T67" s="216">
        <v>498.62795398097768</v>
      </c>
      <c r="U67" s="216">
        <v>504.14172973696628</v>
      </c>
      <c r="V67" s="216">
        <v>508.72936665809738</v>
      </c>
      <c r="W67" s="216">
        <v>523.61636871898418</v>
      </c>
      <c r="X67" s="216">
        <v>500.36000004283744</v>
      </c>
      <c r="Y67" s="216">
        <v>466.0347425271932</v>
      </c>
      <c r="Z67" s="216">
        <v>465.93751661043797</v>
      </c>
      <c r="AA67" s="216">
        <v>473.43695153748098</v>
      </c>
      <c r="AB67" s="216">
        <v>485.07790171480923</v>
      </c>
      <c r="AC67" s="216">
        <v>491.94148646081072</v>
      </c>
      <c r="AD67" s="216">
        <v>478.00000032326852</v>
      </c>
      <c r="AE67" s="216">
        <v>419.17000060293611</v>
      </c>
      <c r="AF67" s="216">
        <v>424.15999967242971</v>
      </c>
      <c r="AG67" s="216">
        <v>433.9918654607971</v>
      </c>
      <c r="AH67" s="216">
        <v>422.8099998265464</v>
      </c>
      <c r="AI67" s="216">
        <v>431.71774172522294</v>
      </c>
      <c r="AJ67" s="216">
        <v>446.67492597593485</v>
      </c>
      <c r="AK67" s="216">
        <v>387.22429350629227</v>
      </c>
      <c r="AL67" s="216">
        <v>373.93378285309001</v>
      </c>
      <c r="AM67" s="216">
        <v>398.59872219785996</v>
      </c>
      <c r="AN67" s="216">
        <v>382.97957857159861</v>
      </c>
      <c r="AO67" s="216">
        <v>394.25686870691135</v>
      </c>
      <c r="AP67" s="216">
        <v>397.41889127123829</v>
      </c>
      <c r="AQ67" s="216">
        <v>389.46177620250131</v>
      </c>
      <c r="AR67" s="216">
        <v>394.68561667610368</v>
      </c>
      <c r="AS67" s="216">
        <v>392.87951437789502</v>
      </c>
      <c r="AT67" s="216">
        <v>397.67757430152795</v>
      </c>
      <c r="AU67" s="216">
        <v>383.1864303433241</v>
      </c>
      <c r="AV67" s="216">
        <v>384.75592293798354</v>
      </c>
      <c r="AW67" s="179">
        <f t="shared" ref="AW67:AW72" si="17">AVERAGE(D67:AV67)</f>
        <v>497.86415968794341</v>
      </c>
      <c r="BD67" s="364" t="str">
        <f t="shared" si="0"/>
        <v>Ethane Weighted Average Prices (INR/MMBTU)</v>
      </c>
      <c r="BE67" s="179">
        <f t="shared" ref="BE67:BE72" si="18">AW67</f>
        <v>497.86415968794341</v>
      </c>
    </row>
    <row r="68" spans="3:60" x14ac:dyDescent="0.25">
      <c r="C68" s="390" t="s">
        <v>516</v>
      </c>
      <c r="D68" s="216">
        <v>28994.924777010401</v>
      </c>
      <c r="E68" s="216">
        <v>29083.53795837006</v>
      </c>
      <c r="F68" s="216">
        <v>34366.504780699324</v>
      </c>
      <c r="G68" s="216">
        <v>33560.84076592559</v>
      </c>
      <c r="H68" s="216">
        <v>26218.900621677058</v>
      </c>
      <c r="I68" s="216">
        <v>35995.3751249493</v>
      </c>
      <c r="J68" s="216">
        <v>40427.168047868036</v>
      </c>
      <c r="K68" s="216">
        <v>41802.471042837584</v>
      </c>
      <c r="L68" s="216">
        <v>42113.614300327099</v>
      </c>
      <c r="M68" s="216">
        <v>25996.232831627069</v>
      </c>
      <c r="N68" s="216">
        <v>23233.174449043679</v>
      </c>
      <c r="O68" s="216">
        <v>23262.637969758925</v>
      </c>
      <c r="P68" s="216">
        <v>23907.7292329458</v>
      </c>
      <c r="Q68" s="216">
        <v>23317.963262738322</v>
      </c>
      <c r="R68" s="216">
        <v>23383.118785073329</v>
      </c>
      <c r="S68" s="216">
        <v>24651.246231346595</v>
      </c>
      <c r="T68" s="216">
        <v>24557.925586871806</v>
      </c>
      <c r="U68" s="216">
        <v>24829.484559121953</v>
      </c>
      <c r="V68" s="216">
        <v>25055.43026719796</v>
      </c>
      <c r="W68" s="216">
        <v>25788.630012426867</v>
      </c>
      <c r="X68" s="216">
        <v>24643.230588247261</v>
      </c>
      <c r="Y68" s="216">
        <v>22952.67731483098</v>
      </c>
      <c r="Z68" s="216">
        <v>22947.88884116093</v>
      </c>
      <c r="AA68" s="216">
        <v>23317.24351414209</v>
      </c>
      <c r="AB68" s="216">
        <v>23890.571956586806</v>
      </c>
      <c r="AC68" s="216">
        <v>24228.610372014118</v>
      </c>
      <c r="AD68" s="216">
        <v>23541.978231953181</v>
      </c>
      <c r="AE68" s="216">
        <v>20644.541889138898</v>
      </c>
      <c r="AF68" s="216">
        <v>20890.304335565754</v>
      </c>
      <c r="AG68" s="216">
        <v>21374.533561952143</v>
      </c>
      <c r="AH68" s="216">
        <v>20823.815492546022</v>
      </c>
      <c r="AI68" s="216">
        <v>21262.530692823591</v>
      </c>
      <c r="AJ68" s="216">
        <v>21999.186981115297</v>
      </c>
      <c r="AK68" s="216">
        <v>19071.183854484243</v>
      </c>
      <c r="AL68" s="216">
        <v>18416.612908296738</v>
      </c>
      <c r="AM68" s="216">
        <v>19631.38584711331</v>
      </c>
      <c r="AN68" s="216">
        <v>18862.12739731725</v>
      </c>
      <c r="AO68" s="216">
        <v>19417.545218868301</v>
      </c>
      <c r="AP68" s="216">
        <v>19573.277993613043</v>
      </c>
      <c r="AQ68" s="216">
        <v>19181.382115766464</v>
      </c>
      <c r="AR68" s="216">
        <v>19438.661485292767</v>
      </c>
      <c r="AS68" s="216">
        <v>19349.709140187424</v>
      </c>
      <c r="AT68" s="216">
        <v>19586.01839165475</v>
      </c>
      <c r="AU68" s="216">
        <v>18872.315054019989</v>
      </c>
      <c r="AV68" s="216">
        <v>18949.614134508891</v>
      </c>
      <c r="AW68" s="179">
        <f t="shared" si="17"/>
        <v>24520.30795380038</v>
      </c>
      <c r="BD68" s="364" t="str">
        <f t="shared" si="0"/>
        <v>Ethane Weighted Average Prices (INR/MT)</v>
      </c>
      <c r="BE68" s="179">
        <f t="shared" si="18"/>
        <v>24520.30795380038</v>
      </c>
      <c r="BH68" s="362"/>
    </row>
    <row r="69" spans="3:60" x14ac:dyDescent="0.25">
      <c r="C69" s="390" t="s">
        <v>517</v>
      </c>
      <c r="D69" s="216">
        <v>39267.73976152447</v>
      </c>
      <c r="E69" s="216">
        <v>35320.99284552411</v>
      </c>
      <c r="F69" s="216">
        <v>32642.643561859699</v>
      </c>
      <c r="G69" s="216">
        <v>32591.713857151481</v>
      </c>
      <c r="H69" s="216">
        <v>35322.25032773053</v>
      </c>
      <c r="I69" s="216">
        <v>39703.969071957552</v>
      </c>
      <c r="J69" s="216">
        <v>39873.279388030664</v>
      </c>
      <c r="K69" s="216">
        <v>42186.838343884381</v>
      </c>
      <c r="L69" s="216">
        <v>45353.692547267237</v>
      </c>
      <c r="M69" s="216">
        <v>50421.563709397698</v>
      </c>
      <c r="N69" s="216">
        <v>40583.378652357023</v>
      </c>
      <c r="O69" s="216">
        <v>32948.17063043618</v>
      </c>
      <c r="P69" s="216">
        <v>31831.243798285665</v>
      </c>
      <c r="Q69" s="216">
        <v>32775.625890130817</v>
      </c>
      <c r="R69" s="216">
        <v>35603.026406517805</v>
      </c>
      <c r="S69" s="216">
        <v>37413.346401247443</v>
      </c>
      <c r="T69" s="216">
        <v>38313.43145419551</v>
      </c>
      <c r="U69" s="216">
        <v>31229.255203616198</v>
      </c>
      <c r="V69" s="216">
        <v>26987.793742556612</v>
      </c>
      <c r="W69" s="216">
        <v>27502.94958707604</v>
      </c>
      <c r="X69" s="216">
        <v>26129.656129075174</v>
      </c>
      <c r="Y69" s="216">
        <v>31204.144072500429</v>
      </c>
      <c r="Z69" s="216">
        <v>32130.775456387943</v>
      </c>
      <c r="AA69" s="216">
        <v>32763.935287141259</v>
      </c>
      <c r="AB69" s="216">
        <v>42146.917092812088</v>
      </c>
      <c r="AC69" s="216">
        <v>37776.741118253449</v>
      </c>
      <c r="AD69" s="216">
        <v>33392.157412302018</v>
      </c>
      <c r="AE69" s="216">
        <v>18333.270191784217</v>
      </c>
      <c r="AF69" s="216">
        <v>26907.499996889728</v>
      </c>
      <c r="AG69" s="216">
        <v>27733.582571128205</v>
      </c>
      <c r="AH69" s="216">
        <v>28238.348704213</v>
      </c>
      <c r="AI69" s="216">
        <v>28510.385603307008</v>
      </c>
      <c r="AJ69" s="216">
        <v>28060.277302456198</v>
      </c>
      <c r="AK69" s="216">
        <v>28820.536895295158</v>
      </c>
      <c r="AL69" s="216">
        <v>33404.388819080297</v>
      </c>
      <c r="AM69" s="216">
        <v>34644.168688458158</v>
      </c>
      <c r="AN69" s="216">
        <v>42078.873462612726</v>
      </c>
      <c r="AO69" s="216">
        <v>46073.542822435593</v>
      </c>
      <c r="AP69" s="216">
        <v>47621.606524213996</v>
      </c>
      <c r="AQ69" s="216">
        <v>43640.112363280605</v>
      </c>
      <c r="AR69" s="216">
        <v>37985.33224426135</v>
      </c>
      <c r="AS69" s="216">
        <v>40810.0621081149</v>
      </c>
      <c r="AT69" s="216">
        <v>48277.341437526047</v>
      </c>
      <c r="AU69" s="216">
        <v>51157.210854820602</v>
      </c>
      <c r="AV69" s="216">
        <v>51107.125769928265</v>
      </c>
      <c r="AW69" s="179">
        <f t="shared" si="17"/>
        <v>36151.575513533899</v>
      </c>
      <c r="BD69" s="364" t="str">
        <f t="shared" si="0"/>
        <v>Propane Weighted Average Prices (INR/MT)</v>
      </c>
      <c r="BE69" s="179">
        <f t="shared" si="18"/>
        <v>36151.575513533899</v>
      </c>
    </row>
    <row r="70" spans="3:60" x14ac:dyDescent="0.25">
      <c r="C70" s="390" t="s">
        <v>518</v>
      </c>
      <c r="D70" s="216">
        <v>37934.865946679616</v>
      </c>
      <c r="E70" s="216">
        <v>33977.640442957862</v>
      </c>
      <c r="F70" s="216">
        <v>31621.932879798373</v>
      </c>
      <c r="G70" s="216">
        <v>32245.619069523007</v>
      </c>
      <c r="H70" s="216">
        <v>35684.70245863789</v>
      </c>
      <c r="I70" s="216">
        <v>39729.847125147098</v>
      </c>
      <c r="J70" s="216">
        <v>40952.16644234657</v>
      </c>
      <c r="K70" s="216">
        <v>43265.008516764698</v>
      </c>
      <c r="L70" s="216">
        <v>47988.175639430039</v>
      </c>
      <c r="M70" s="216">
        <v>50433.177687914897</v>
      </c>
      <c r="N70" s="216">
        <v>39526.941750297483</v>
      </c>
      <c r="O70" s="216">
        <v>30706.727022092222</v>
      </c>
      <c r="P70" s="216">
        <v>31116.496307792124</v>
      </c>
      <c r="Q70" s="216">
        <v>35009.966798561858</v>
      </c>
      <c r="R70" s="216">
        <v>37788.034281404027</v>
      </c>
      <c r="S70" s="216">
        <v>38867.056236388496</v>
      </c>
      <c r="T70" s="216">
        <v>38678.266268318395</v>
      </c>
      <c r="U70" s="216">
        <v>30138.909034848981</v>
      </c>
      <c r="V70" s="216">
        <v>25548.609383721534</v>
      </c>
      <c r="W70" s="216">
        <v>26760.845915432019</v>
      </c>
      <c r="X70" s="216">
        <v>26872.996097798805</v>
      </c>
      <c r="Y70" s="216">
        <v>32318.693176917925</v>
      </c>
      <c r="Z70" s="216">
        <v>33253.389942674119</v>
      </c>
      <c r="AA70" s="216">
        <v>33880.879188109247</v>
      </c>
      <c r="AB70" s="216">
        <v>44015.264630194491</v>
      </c>
      <c r="AC70" s="216">
        <v>40776.774414982094</v>
      </c>
      <c r="AD70" s="216">
        <v>37265.269327664537</v>
      </c>
      <c r="AE70" s="216">
        <v>19125.668604651164</v>
      </c>
      <c r="AF70" s="216">
        <v>26903.941500000001</v>
      </c>
      <c r="AG70" s="216">
        <v>26159.661614028053</v>
      </c>
      <c r="AH70" s="216">
        <v>26674.737698603414</v>
      </c>
      <c r="AI70" s="216">
        <v>26951.072804257299</v>
      </c>
      <c r="AJ70" s="216">
        <v>27292.749632570878</v>
      </c>
      <c r="AK70" s="216">
        <v>29207.059319259082</v>
      </c>
      <c r="AL70" s="216">
        <v>34185.03825123742</v>
      </c>
      <c r="AM70" s="216">
        <v>35409.408776058146</v>
      </c>
      <c r="AN70" s="216">
        <v>40548.590675430503</v>
      </c>
      <c r="AO70" s="216">
        <v>44551.491526971819</v>
      </c>
      <c r="AP70" s="216">
        <v>45328.551547510528</v>
      </c>
      <c r="AQ70" s="216">
        <v>41304.84915769448</v>
      </c>
      <c r="AR70" s="216">
        <v>36449.953636561011</v>
      </c>
      <c r="AS70" s="216">
        <v>40423.343654069329</v>
      </c>
      <c r="AT70" s="216">
        <v>48277.23010084885</v>
      </c>
      <c r="AU70" s="216">
        <v>50779.51102849115</v>
      </c>
      <c r="AV70" s="216">
        <v>51112.515377978409</v>
      </c>
      <c r="AW70" s="179">
        <f t="shared" si="17"/>
        <v>36156.525130947113</v>
      </c>
      <c r="BD70" s="364" t="str">
        <f t="shared" ref="BD70:BD106" si="19">C70</f>
        <v>Butane Weighted Average Prices (INR/MT)</v>
      </c>
      <c r="BE70" s="179">
        <f t="shared" si="18"/>
        <v>36156.525130947113</v>
      </c>
    </row>
    <row r="71" spans="3:60" x14ac:dyDescent="0.25">
      <c r="C71" s="390" t="s">
        <v>519</v>
      </c>
      <c r="D71" s="216">
        <v>37468.917824886834</v>
      </c>
      <c r="E71" s="216">
        <v>34979.7952647251</v>
      </c>
      <c r="F71" s="216">
        <v>36995.226789598193</v>
      </c>
      <c r="G71" s="216">
        <v>38411.434700802383</v>
      </c>
      <c r="H71" s="216">
        <v>43077.696672195132</v>
      </c>
      <c r="I71" s="216">
        <v>42339.113972658684</v>
      </c>
      <c r="J71" s="216">
        <v>44176.800315880733</v>
      </c>
      <c r="K71" s="216">
        <v>45449.873001355765</v>
      </c>
      <c r="L71" s="216">
        <v>48374.835244225556</v>
      </c>
      <c r="M71" s="216">
        <v>49736.488507928807</v>
      </c>
      <c r="N71" s="216">
        <v>36558.702058330193</v>
      </c>
      <c r="O71" s="216">
        <v>31387.522192377604</v>
      </c>
      <c r="P71" s="216">
        <v>31954.700264411553</v>
      </c>
      <c r="Q71" s="216">
        <v>35488.590056570771</v>
      </c>
      <c r="R71" s="216">
        <v>37151.720463657031</v>
      </c>
      <c r="S71" s="216">
        <v>40224.487971509581</v>
      </c>
      <c r="T71" s="216">
        <v>39776.808056372938</v>
      </c>
      <c r="U71" s="216">
        <v>32806.091323106572</v>
      </c>
      <c r="V71" s="216">
        <v>34852.034397102398</v>
      </c>
      <c r="W71" s="216">
        <v>32743.412011815777</v>
      </c>
      <c r="X71" s="216">
        <v>33941.49447086802</v>
      </c>
      <c r="Y71" s="216">
        <v>36161.070807658274</v>
      </c>
      <c r="Z71" s="216">
        <v>36208.29768815585</v>
      </c>
      <c r="AA71" s="216">
        <v>39212.402929615775</v>
      </c>
      <c r="AB71" s="216">
        <v>38005.50999905145</v>
      </c>
      <c r="AC71" s="216">
        <v>33948.919195272174</v>
      </c>
      <c r="AD71" s="216">
        <v>21830.230520384102</v>
      </c>
      <c r="AE71" s="216">
        <v>41618.000025444984</v>
      </c>
      <c r="AF71" s="216">
        <v>36293.110003071568</v>
      </c>
      <c r="AG71" s="216">
        <v>40230.560009202418</v>
      </c>
      <c r="AH71" s="216">
        <v>28984.506728422391</v>
      </c>
      <c r="AI71" s="216">
        <v>29296.224637839514</v>
      </c>
      <c r="AJ71" s="216">
        <v>28071.268352741423</v>
      </c>
      <c r="AK71" s="216">
        <v>23219.340304109319</v>
      </c>
      <c r="AL71" s="216">
        <v>27680.138169883663</v>
      </c>
      <c r="AM71" s="216">
        <v>31896.526510107997</v>
      </c>
      <c r="AN71" s="216">
        <v>36352.617012931434</v>
      </c>
      <c r="AO71" s="216">
        <v>40134.773482798308</v>
      </c>
      <c r="AP71" s="216">
        <v>42943.647213612938</v>
      </c>
      <c r="AQ71" s="216">
        <v>41061.486307385807</v>
      </c>
      <c r="AR71" s="216">
        <v>43266.069260132143</v>
      </c>
      <c r="AS71" s="216">
        <v>46764.427300723</v>
      </c>
      <c r="AT71" s="216">
        <v>49848.163616800543</v>
      </c>
      <c r="AU71" s="216">
        <v>47958.871071535585</v>
      </c>
      <c r="AV71" s="216">
        <v>49198.016422217115</v>
      </c>
      <c r="AW71" s="179">
        <f t="shared" si="17"/>
        <v>37735.109402877279</v>
      </c>
      <c r="BD71" s="364" t="str">
        <f t="shared" si="19"/>
        <v>Naphtha Weighted Average Prices (INR/MT)</v>
      </c>
      <c r="BE71" s="179">
        <f t="shared" si="18"/>
        <v>37735.109402877279</v>
      </c>
    </row>
    <row r="72" spans="3:60" x14ac:dyDescent="0.25">
      <c r="C72" s="391" t="s">
        <v>349</v>
      </c>
      <c r="D72" s="216">
        <v>527</v>
      </c>
      <c r="E72" s="216">
        <v>725</v>
      </c>
      <c r="F72" s="216">
        <v>731</v>
      </c>
      <c r="G72" s="216">
        <v>683.35192411641094</v>
      </c>
      <c r="H72" s="216">
        <v>727.45879248730159</v>
      </c>
      <c r="I72" s="216">
        <v>790.46535767833188</v>
      </c>
      <c r="J72" s="216">
        <v>835.82228336641663</v>
      </c>
      <c r="K72" s="216">
        <v>855.64779771974872</v>
      </c>
      <c r="L72" s="216">
        <v>831.01152604586082</v>
      </c>
      <c r="M72" s="216">
        <v>894.32305357357711</v>
      </c>
      <c r="N72" s="216">
        <v>848.00352710543211</v>
      </c>
      <c r="O72" s="216">
        <v>762.53950609685091</v>
      </c>
      <c r="P72" s="216">
        <v>747.97322905859232</v>
      </c>
      <c r="Q72" s="216">
        <v>816.24945468112071</v>
      </c>
      <c r="R72" s="216">
        <v>713.84568622483982</v>
      </c>
      <c r="S72" s="216">
        <v>547.77</v>
      </c>
      <c r="T72" s="216">
        <v>505.25</v>
      </c>
      <c r="U72" s="216">
        <v>522.21</v>
      </c>
      <c r="V72" s="216">
        <v>559.08000000000004</v>
      </c>
      <c r="W72" s="216">
        <v>496.47</v>
      </c>
      <c r="X72" s="216">
        <v>463.19</v>
      </c>
      <c r="Y72" s="216">
        <v>620.35</v>
      </c>
      <c r="Z72" s="216">
        <v>540.62</v>
      </c>
      <c r="AA72" s="216">
        <v>605.28</v>
      </c>
      <c r="AB72" s="216">
        <v>485.79</v>
      </c>
      <c r="AC72" s="216">
        <v>478.65</v>
      </c>
      <c r="AD72" s="216">
        <v>313.06</v>
      </c>
      <c r="AE72" s="216">
        <v>546.95000000000005</v>
      </c>
      <c r="AF72" s="216">
        <v>498.46</v>
      </c>
      <c r="AG72" s="216">
        <v>285.66000000000003</v>
      </c>
      <c r="AH72" s="216">
        <v>264.85000000000002</v>
      </c>
      <c r="AI72" s="216">
        <v>334.58</v>
      </c>
      <c r="AJ72" s="216">
        <v>410.09</v>
      </c>
      <c r="AK72" s="216">
        <v>471.71</v>
      </c>
      <c r="AL72" s="216">
        <v>532.29999999999995</v>
      </c>
      <c r="AM72" s="216">
        <v>588.39</v>
      </c>
      <c r="AN72" s="216">
        <v>675.69</v>
      </c>
      <c r="AO72" s="216">
        <v>872.05</v>
      </c>
      <c r="AP72" s="216">
        <v>766.06</v>
      </c>
      <c r="AQ72" s="216">
        <v>565.04999999999995</v>
      </c>
      <c r="AR72" s="216">
        <v>567.25</v>
      </c>
      <c r="AS72" s="216">
        <v>619.33000000000004</v>
      </c>
      <c r="AT72" s="216">
        <v>708.17</v>
      </c>
      <c r="AU72" s="216">
        <v>868.98</v>
      </c>
      <c r="AV72" s="216">
        <v>938.53</v>
      </c>
      <c r="AW72" s="179">
        <f t="shared" si="17"/>
        <v>625.36693640343299</v>
      </c>
      <c r="BD72" s="364" t="str">
        <f t="shared" si="19"/>
        <v>LNGas Cost Rs/MMBTU)</v>
      </c>
      <c r="BE72" s="179">
        <f t="shared" si="18"/>
        <v>625.36693640343299</v>
      </c>
    </row>
    <row r="73" spans="3:60" x14ac:dyDescent="0.25">
      <c r="BD73" s="364">
        <f t="shared" si="19"/>
        <v>0</v>
      </c>
    </row>
    <row r="74" spans="3:60" x14ac:dyDescent="0.25">
      <c r="C74" s="390" t="s">
        <v>574</v>
      </c>
      <c r="D74" s="6">
        <f>VLOOKUP('Prices and Cost of Production'!D66,'USD to INR'!$B$2:$G$560,6,TRUE)</f>
        <v>63.34</v>
      </c>
      <c r="E74" s="6">
        <f>VLOOKUP('Prices and Cost of Production'!E66,'USD to INR'!$B$2:$G$560,6,TRUE)</f>
        <v>64.13</v>
      </c>
      <c r="F74" s="6">
        <f>VLOOKUP('Prices and Cost of Production'!F66,'USD to INR'!$B$2:$G$560,6,TRUE)</f>
        <v>65.22</v>
      </c>
      <c r="G74" s="6">
        <f>VLOOKUP('Prices and Cost of Production'!G66,'USD to INR'!$B$2:$G$560,6,TRUE)</f>
        <v>64.930000000000007</v>
      </c>
      <c r="H74" s="6">
        <f>VLOOKUP('Prices and Cost of Production'!H66,'USD to INR'!$B$2:$G$560,6,TRUE)</f>
        <v>66.819999999999993</v>
      </c>
      <c r="I74" s="6">
        <f>VLOOKUP('Prices and Cost of Production'!I66,'USD to INR'!$B$2:$G$560,6,TRUE)</f>
        <v>66.995000000000005</v>
      </c>
      <c r="J74" s="6">
        <f>VLOOKUP('Prices and Cost of Production'!J66,'USD to INR'!$B$2:$G$560,6,TRUE)</f>
        <v>68.805000000000007</v>
      </c>
      <c r="K74" s="6">
        <f>VLOOKUP('Prices and Cost of Production'!K66,'USD to INR'!$B$2:$G$560,6,TRUE)</f>
        <v>68.545000000000002</v>
      </c>
      <c r="L74" s="6">
        <f>VLOOKUP('Prices and Cost of Production'!L66,'USD to INR'!$B$2:$G$560,6,TRUE)</f>
        <v>71.004999999999995</v>
      </c>
      <c r="M74" s="6">
        <f>VLOOKUP('Prices and Cost of Production'!M66,'USD to INR'!$B$2:$G$560,6,TRUE)</f>
        <v>73.77</v>
      </c>
      <c r="N74" s="6">
        <f>VLOOKUP('Prices and Cost of Production'!N66,'USD to INR'!$B$2:$G$560,6,TRUE)</f>
        <v>72.44</v>
      </c>
      <c r="O74" s="6">
        <f>VLOOKUP('Prices and Cost of Production'!O66,'USD to INR'!$B$2:$G$560,6,TRUE)</f>
        <v>69.650000000000006</v>
      </c>
      <c r="P74" s="6">
        <f>VLOOKUP('Prices and Cost of Production'!P66,'USD to INR'!$B$2:$G$560,6,TRUE)</f>
        <v>69.55</v>
      </c>
      <c r="Q74" s="6">
        <f>VLOOKUP('Prices and Cost of Production'!Q66,'USD to INR'!$B$2:$G$560,6,TRUE)</f>
        <v>71.435000000000002</v>
      </c>
      <c r="R74" s="6">
        <f>VLOOKUP('Prices and Cost of Production'!R66,'USD to INR'!$B$2:$G$560,6,TRUE)</f>
        <v>71</v>
      </c>
      <c r="S74" s="6">
        <f>VLOOKUP('Prices and Cost of Production'!S66,'USD to INR'!$B$2:$G$560,6,TRUE)</f>
        <v>69.17</v>
      </c>
      <c r="T74" s="6">
        <f>VLOOKUP('Prices and Cost of Production'!T66,'USD to INR'!$B$2:$G$560,6,TRUE)</f>
        <v>69.094999999999999</v>
      </c>
      <c r="U74" s="6">
        <f>VLOOKUP('Prices and Cost of Production'!U66,'USD to INR'!$B$2:$G$560,6,TRUE)</f>
        <v>69.58</v>
      </c>
      <c r="V74" s="6">
        <f>VLOOKUP('Prices and Cost of Production'!V66,'USD to INR'!$B$2:$G$560,6,TRUE)</f>
        <v>68.45</v>
      </c>
      <c r="W74" s="6">
        <f>VLOOKUP('Prices and Cost of Production'!W66,'USD to INR'!$B$2:$G$560,6,TRUE)</f>
        <v>69.7</v>
      </c>
      <c r="X74" s="6">
        <f>VLOOKUP('Prices and Cost of Production'!X66,'USD to INR'!$B$2:$G$560,6,TRUE)</f>
        <v>71.644999999999996</v>
      </c>
      <c r="Y74" s="6">
        <f>VLOOKUP('Prices and Cost of Production'!Y66,'USD to INR'!$B$2:$G$560,6,TRUE)</f>
        <v>70.825000000000003</v>
      </c>
      <c r="Z74" s="6">
        <f>VLOOKUP('Prices and Cost of Production'!Z66,'USD to INR'!$B$2:$G$560,6,TRUE)</f>
        <v>70.760000000000005</v>
      </c>
      <c r="AA74" s="6">
        <f>VLOOKUP('Prices and Cost of Production'!AA66,'USD to INR'!$B$2:$G$560,6,TRUE)</f>
        <v>71.283000000000001</v>
      </c>
      <c r="AB74" s="6">
        <f>VLOOKUP('Prices and Cost of Production'!AB66,'USD to INR'!$B$2:$G$560,6,TRUE)</f>
        <v>71.77</v>
      </c>
      <c r="AC74" s="6">
        <f>VLOOKUP('Prices and Cost of Production'!AC66,'USD to INR'!$B$2:$G$560,6,TRUE)</f>
        <v>71.555000000000007</v>
      </c>
      <c r="AD74" s="6">
        <f>VLOOKUP('Prices and Cost of Production'!AD66,'USD to INR'!$B$2:$G$560,6,TRUE)</f>
        <v>74.004000000000005</v>
      </c>
      <c r="AE74" s="6">
        <f>VLOOKUP('Prices and Cost of Production'!AE66,'USD to INR'!$B$2:$G$560,6,TRUE)</f>
        <v>76.241</v>
      </c>
      <c r="AF74" s="6">
        <f>VLOOKUP('Prices and Cost of Production'!AF66,'USD to INR'!$B$2:$G$560,6,TRUE)</f>
        <v>75.748999999999995</v>
      </c>
      <c r="AG74" s="6">
        <f>VLOOKUP('Prices and Cost of Production'!AG66,'USD to INR'!$B$2:$G$560,6,TRUE)</f>
        <v>75.56</v>
      </c>
      <c r="AH74" s="6">
        <f>VLOOKUP('Prices and Cost of Production'!AH66,'USD to INR'!$B$2:$G$560,6,TRUE)</f>
        <v>74.635999999999996</v>
      </c>
      <c r="AI74" s="6">
        <f>VLOOKUP('Prices and Cost of Production'!AI66,'USD to INR'!$B$2:$G$560,6,TRUE)</f>
        <v>74.915999999999997</v>
      </c>
      <c r="AJ74" s="6">
        <f>VLOOKUP('Prices and Cost of Production'!AJ66,'USD to INR'!$B$2:$G$560,6,TRUE)</f>
        <v>73.289000000000001</v>
      </c>
      <c r="AK74" s="6">
        <f>VLOOKUP('Prices and Cost of Production'!AK66,'USD to INR'!$B$2:$G$560,6,TRUE)</f>
        <v>73.290000000000006</v>
      </c>
      <c r="AL74" s="6">
        <f>VLOOKUP('Prices and Cost of Production'!AL66,'USD to INR'!$B$2:$G$560,6,TRUE)</f>
        <v>73.974000000000004</v>
      </c>
      <c r="AM74" s="6">
        <f>VLOOKUP('Prices and Cost of Production'!AM66,'USD to INR'!$B$2:$G$560,6,TRUE)</f>
        <v>73.757000000000005</v>
      </c>
      <c r="AN74" s="6">
        <f>VLOOKUP('Prices and Cost of Production'!AN66,'USD to INR'!$B$2:$G$560,6,TRUE)</f>
        <v>73.12</v>
      </c>
      <c r="AO74" s="6">
        <f>VLOOKUP('Prices and Cost of Production'!AO66,'USD to INR'!$B$2:$G$560,6,TRUE)</f>
        <v>72.81</v>
      </c>
      <c r="AP74" s="6">
        <f>VLOOKUP('Prices and Cost of Production'!AP66,'USD to INR'!$B$2:$G$560,6,TRUE)</f>
        <v>73.180000000000007</v>
      </c>
      <c r="AQ74" s="6">
        <f>VLOOKUP('Prices and Cost of Production'!AQ66,'USD to INR'!$B$2:$G$560,6,TRUE)</f>
        <v>73.37</v>
      </c>
      <c r="AR74" s="6">
        <f>VLOOKUP('Prices and Cost of Production'!AR66,'USD to INR'!$B$2:$G$560,6,TRUE)</f>
        <v>74.05</v>
      </c>
      <c r="AS74" s="6">
        <f>VLOOKUP('Prices and Cost of Production'!AS66,'USD to INR'!$B$2:$G$560,6,TRUE)</f>
        <v>72.86</v>
      </c>
      <c r="AT74" s="6">
        <f>VLOOKUP('Prices and Cost of Production'!AT66,'USD to INR'!$B$2:$G$560,6,TRUE)</f>
        <v>74.512</v>
      </c>
      <c r="AU74" s="6">
        <f>VLOOKUP('Prices and Cost of Production'!AU66,'USD to INR'!$B$2:$G$560,6,TRUE)</f>
        <v>74.239999999999995</v>
      </c>
      <c r="AV74" s="6">
        <f>VLOOKUP('Prices and Cost of Production'!AV66,'USD to INR'!$B$2:$G$560,6,TRUE)</f>
        <v>72.981999999999999</v>
      </c>
      <c r="AW74" s="179"/>
      <c r="BD74" s="364" t="str">
        <f t="shared" si="19"/>
        <v>USD rate in INR</v>
      </c>
      <c r="BE74" s="605">
        <v>75</v>
      </c>
    </row>
    <row r="75" spans="3:60" s="362" customFormat="1" x14ac:dyDescent="0.25">
      <c r="C75" s="8" t="s">
        <v>508</v>
      </c>
      <c r="D75" s="542">
        <f>SUM(D76:D81)</f>
        <v>60345.856387142492</v>
      </c>
      <c r="E75" s="542">
        <f t="shared" ref="E75:AV75" si="20">SUM(E76:E81)</f>
        <v>60842.637728234738</v>
      </c>
      <c r="F75" s="542">
        <f t="shared" si="20"/>
        <v>55875.527313534309</v>
      </c>
      <c r="G75" s="542">
        <f t="shared" si="20"/>
        <v>64406.853450541064</v>
      </c>
      <c r="H75" s="542">
        <f t="shared" si="20"/>
        <v>69659.714879312873</v>
      </c>
      <c r="I75" s="542">
        <f t="shared" si="20"/>
        <v>69446.830282341209</v>
      </c>
      <c r="J75" s="542">
        <f t="shared" si="20"/>
        <v>73171.552041035175</v>
      </c>
      <c r="K75" s="542">
        <f t="shared" si="20"/>
        <v>74693.027771879802</v>
      </c>
      <c r="L75" s="542">
        <f t="shared" si="20"/>
        <v>73931.730431512609</v>
      </c>
      <c r="M75" s="542">
        <f t="shared" si="20"/>
        <v>74032.609624324323</v>
      </c>
      <c r="N75" s="542">
        <f t="shared" si="20"/>
        <v>72558.522260784623</v>
      </c>
      <c r="O75" s="542">
        <f t="shared" si="20"/>
        <v>67754.133030493744</v>
      </c>
      <c r="P75" s="542">
        <f t="shared" si="20"/>
        <v>60780.619723966935</v>
      </c>
      <c r="Q75" s="542">
        <f t="shared" si="20"/>
        <v>58042.331101135678</v>
      </c>
      <c r="R75" s="542">
        <f t="shared" si="20"/>
        <v>58858.195472875399</v>
      </c>
      <c r="S75" s="542">
        <f t="shared" si="20"/>
        <v>58949.854868456045</v>
      </c>
      <c r="T75" s="542">
        <f t="shared" si="20"/>
        <v>61861.305386974171</v>
      </c>
      <c r="U75" s="542">
        <f t="shared" si="20"/>
        <v>59264.997167180074</v>
      </c>
      <c r="V75" s="542">
        <f t="shared" si="20"/>
        <v>59745.608238438617</v>
      </c>
      <c r="W75" s="542">
        <f t="shared" si="20"/>
        <v>56955.359156361606</v>
      </c>
      <c r="X75" s="542">
        <f t="shared" si="20"/>
        <v>53337.877481964344</v>
      </c>
      <c r="Y75" s="542">
        <f t="shared" si="20"/>
        <v>55007.433254736621</v>
      </c>
      <c r="Z75" s="542">
        <f t="shared" si="20"/>
        <v>56420.305571391509</v>
      </c>
      <c r="AA75" s="542">
        <f t="shared" si="20"/>
        <v>55524.037309119733</v>
      </c>
      <c r="AB75" s="542">
        <f t="shared" si="20"/>
        <v>58508.275031181969</v>
      </c>
      <c r="AC75" s="542">
        <f t="shared" si="20"/>
        <v>58289.616878914203</v>
      </c>
      <c r="AD75" s="542">
        <f t="shared" si="20"/>
        <v>52567.521166473365</v>
      </c>
      <c r="AE75" s="542">
        <f t="shared" si="20"/>
        <v>54646.657657607029</v>
      </c>
      <c r="AF75" s="542">
        <f t="shared" si="20"/>
        <v>51233.946771234478</v>
      </c>
      <c r="AG75" s="542">
        <f t="shared" si="20"/>
        <v>44909.617005478278</v>
      </c>
      <c r="AH75" s="542">
        <f t="shared" si="20"/>
        <v>51764.455898145985</v>
      </c>
      <c r="AI75" s="542">
        <f t="shared" si="20"/>
        <v>50326.432615944817</v>
      </c>
      <c r="AJ75" s="542">
        <f t="shared" si="20"/>
        <v>50366.600660602897</v>
      </c>
      <c r="AK75" s="542">
        <f t="shared" si="20"/>
        <v>51740.095409262889</v>
      </c>
      <c r="AL75" s="542">
        <f t="shared" si="20"/>
        <v>48403.261591981798</v>
      </c>
      <c r="AM75" s="542">
        <f t="shared" si="20"/>
        <v>51043.924410163367</v>
      </c>
      <c r="AN75" s="542">
        <f t="shared" si="20"/>
        <v>52621.149286899883</v>
      </c>
      <c r="AO75" s="542">
        <f t="shared" si="20"/>
        <v>58639.587530817633</v>
      </c>
      <c r="AP75" s="542">
        <f t="shared" si="20"/>
        <v>61474.369877400874</v>
      </c>
      <c r="AQ75" s="542">
        <f t="shared" si="20"/>
        <v>57908.696739062987</v>
      </c>
      <c r="AR75" s="542">
        <f t="shared" si="20"/>
        <v>57707.970307788455</v>
      </c>
      <c r="AS75" s="542">
        <f t="shared" si="20"/>
        <v>59216.148407536151</v>
      </c>
      <c r="AT75" s="542">
        <f t="shared" si="20"/>
        <v>66783.077827282337</v>
      </c>
      <c r="AU75" s="542">
        <f t="shared" si="20"/>
        <v>64490.175310662838</v>
      </c>
      <c r="AV75" s="542">
        <f t="shared" si="20"/>
        <v>66582.73823160585</v>
      </c>
      <c r="AW75" s="179">
        <f>AVERAGE(D75:AV75)</f>
        <v>59570.91641221747</v>
      </c>
      <c r="BD75" s="364" t="str">
        <f t="shared" si="19"/>
        <v>LLDPE Cost of Production</v>
      </c>
      <c r="BE75" s="542">
        <f>SUM(BE76:BE81)</f>
        <v>51794.79750111961</v>
      </c>
    </row>
    <row r="76" spans="3:60" x14ac:dyDescent="0.25">
      <c r="C76" s="6" t="s">
        <v>506</v>
      </c>
      <c r="D76" s="190">
        <f>1.046*D49</f>
        <v>51031.856387142492</v>
      </c>
      <c r="E76" s="190">
        <f t="shared" ref="E76:AV76" si="21">1.046*E49</f>
        <v>51528.637728234738</v>
      </c>
      <c r="F76" s="190">
        <f t="shared" si="21"/>
        <v>46561.527313534309</v>
      </c>
      <c r="G76" s="190">
        <f t="shared" si="21"/>
        <v>55092.853450541064</v>
      </c>
      <c r="H76" s="190">
        <f t="shared" si="21"/>
        <v>60345.714879312873</v>
      </c>
      <c r="I76" s="190">
        <f t="shared" si="21"/>
        <v>60132.830282341209</v>
      </c>
      <c r="J76" s="190">
        <f t="shared" si="21"/>
        <v>63857.552041035182</v>
      </c>
      <c r="K76" s="190">
        <f t="shared" si="21"/>
        <v>65379.02777187981</v>
      </c>
      <c r="L76" s="190">
        <f t="shared" si="21"/>
        <v>64617.730431512609</v>
      </c>
      <c r="M76" s="190">
        <f t="shared" si="21"/>
        <v>64718.609624324323</v>
      </c>
      <c r="N76" s="190">
        <f t="shared" si="21"/>
        <v>63244.522260784623</v>
      </c>
      <c r="O76" s="190">
        <f t="shared" si="21"/>
        <v>58440.133030493751</v>
      </c>
      <c r="P76" s="190">
        <f t="shared" si="21"/>
        <v>51466.619723966935</v>
      </c>
      <c r="Q76" s="190">
        <f t="shared" si="21"/>
        <v>48728.331101135678</v>
      </c>
      <c r="R76" s="190">
        <f t="shared" si="21"/>
        <v>49544.195472875399</v>
      </c>
      <c r="S76" s="190">
        <f t="shared" si="21"/>
        <v>49635.854868456045</v>
      </c>
      <c r="T76" s="190">
        <f t="shared" si="21"/>
        <v>52547.305386974171</v>
      </c>
      <c r="U76" s="190">
        <f t="shared" si="21"/>
        <v>49950.997167180074</v>
      </c>
      <c r="V76" s="190">
        <f t="shared" si="21"/>
        <v>50431.608238438617</v>
      </c>
      <c r="W76" s="190">
        <f t="shared" si="21"/>
        <v>47641.359156361606</v>
      </c>
      <c r="X76" s="190">
        <f t="shared" si="21"/>
        <v>44023.877481964344</v>
      </c>
      <c r="Y76" s="190">
        <f t="shared" si="21"/>
        <v>45693.433254736621</v>
      </c>
      <c r="Z76" s="190">
        <f t="shared" si="21"/>
        <v>47106.305571391509</v>
      </c>
      <c r="AA76" s="190">
        <f t="shared" si="21"/>
        <v>46210.037309119733</v>
      </c>
      <c r="AB76" s="190">
        <f t="shared" si="21"/>
        <v>49194.275031181969</v>
      </c>
      <c r="AC76" s="190">
        <f t="shared" si="21"/>
        <v>48975.616878914203</v>
      </c>
      <c r="AD76" s="190">
        <f t="shared" si="21"/>
        <v>43253.521166473365</v>
      </c>
      <c r="AE76" s="190">
        <f t="shared" si="21"/>
        <v>45332.657657607029</v>
      </c>
      <c r="AF76" s="190">
        <f t="shared" si="21"/>
        <v>41919.946771234478</v>
      </c>
      <c r="AG76" s="190">
        <f t="shared" si="21"/>
        <v>35595.617005478278</v>
      </c>
      <c r="AH76" s="190">
        <f t="shared" si="21"/>
        <v>42450.455898145985</v>
      </c>
      <c r="AI76" s="190">
        <f t="shared" si="21"/>
        <v>41012.432615944817</v>
      </c>
      <c r="AJ76" s="190">
        <f t="shared" si="21"/>
        <v>41052.600660602897</v>
      </c>
      <c r="AK76" s="190">
        <f t="shared" si="21"/>
        <v>42426.095409262889</v>
      </c>
      <c r="AL76" s="190">
        <f t="shared" si="21"/>
        <v>39089.261591981798</v>
      </c>
      <c r="AM76" s="190">
        <f t="shared" si="21"/>
        <v>41729.924410163367</v>
      </c>
      <c r="AN76" s="190">
        <f t="shared" si="21"/>
        <v>43307.149286899883</v>
      </c>
      <c r="AO76" s="190">
        <f t="shared" si="21"/>
        <v>49325.587530817633</v>
      </c>
      <c r="AP76" s="190">
        <f t="shared" si="21"/>
        <v>52160.369877400874</v>
      </c>
      <c r="AQ76" s="190">
        <f t="shared" si="21"/>
        <v>48594.696739062987</v>
      </c>
      <c r="AR76" s="190">
        <f t="shared" si="21"/>
        <v>48393.970307788455</v>
      </c>
      <c r="AS76" s="190">
        <f t="shared" si="21"/>
        <v>49902.148407536151</v>
      </c>
      <c r="AT76" s="190">
        <f t="shared" si="21"/>
        <v>57469.07782728233</v>
      </c>
      <c r="AU76" s="190">
        <f t="shared" si="21"/>
        <v>55176.175310662838</v>
      </c>
      <c r="AV76" s="190">
        <f t="shared" si="21"/>
        <v>57268.738231605857</v>
      </c>
      <c r="AW76" s="179">
        <f t="shared" ref="AW76:AW84" si="22">AVERAGE(D76:AV76)</f>
        <v>50256.916412217462</v>
      </c>
      <c r="BD76" s="364" t="str">
        <f t="shared" si="19"/>
        <v>Raw materials</v>
      </c>
      <c r="BE76" s="190">
        <f>1.046*BE49</f>
        <v>42480.79750111961</v>
      </c>
    </row>
    <row r="77" spans="3:60" x14ac:dyDescent="0.25">
      <c r="C77" s="6" t="s">
        <v>510</v>
      </c>
      <c r="D77" s="190">
        <v>2500</v>
      </c>
      <c r="E77" s="190">
        <v>2500</v>
      </c>
      <c r="F77" s="190">
        <v>2500</v>
      </c>
      <c r="G77" s="190">
        <v>2500</v>
      </c>
      <c r="H77" s="190">
        <v>2500</v>
      </c>
      <c r="I77" s="190">
        <v>2500</v>
      </c>
      <c r="J77" s="190">
        <v>2500</v>
      </c>
      <c r="K77" s="190">
        <v>2500</v>
      </c>
      <c r="L77" s="190">
        <v>2500</v>
      </c>
      <c r="M77" s="190">
        <v>2500</v>
      </c>
      <c r="N77" s="190">
        <v>2500</v>
      </c>
      <c r="O77" s="190">
        <v>2500</v>
      </c>
      <c r="P77" s="190">
        <v>2500</v>
      </c>
      <c r="Q77" s="190">
        <v>2500</v>
      </c>
      <c r="R77" s="190">
        <v>2500</v>
      </c>
      <c r="S77" s="190">
        <v>2500</v>
      </c>
      <c r="T77" s="190">
        <v>2500</v>
      </c>
      <c r="U77" s="190">
        <v>2500</v>
      </c>
      <c r="V77" s="190">
        <v>2500</v>
      </c>
      <c r="W77" s="190">
        <v>2500</v>
      </c>
      <c r="X77" s="190">
        <v>2500</v>
      </c>
      <c r="Y77" s="190">
        <v>2500</v>
      </c>
      <c r="Z77" s="190">
        <v>2500</v>
      </c>
      <c r="AA77" s="190">
        <v>2500</v>
      </c>
      <c r="AB77" s="190">
        <v>2500</v>
      </c>
      <c r="AC77" s="190">
        <v>2500</v>
      </c>
      <c r="AD77" s="190">
        <v>2500</v>
      </c>
      <c r="AE77" s="190">
        <v>2500</v>
      </c>
      <c r="AF77" s="190">
        <v>2500</v>
      </c>
      <c r="AG77" s="190">
        <v>2500</v>
      </c>
      <c r="AH77" s="190">
        <v>2500</v>
      </c>
      <c r="AI77" s="190">
        <v>2500</v>
      </c>
      <c r="AJ77" s="190">
        <v>2500</v>
      </c>
      <c r="AK77" s="190">
        <v>2500</v>
      </c>
      <c r="AL77" s="190">
        <v>2500</v>
      </c>
      <c r="AM77" s="190">
        <v>2500</v>
      </c>
      <c r="AN77" s="190">
        <v>2500</v>
      </c>
      <c r="AO77" s="190">
        <v>2500</v>
      </c>
      <c r="AP77" s="190">
        <v>2500</v>
      </c>
      <c r="AQ77" s="190">
        <v>2500</v>
      </c>
      <c r="AR77" s="190">
        <v>2500</v>
      </c>
      <c r="AS77" s="190">
        <v>2500</v>
      </c>
      <c r="AT77" s="190">
        <v>2500</v>
      </c>
      <c r="AU77" s="190">
        <v>2500</v>
      </c>
      <c r="AV77" s="190">
        <v>2500</v>
      </c>
      <c r="AW77" s="179">
        <f t="shared" si="22"/>
        <v>2500</v>
      </c>
      <c r="BD77" s="364" t="str">
        <f t="shared" si="19"/>
        <v>Cat-Chem+ additive</v>
      </c>
      <c r="BE77" s="190">
        <v>2500</v>
      </c>
    </row>
    <row r="78" spans="3:60" x14ac:dyDescent="0.25">
      <c r="C78" s="6" t="s">
        <v>511</v>
      </c>
      <c r="D78" s="190">
        <v>3000</v>
      </c>
      <c r="E78" s="190">
        <v>3000</v>
      </c>
      <c r="F78" s="190">
        <v>3000</v>
      </c>
      <c r="G78" s="190">
        <v>3000</v>
      </c>
      <c r="H78" s="190">
        <v>3000</v>
      </c>
      <c r="I78" s="190">
        <v>3000</v>
      </c>
      <c r="J78" s="190">
        <v>3000</v>
      </c>
      <c r="K78" s="190">
        <v>3000</v>
      </c>
      <c r="L78" s="190">
        <v>3000</v>
      </c>
      <c r="M78" s="190">
        <v>3000</v>
      </c>
      <c r="N78" s="190">
        <v>3000</v>
      </c>
      <c r="O78" s="190">
        <v>3000</v>
      </c>
      <c r="P78" s="190">
        <v>3000</v>
      </c>
      <c r="Q78" s="190">
        <v>3000</v>
      </c>
      <c r="R78" s="190">
        <v>3000</v>
      </c>
      <c r="S78" s="190">
        <v>3000</v>
      </c>
      <c r="T78" s="190">
        <v>3000</v>
      </c>
      <c r="U78" s="190">
        <v>3000</v>
      </c>
      <c r="V78" s="190">
        <v>3000</v>
      </c>
      <c r="W78" s="190">
        <v>3000</v>
      </c>
      <c r="X78" s="190">
        <v>3000</v>
      </c>
      <c r="Y78" s="190">
        <v>3000</v>
      </c>
      <c r="Z78" s="190">
        <v>3000</v>
      </c>
      <c r="AA78" s="190">
        <v>3000</v>
      </c>
      <c r="AB78" s="190">
        <v>3000</v>
      </c>
      <c r="AC78" s="190">
        <v>3000</v>
      </c>
      <c r="AD78" s="190">
        <v>3000</v>
      </c>
      <c r="AE78" s="190">
        <v>3000</v>
      </c>
      <c r="AF78" s="190">
        <v>3000</v>
      </c>
      <c r="AG78" s="190">
        <v>3000</v>
      </c>
      <c r="AH78" s="190">
        <v>3000</v>
      </c>
      <c r="AI78" s="190">
        <v>3000</v>
      </c>
      <c r="AJ78" s="190">
        <v>3000</v>
      </c>
      <c r="AK78" s="190">
        <v>3000</v>
      </c>
      <c r="AL78" s="190">
        <v>3000</v>
      </c>
      <c r="AM78" s="190">
        <v>3000</v>
      </c>
      <c r="AN78" s="190">
        <v>3000</v>
      </c>
      <c r="AO78" s="190">
        <v>3000</v>
      </c>
      <c r="AP78" s="190">
        <v>3000</v>
      </c>
      <c r="AQ78" s="190">
        <v>3000</v>
      </c>
      <c r="AR78" s="190">
        <v>3000</v>
      </c>
      <c r="AS78" s="190">
        <v>3000</v>
      </c>
      <c r="AT78" s="190">
        <v>3000</v>
      </c>
      <c r="AU78" s="190">
        <v>3000</v>
      </c>
      <c r="AV78" s="190">
        <v>3000</v>
      </c>
      <c r="AW78" s="179">
        <f t="shared" si="22"/>
        <v>3000</v>
      </c>
      <c r="BD78" s="364" t="str">
        <f t="shared" si="19"/>
        <v>Utilities</v>
      </c>
      <c r="BE78" s="190">
        <v>3000</v>
      </c>
    </row>
    <row r="79" spans="3:60" x14ac:dyDescent="0.25">
      <c r="C79" s="6" t="s">
        <v>512</v>
      </c>
      <c r="D79" s="190">
        <v>2100</v>
      </c>
      <c r="E79" s="190">
        <v>2100</v>
      </c>
      <c r="F79" s="190">
        <v>2100</v>
      </c>
      <c r="G79" s="190">
        <v>2100</v>
      </c>
      <c r="H79" s="190">
        <v>2100</v>
      </c>
      <c r="I79" s="190">
        <v>2100</v>
      </c>
      <c r="J79" s="190">
        <v>2100</v>
      </c>
      <c r="K79" s="190">
        <v>2100</v>
      </c>
      <c r="L79" s="190">
        <v>2100</v>
      </c>
      <c r="M79" s="190">
        <v>2100</v>
      </c>
      <c r="N79" s="190">
        <v>2100</v>
      </c>
      <c r="O79" s="190">
        <v>2100</v>
      </c>
      <c r="P79" s="190">
        <v>2100</v>
      </c>
      <c r="Q79" s="190">
        <v>2100</v>
      </c>
      <c r="R79" s="190">
        <v>2100</v>
      </c>
      <c r="S79" s="190">
        <v>2100</v>
      </c>
      <c r="T79" s="190">
        <v>2100</v>
      </c>
      <c r="U79" s="190">
        <v>2100</v>
      </c>
      <c r="V79" s="190">
        <v>2100</v>
      </c>
      <c r="W79" s="190">
        <v>2100</v>
      </c>
      <c r="X79" s="190">
        <v>2100</v>
      </c>
      <c r="Y79" s="190">
        <v>2100</v>
      </c>
      <c r="Z79" s="190">
        <v>2100</v>
      </c>
      <c r="AA79" s="190">
        <v>2100</v>
      </c>
      <c r="AB79" s="190">
        <v>2100</v>
      </c>
      <c r="AC79" s="190">
        <v>2100</v>
      </c>
      <c r="AD79" s="190">
        <v>2100</v>
      </c>
      <c r="AE79" s="190">
        <v>2100</v>
      </c>
      <c r="AF79" s="190">
        <v>2100</v>
      </c>
      <c r="AG79" s="190">
        <v>2100</v>
      </c>
      <c r="AH79" s="190">
        <v>2100</v>
      </c>
      <c r="AI79" s="190">
        <v>2100</v>
      </c>
      <c r="AJ79" s="190">
        <v>2100</v>
      </c>
      <c r="AK79" s="190">
        <v>2100</v>
      </c>
      <c r="AL79" s="190">
        <v>2100</v>
      </c>
      <c r="AM79" s="190">
        <v>2100</v>
      </c>
      <c r="AN79" s="190">
        <v>2100</v>
      </c>
      <c r="AO79" s="190">
        <v>2100</v>
      </c>
      <c r="AP79" s="190">
        <v>2100</v>
      </c>
      <c r="AQ79" s="190">
        <v>2100</v>
      </c>
      <c r="AR79" s="190">
        <v>2100</v>
      </c>
      <c r="AS79" s="190">
        <v>2100</v>
      </c>
      <c r="AT79" s="190">
        <v>2100</v>
      </c>
      <c r="AU79" s="190">
        <v>2100</v>
      </c>
      <c r="AV79" s="190">
        <v>2100</v>
      </c>
      <c r="AW79" s="179">
        <f t="shared" si="22"/>
        <v>2100</v>
      </c>
      <c r="BD79" s="364" t="str">
        <f t="shared" si="19"/>
        <v>Overheads</v>
      </c>
      <c r="BE79" s="190">
        <v>2100</v>
      </c>
    </row>
    <row r="80" spans="3:60" x14ac:dyDescent="0.25">
      <c r="C80" s="541" t="s">
        <v>513</v>
      </c>
      <c r="D80" s="190">
        <v>1814</v>
      </c>
      <c r="E80" s="190">
        <v>1814</v>
      </c>
      <c r="F80" s="190">
        <v>1814</v>
      </c>
      <c r="G80" s="190">
        <v>1814</v>
      </c>
      <c r="H80" s="190">
        <v>1814</v>
      </c>
      <c r="I80" s="190">
        <v>1814</v>
      </c>
      <c r="J80" s="190">
        <v>1814</v>
      </c>
      <c r="K80" s="190">
        <v>1814</v>
      </c>
      <c r="L80" s="190">
        <v>1814</v>
      </c>
      <c r="M80" s="190">
        <v>1814</v>
      </c>
      <c r="N80" s="190">
        <v>1814</v>
      </c>
      <c r="O80" s="190">
        <v>1814</v>
      </c>
      <c r="P80" s="190">
        <v>1814</v>
      </c>
      <c r="Q80" s="190">
        <v>1814</v>
      </c>
      <c r="R80" s="190">
        <v>1814</v>
      </c>
      <c r="S80" s="190">
        <v>1814</v>
      </c>
      <c r="T80" s="190">
        <v>1814</v>
      </c>
      <c r="U80" s="190">
        <v>1814</v>
      </c>
      <c r="V80" s="190">
        <v>1814</v>
      </c>
      <c r="W80" s="190">
        <v>1814</v>
      </c>
      <c r="X80" s="190">
        <v>1814</v>
      </c>
      <c r="Y80" s="190">
        <v>1814</v>
      </c>
      <c r="Z80" s="190">
        <v>1814</v>
      </c>
      <c r="AA80" s="190">
        <v>1814</v>
      </c>
      <c r="AB80" s="190">
        <v>1814</v>
      </c>
      <c r="AC80" s="190">
        <v>1814</v>
      </c>
      <c r="AD80" s="190">
        <v>1814</v>
      </c>
      <c r="AE80" s="190">
        <v>1814</v>
      </c>
      <c r="AF80" s="190">
        <v>1814</v>
      </c>
      <c r="AG80" s="190">
        <v>1814</v>
      </c>
      <c r="AH80" s="190">
        <v>1814</v>
      </c>
      <c r="AI80" s="190">
        <v>1814</v>
      </c>
      <c r="AJ80" s="190">
        <v>1814</v>
      </c>
      <c r="AK80" s="190">
        <v>1814</v>
      </c>
      <c r="AL80" s="190">
        <v>1814</v>
      </c>
      <c r="AM80" s="190">
        <v>1814</v>
      </c>
      <c r="AN80" s="190">
        <v>1814</v>
      </c>
      <c r="AO80" s="190">
        <v>1814</v>
      </c>
      <c r="AP80" s="190">
        <v>1814</v>
      </c>
      <c r="AQ80" s="190">
        <v>1814</v>
      </c>
      <c r="AR80" s="190">
        <v>1814</v>
      </c>
      <c r="AS80" s="190">
        <v>1814</v>
      </c>
      <c r="AT80" s="190">
        <v>1814</v>
      </c>
      <c r="AU80" s="190">
        <v>1814</v>
      </c>
      <c r="AV80" s="190">
        <v>1814</v>
      </c>
      <c r="AW80" s="179">
        <f t="shared" si="22"/>
        <v>1814</v>
      </c>
      <c r="BD80" s="364" t="str">
        <f t="shared" si="19"/>
        <v>Depreciation</v>
      </c>
      <c r="BE80" s="190">
        <v>1814</v>
      </c>
    </row>
    <row r="81" spans="3:57" x14ac:dyDescent="0.25">
      <c r="C81" s="541" t="s">
        <v>514</v>
      </c>
      <c r="D81" s="543">
        <v>-100</v>
      </c>
      <c r="E81" s="543">
        <v>-100</v>
      </c>
      <c r="F81" s="543">
        <v>-100</v>
      </c>
      <c r="G81" s="543">
        <v>-100</v>
      </c>
      <c r="H81" s="543">
        <v>-100</v>
      </c>
      <c r="I81" s="543">
        <v>-100</v>
      </c>
      <c r="J81" s="543">
        <v>-100</v>
      </c>
      <c r="K81" s="543">
        <v>-100</v>
      </c>
      <c r="L81" s="543">
        <v>-100</v>
      </c>
      <c r="M81" s="543">
        <v>-100</v>
      </c>
      <c r="N81" s="543">
        <v>-100</v>
      </c>
      <c r="O81" s="543">
        <v>-100</v>
      </c>
      <c r="P81" s="543">
        <v>-100</v>
      </c>
      <c r="Q81" s="543">
        <v>-100</v>
      </c>
      <c r="R81" s="543">
        <v>-100</v>
      </c>
      <c r="S81" s="543">
        <v>-100</v>
      </c>
      <c r="T81" s="543">
        <v>-100</v>
      </c>
      <c r="U81" s="543">
        <v>-100</v>
      </c>
      <c r="V81" s="543">
        <v>-100</v>
      </c>
      <c r="W81" s="543">
        <v>-100</v>
      </c>
      <c r="X81" s="543">
        <v>-100</v>
      </c>
      <c r="Y81" s="543">
        <v>-100</v>
      </c>
      <c r="Z81" s="543">
        <v>-100</v>
      </c>
      <c r="AA81" s="543">
        <v>-100</v>
      </c>
      <c r="AB81" s="543">
        <v>-100</v>
      </c>
      <c r="AC81" s="543">
        <v>-100</v>
      </c>
      <c r="AD81" s="543">
        <v>-100</v>
      </c>
      <c r="AE81" s="543">
        <v>-100</v>
      </c>
      <c r="AF81" s="543">
        <v>-100</v>
      </c>
      <c r="AG81" s="543">
        <v>-100</v>
      </c>
      <c r="AH81" s="543">
        <v>-100</v>
      </c>
      <c r="AI81" s="543">
        <v>-100</v>
      </c>
      <c r="AJ81" s="543">
        <v>-100</v>
      </c>
      <c r="AK81" s="543">
        <v>-100</v>
      </c>
      <c r="AL81" s="543">
        <v>-100</v>
      </c>
      <c r="AM81" s="543">
        <v>-100</v>
      </c>
      <c r="AN81" s="543">
        <v>-100</v>
      </c>
      <c r="AO81" s="543">
        <v>-100</v>
      </c>
      <c r="AP81" s="543">
        <v>-100</v>
      </c>
      <c r="AQ81" s="543">
        <v>-100</v>
      </c>
      <c r="AR81" s="543">
        <v>-100</v>
      </c>
      <c r="AS81" s="543">
        <v>-100</v>
      </c>
      <c r="AT81" s="543">
        <v>-100</v>
      </c>
      <c r="AU81" s="543">
        <v>-100</v>
      </c>
      <c r="AV81" s="543">
        <v>-100</v>
      </c>
      <c r="AW81" s="179">
        <f t="shared" si="22"/>
        <v>-100</v>
      </c>
      <c r="BD81" s="364" t="str">
        <f t="shared" si="19"/>
        <v>Co-product/Byprodcut Credit</v>
      </c>
      <c r="BE81" s="543">
        <v>-100</v>
      </c>
    </row>
    <row r="82" spans="3:57" x14ac:dyDescent="0.25">
      <c r="C82" s="541" t="s">
        <v>570</v>
      </c>
      <c r="D82" s="190">
        <f>'Polymer Prices'!E41</f>
        <v>77120</v>
      </c>
      <c r="E82" s="190">
        <f>'Polymer Prices'!F41</f>
        <v>78330</v>
      </c>
      <c r="F82" s="190">
        <f>'Polymer Prices'!G41</f>
        <v>78330</v>
      </c>
      <c r="G82" s="190">
        <f>'Polymer Prices'!H41</f>
        <v>79710</v>
      </c>
      <c r="H82" s="190">
        <f>'Polymer Prices'!I41</f>
        <v>81840</v>
      </c>
      <c r="I82" s="190">
        <f>'Polymer Prices'!J41</f>
        <v>82290</v>
      </c>
      <c r="J82" s="190">
        <f>'Polymer Prices'!K41</f>
        <v>81605</v>
      </c>
      <c r="K82" s="190">
        <f>'Polymer Prices'!L41</f>
        <v>80450</v>
      </c>
      <c r="L82" s="190">
        <f>'Polymer Prices'!M41</f>
        <v>82290</v>
      </c>
      <c r="M82" s="190">
        <f>'Polymer Prices'!N41</f>
        <v>84860</v>
      </c>
      <c r="N82" s="190">
        <f>'Polymer Prices'!O41</f>
        <v>82790</v>
      </c>
      <c r="O82" s="190">
        <f>'Polymer Prices'!P41</f>
        <v>75410</v>
      </c>
      <c r="P82" s="190">
        <f>'Polymer Prices'!Q41</f>
        <v>75535</v>
      </c>
      <c r="Q82" s="190">
        <f>'Polymer Prices'!R41</f>
        <v>75515</v>
      </c>
      <c r="R82" s="190">
        <f>'Polymer Prices'!S41</f>
        <v>76895</v>
      </c>
      <c r="S82" s="190">
        <f>'Polymer Prices'!T41</f>
        <v>76895</v>
      </c>
      <c r="T82" s="190">
        <f>'Polymer Prices'!U41</f>
        <v>73118.75</v>
      </c>
      <c r="U82" s="190">
        <f>'Polymer Prices'!V41</f>
        <v>69505.666666666672</v>
      </c>
      <c r="V82" s="190">
        <f>'Polymer Prices'!W41</f>
        <v>68825</v>
      </c>
      <c r="W82" s="190">
        <f>'Polymer Prices'!X41</f>
        <v>69518</v>
      </c>
      <c r="X82" s="190">
        <f>'Polymer Prices'!Y41</f>
        <v>66726.666666666672</v>
      </c>
      <c r="Y82" s="190">
        <f>'Polymer Prices'!Z41</f>
        <v>68260</v>
      </c>
      <c r="Z82" s="190">
        <f>'Polymer Prices'!AA41</f>
        <v>65340</v>
      </c>
      <c r="AA82" s="190">
        <f>'Polymer Prices'!AB41</f>
        <v>64110</v>
      </c>
      <c r="AB82" s="190">
        <f>'Polymer Prices'!AC41</f>
        <v>65725</v>
      </c>
      <c r="AC82" s="190">
        <f>'Polymer Prices'!AD41</f>
        <v>66420</v>
      </c>
      <c r="AD82" s="190">
        <f>'Polymer Prices'!AE41</f>
        <v>66430</v>
      </c>
      <c r="AE82" s="190">
        <f>'Polymer Prices'!AF41</f>
        <v>62745</v>
      </c>
      <c r="AF82" s="190">
        <f>'Polymer Prices'!AG41</f>
        <v>59985</v>
      </c>
      <c r="AG82" s="190">
        <f>'Polymer Prices'!AH41</f>
        <v>63743.333333333336</v>
      </c>
      <c r="AH82" s="190">
        <f>'Polymer Prices'!AI41</f>
        <v>67265</v>
      </c>
      <c r="AI82" s="190">
        <f>'Polymer Prices'!AJ41</f>
        <v>67680</v>
      </c>
      <c r="AJ82" s="190">
        <f>'Polymer Prices'!AK41</f>
        <v>68533.333333333328</v>
      </c>
      <c r="AK82" s="190">
        <f>'Polymer Prices'!AL41</f>
        <v>71170</v>
      </c>
      <c r="AL82" s="190">
        <f>'Polymer Prices'!AM41</f>
        <v>74566.666666666672</v>
      </c>
      <c r="AM82" s="190">
        <f>'Polymer Prices'!AN41</f>
        <v>80425</v>
      </c>
      <c r="AN82" s="190">
        <f>'Polymer Prices'!AO41</f>
        <v>79965</v>
      </c>
      <c r="AO82" s="190">
        <f>'Polymer Prices'!AP41</f>
        <v>83513.333333333328</v>
      </c>
      <c r="AP82" s="190">
        <f>'Polymer Prices'!AQ41</f>
        <v>94750</v>
      </c>
      <c r="AQ82" s="190">
        <f>'Polymer Prices'!AR41</f>
        <v>97356.666666666672</v>
      </c>
      <c r="AR82" s="190">
        <f>'Polymer Prices'!AS41</f>
        <v>88703.333333333328</v>
      </c>
      <c r="AS82" s="190">
        <f>'Polymer Prices'!AT41</f>
        <v>85010</v>
      </c>
      <c r="AT82" s="190">
        <f>'Polymer Prices'!AU41</f>
        <v>87430</v>
      </c>
      <c r="AU82" s="190">
        <f>'Polymer Prices'!AV41</f>
        <v>92103.333333333328</v>
      </c>
      <c r="AV82" s="190">
        <f>'Polymer Prices'!AW41</f>
        <v>94270</v>
      </c>
      <c r="AW82" s="179">
        <f t="shared" si="22"/>
        <v>76290.20185185186</v>
      </c>
      <c r="BD82" s="364" t="str">
        <f t="shared" si="19"/>
        <v>LLDPE OPaL Price</v>
      </c>
      <c r="BE82" s="190">
        <f>AW82</f>
        <v>76290.20185185186</v>
      </c>
    </row>
    <row r="83" spans="3:57" x14ac:dyDescent="0.25">
      <c r="C83" s="541" t="s">
        <v>571</v>
      </c>
      <c r="D83" s="190">
        <f>D82-D75</f>
        <v>16774.143612857508</v>
      </c>
      <c r="E83" s="190">
        <f t="shared" ref="E83:AV83" si="23">E82-E75</f>
        <v>17487.362271765262</v>
      </c>
      <c r="F83" s="190">
        <f t="shared" si="23"/>
        <v>22454.472686465691</v>
      </c>
      <c r="G83" s="190">
        <f t="shared" si="23"/>
        <v>15303.146549458936</v>
      </c>
      <c r="H83" s="190">
        <f t="shared" si="23"/>
        <v>12180.285120687127</v>
      </c>
      <c r="I83" s="190">
        <f t="shared" si="23"/>
        <v>12843.169717658791</v>
      </c>
      <c r="J83" s="190">
        <f t="shared" si="23"/>
        <v>8433.4479589648254</v>
      </c>
      <c r="K83" s="190">
        <f t="shared" si="23"/>
        <v>5756.9722281201975</v>
      </c>
      <c r="L83" s="190">
        <f t="shared" si="23"/>
        <v>8358.2695684873906</v>
      </c>
      <c r="M83" s="190">
        <f t="shared" si="23"/>
        <v>10827.390375675677</v>
      </c>
      <c r="N83" s="190">
        <f t="shared" si="23"/>
        <v>10231.477739215377</v>
      </c>
      <c r="O83" s="190">
        <f t="shared" si="23"/>
        <v>7655.8669695062563</v>
      </c>
      <c r="P83" s="190">
        <f t="shared" si="23"/>
        <v>14754.380276033065</v>
      </c>
      <c r="Q83" s="190">
        <f t="shared" si="23"/>
        <v>17472.668898864322</v>
      </c>
      <c r="R83" s="190">
        <f t="shared" si="23"/>
        <v>18036.804527124601</v>
      </c>
      <c r="S83" s="190">
        <f t="shared" si="23"/>
        <v>17945.145131543955</v>
      </c>
      <c r="T83" s="190">
        <f t="shared" si="23"/>
        <v>11257.444613025829</v>
      </c>
      <c r="U83" s="190">
        <f t="shared" si="23"/>
        <v>10240.669499486597</v>
      </c>
      <c r="V83" s="190">
        <f t="shared" si="23"/>
        <v>9079.3917615613827</v>
      </c>
      <c r="W83" s="190">
        <f t="shared" si="23"/>
        <v>12562.640843638394</v>
      </c>
      <c r="X83" s="190">
        <f t="shared" si="23"/>
        <v>13388.789184702327</v>
      </c>
      <c r="Y83" s="190">
        <f t="shared" si="23"/>
        <v>13252.566745263379</v>
      </c>
      <c r="Z83" s="190">
        <f t="shared" si="23"/>
        <v>8919.6944286084909</v>
      </c>
      <c r="AA83" s="190">
        <f t="shared" si="23"/>
        <v>8585.9626908802675</v>
      </c>
      <c r="AB83" s="190">
        <f t="shared" si="23"/>
        <v>7216.7249688180309</v>
      </c>
      <c r="AC83" s="190">
        <f t="shared" si="23"/>
        <v>8130.383121085797</v>
      </c>
      <c r="AD83" s="190">
        <f t="shared" si="23"/>
        <v>13862.478833526635</v>
      </c>
      <c r="AE83" s="190">
        <f t="shared" si="23"/>
        <v>8098.3423423929707</v>
      </c>
      <c r="AF83" s="190">
        <f t="shared" si="23"/>
        <v>8751.0532287655224</v>
      </c>
      <c r="AG83" s="190">
        <f t="shared" si="23"/>
        <v>18833.716327855058</v>
      </c>
      <c r="AH83" s="190">
        <f t="shared" si="23"/>
        <v>15500.544101854015</v>
      </c>
      <c r="AI83" s="190">
        <f t="shared" si="23"/>
        <v>17353.567384055183</v>
      </c>
      <c r="AJ83" s="190">
        <f t="shared" si="23"/>
        <v>18166.732672730432</v>
      </c>
      <c r="AK83" s="190">
        <f t="shared" si="23"/>
        <v>19429.904590737111</v>
      </c>
      <c r="AL83" s="190">
        <f t="shared" si="23"/>
        <v>26163.405074684873</v>
      </c>
      <c r="AM83" s="190">
        <f t="shared" si="23"/>
        <v>29381.075589836633</v>
      </c>
      <c r="AN83" s="190">
        <f t="shared" si="23"/>
        <v>27343.850713100117</v>
      </c>
      <c r="AO83" s="190">
        <f t="shared" si="23"/>
        <v>24873.745802515696</v>
      </c>
      <c r="AP83" s="190">
        <f t="shared" si="23"/>
        <v>33275.630122599126</v>
      </c>
      <c r="AQ83" s="190">
        <f t="shared" si="23"/>
        <v>39447.969927603684</v>
      </c>
      <c r="AR83" s="190">
        <f t="shared" si="23"/>
        <v>30995.363025544873</v>
      </c>
      <c r="AS83" s="190">
        <f t="shared" si="23"/>
        <v>25793.851592463849</v>
      </c>
      <c r="AT83" s="190">
        <f t="shared" si="23"/>
        <v>20646.922172717663</v>
      </c>
      <c r="AU83" s="190">
        <f t="shared" si="23"/>
        <v>27613.15802267049</v>
      </c>
      <c r="AV83" s="190">
        <f t="shared" si="23"/>
        <v>27687.26176839415</v>
      </c>
      <c r="AW83" s="179">
        <f t="shared" si="22"/>
        <v>16719.285439634394</v>
      </c>
      <c r="BD83" s="364" t="str">
        <f t="shared" si="19"/>
        <v>Contribution Per MT INR</v>
      </c>
      <c r="BE83" s="190">
        <f>BE82-BE75</f>
        <v>24495.404350732249</v>
      </c>
    </row>
    <row r="84" spans="3:57" x14ac:dyDescent="0.25">
      <c r="C84" s="541" t="s">
        <v>572</v>
      </c>
      <c r="D84" s="190">
        <f>D83/D74</f>
        <v>264.82702262168465</v>
      </c>
      <c r="E84" s="190">
        <f t="shared" ref="E84:AV84" si="24">E83/E74</f>
        <v>272.68614177086016</v>
      </c>
      <c r="F84" s="190">
        <f t="shared" si="24"/>
        <v>344.28814300008725</v>
      </c>
      <c r="G84" s="190">
        <f t="shared" si="24"/>
        <v>235.68684043522154</v>
      </c>
      <c r="H84" s="190">
        <f t="shared" si="24"/>
        <v>182.28502126140569</v>
      </c>
      <c r="I84" s="190">
        <f t="shared" si="24"/>
        <v>191.70340648792882</v>
      </c>
      <c r="J84" s="190">
        <f t="shared" si="24"/>
        <v>122.57027772639815</v>
      </c>
      <c r="K84" s="190">
        <f t="shared" si="24"/>
        <v>83.988215451458132</v>
      </c>
      <c r="L84" s="190">
        <f t="shared" si="24"/>
        <v>117.71381689299896</v>
      </c>
      <c r="M84" s="190">
        <f t="shared" si="24"/>
        <v>146.77227024096081</v>
      </c>
      <c r="N84" s="190">
        <f t="shared" si="24"/>
        <v>141.24071975725258</v>
      </c>
      <c r="O84" s="190">
        <f t="shared" si="24"/>
        <v>109.91912375457653</v>
      </c>
      <c r="P84" s="190">
        <f t="shared" si="24"/>
        <v>212.14062222908794</v>
      </c>
      <c r="Q84" s="190">
        <f t="shared" si="24"/>
        <v>244.59535100251028</v>
      </c>
      <c r="R84" s="190">
        <f t="shared" si="24"/>
        <v>254.03950038203664</v>
      </c>
      <c r="S84" s="190">
        <f t="shared" si="24"/>
        <v>259.4353785101049</v>
      </c>
      <c r="T84" s="190">
        <f t="shared" si="24"/>
        <v>162.92705134996496</v>
      </c>
      <c r="U84" s="190">
        <f t="shared" si="24"/>
        <v>147.17834865603044</v>
      </c>
      <c r="V84" s="190">
        <f t="shared" si="24"/>
        <v>132.64268461010056</v>
      </c>
      <c r="W84" s="190">
        <f t="shared" si="24"/>
        <v>180.23874955004868</v>
      </c>
      <c r="X84" s="190">
        <f t="shared" si="24"/>
        <v>186.87681184593939</v>
      </c>
      <c r="Y84" s="190">
        <f t="shared" si="24"/>
        <v>187.11707370650728</v>
      </c>
      <c r="Z84" s="190">
        <f t="shared" si="24"/>
        <v>126.05560243935119</v>
      </c>
      <c r="AA84" s="190">
        <f t="shared" si="24"/>
        <v>120.44895263779958</v>
      </c>
      <c r="AB84" s="190">
        <f t="shared" si="24"/>
        <v>100.55350381521571</v>
      </c>
      <c r="AC84" s="190">
        <f t="shared" si="24"/>
        <v>113.62424877486963</v>
      </c>
      <c r="AD84" s="190">
        <f t="shared" si="24"/>
        <v>187.3206696060569</v>
      </c>
      <c r="AE84" s="190">
        <f t="shared" si="24"/>
        <v>106.22030590355544</v>
      </c>
      <c r="AF84" s="190">
        <f t="shared" si="24"/>
        <v>115.5269802738719</v>
      </c>
      <c r="AG84" s="190">
        <f t="shared" si="24"/>
        <v>249.25511286203093</v>
      </c>
      <c r="AH84" s="190">
        <f t="shared" si="24"/>
        <v>207.68187070386966</v>
      </c>
      <c r="AI84" s="190">
        <f t="shared" si="24"/>
        <v>231.64033562997469</v>
      </c>
      <c r="AJ84" s="190">
        <f t="shared" si="24"/>
        <v>247.87802634406845</v>
      </c>
      <c r="AK84" s="190">
        <f t="shared" si="24"/>
        <v>265.10990026930153</v>
      </c>
      <c r="AL84" s="190">
        <f t="shared" si="24"/>
        <v>353.6837953157173</v>
      </c>
      <c r="AM84" s="190">
        <f t="shared" si="24"/>
        <v>398.34965616601312</v>
      </c>
      <c r="AN84" s="190">
        <f t="shared" si="24"/>
        <v>373.95857102160988</v>
      </c>
      <c r="AO84" s="190">
        <f t="shared" si="24"/>
        <v>341.62540588539616</v>
      </c>
      <c r="AP84" s="190">
        <f t="shared" si="24"/>
        <v>454.7093484913791</v>
      </c>
      <c r="AQ84" s="190">
        <f t="shared" si="24"/>
        <v>537.65803363232499</v>
      </c>
      <c r="AR84" s="190">
        <f t="shared" si="24"/>
        <v>418.57343721194968</v>
      </c>
      <c r="AS84" s="190">
        <f t="shared" si="24"/>
        <v>354.01937403875718</v>
      </c>
      <c r="AT84" s="190">
        <f t="shared" si="24"/>
        <v>277.09526214190549</v>
      </c>
      <c r="AU84" s="190">
        <f t="shared" si="24"/>
        <v>371.94447767605726</v>
      </c>
      <c r="AV84" s="190">
        <f t="shared" si="24"/>
        <v>379.37110203055755</v>
      </c>
      <c r="AW84" s="581">
        <f t="shared" si="22"/>
        <v>233.62614542477326</v>
      </c>
      <c r="BD84" s="364" t="str">
        <f t="shared" si="19"/>
        <v>Contribution Per MT USD</v>
      </c>
      <c r="BE84" s="190">
        <f>BE83/BE74</f>
        <v>326.60539134309664</v>
      </c>
    </row>
    <row r="85" spans="3:57" x14ac:dyDescent="0.25">
      <c r="C85" s="120"/>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BD85" s="364">
        <f t="shared" si="19"/>
        <v>0</v>
      </c>
      <c r="BE85" s="1"/>
    </row>
    <row r="86" spans="3:57" s="362" customFormat="1" x14ac:dyDescent="0.25">
      <c r="C86" s="8" t="s">
        <v>507</v>
      </c>
      <c r="D86" s="542">
        <f>SUM(D87:D92)</f>
        <v>65602.759401761446</v>
      </c>
      <c r="E86" s="542">
        <f t="shared" ref="E86:AV86" si="25">SUM(E87:E92)</f>
        <v>66110.939167505901</v>
      </c>
      <c r="F86" s="542">
        <f t="shared" si="25"/>
        <v>61029.860636215788</v>
      </c>
      <c r="G86" s="542">
        <f t="shared" si="25"/>
        <v>69756.9342180487</v>
      </c>
      <c r="H86" s="542">
        <f t="shared" si="25"/>
        <v>75130.320192031329</v>
      </c>
      <c r="I86" s="542">
        <f t="shared" si="25"/>
        <v>74912.551053637755</v>
      </c>
      <c r="J86" s="542">
        <f t="shared" si="25"/>
        <v>78722.734879452822</v>
      </c>
      <c r="K86" s="542">
        <f t="shared" si="25"/>
        <v>80279.12018729579</v>
      </c>
      <c r="L86" s="542">
        <f t="shared" si="25"/>
        <v>79500.355221528196</v>
      </c>
      <c r="M86" s="542">
        <f t="shared" si="25"/>
        <v>79603.549042090846</v>
      </c>
      <c r="N86" s="542">
        <f t="shared" si="25"/>
        <v>78095.63940634756</v>
      </c>
      <c r="O86" s="542">
        <f t="shared" si="25"/>
        <v>73181.01562392764</v>
      </c>
      <c r="P86" s="542">
        <f t="shared" si="25"/>
        <v>66047.498187996767</v>
      </c>
      <c r="Q86" s="542">
        <f t="shared" si="25"/>
        <v>63246.380763112022</v>
      </c>
      <c r="R86" s="542">
        <f t="shared" si="25"/>
        <v>64080.964776268338</v>
      </c>
      <c r="S86" s="542">
        <f t="shared" si="25"/>
        <v>64174.727255495192</v>
      </c>
      <c r="T86" s="542">
        <f t="shared" si="25"/>
        <v>67152.979697956369</v>
      </c>
      <c r="U86" s="542">
        <f t="shared" si="25"/>
        <v>64497.100352660302</v>
      </c>
      <c r="V86" s="542">
        <f t="shared" si="25"/>
        <v>64988.738828995527</v>
      </c>
      <c r="W86" s="542">
        <f t="shared" si="25"/>
        <v>62134.468735475064</v>
      </c>
      <c r="X86" s="542">
        <f t="shared" si="25"/>
        <v>58433.985569504635</v>
      </c>
      <c r="Y86" s="542">
        <f t="shared" si="25"/>
        <v>60141.848549300375</v>
      </c>
      <c r="Z86" s="542">
        <f t="shared" si="25"/>
        <v>61587.138586413879</v>
      </c>
      <c r="AA86" s="542">
        <f t="shared" si="25"/>
        <v>60670.305851585195</v>
      </c>
      <c r="AB86" s="542">
        <f t="shared" si="25"/>
        <v>63723.015567270275</v>
      </c>
      <c r="AC86" s="542">
        <f t="shared" si="25"/>
        <v>63499.340401948568</v>
      </c>
      <c r="AD86" s="542">
        <f t="shared" si="25"/>
        <v>57645.953774499525</v>
      </c>
      <c r="AE86" s="542">
        <f t="shared" si="25"/>
        <v>59772.795118202223</v>
      </c>
      <c r="AF86" s="542">
        <f t="shared" si="25"/>
        <v>56281.781113977908</v>
      </c>
      <c r="AG86" s="542">
        <f t="shared" si="25"/>
        <v>49812.342443462483</v>
      </c>
      <c r="AH86" s="542">
        <f t="shared" si="25"/>
        <v>56824.462534432321</v>
      </c>
      <c r="AI86" s="542">
        <f t="shared" si="25"/>
        <v>55353.444454169177</v>
      </c>
      <c r="AJ86" s="542">
        <f t="shared" si="25"/>
        <v>55394.53413656319</v>
      </c>
      <c r="AK86" s="542">
        <f t="shared" si="25"/>
        <v>56799.543105077712</v>
      </c>
      <c r="AL86" s="542">
        <f t="shared" si="25"/>
        <v>53386.147135201267</v>
      </c>
      <c r="AM86" s="542">
        <f t="shared" si="25"/>
        <v>56087.398775214919</v>
      </c>
      <c r="AN86" s="542">
        <f t="shared" si="25"/>
        <v>57700.812368052466</v>
      </c>
      <c r="AO86" s="542">
        <f t="shared" si="25"/>
        <v>63857.340973207327</v>
      </c>
      <c r="AP86" s="542">
        <f t="shared" si="25"/>
        <v>66757.166126977943</v>
      </c>
      <c r="AQ86" s="542">
        <f t="shared" si="25"/>
        <v>63109.680220647606</v>
      </c>
      <c r="AR86" s="542">
        <f t="shared" si="25"/>
        <v>62904.348211600052</v>
      </c>
      <c r="AS86" s="542">
        <f t="shared" si="25"/>
        <v>64447.130780175605</v>
      </c>
      <c r="AT86" s="542">
        <f t="shared" si="25"/>
        <v>72187.679995403538</v>
      </c>
      <c r="AU86" s="542">
        <f t="shared" si="25"/>
        <v>69842.167860811896</v>
      </c>
      <c r="AV86" s="542">
        <f t="shared" si="25"/>
        <v>71982.74369772301</v>
      </c>
      <c r="AW86" s="179">
        <f>AVERAGE(D86:AV86)</f>
        <v>64810.038777316164</v>
      </c>
      <c r="BD86" s="364" t="str">
        <f t="shared" si="19"/>
        <v>HDPE  Cost of Production</v>
      </c>
      <c r="BE86" s="542">
        <f>SUM(BE87:BE92)</f>
        <v>56855.50031185276</v>
      </c>
    </row>
    <row r="87" spans="3:57" x14ac:dyDescent="0.25">
      <c r="C87" s="6" t="s">
        <v>506</v>
      </c>
      <c r="D87" s="190">
        <f>1.07*D49</f>
        <v>52202.759401761446</v>
      </c>
      <c r="E87" s="190">
        <f t="shared" ref="E87:AV87" si="26">1.07*E49</f>
        <v>52710.939167505901</v>
      </c>
      <c r="F87" s="190">
        <f t="shared" si="26"/>
        <v>47629.860636215788</v>
      </c>
      <c r="G87" s="190">
        <f t="shared" si="26"/>
        <v>56356.9342180487</v>
      </c>
      <c r="H87" s="190">
        <f t="shared" si="26"/>
        <v>61730.320192031329</v>
      </c>
      <c r="I87" s="190">
        <f t="shared" si="26"/>
        <v>61512.551053637755</v>
      </c>
      <c r="J87" s="190">
        <f t="shared" si="26"/>
        <v>65322.734879452815</v>
      </c>
      <c r="K87" s="190">
        <f t="shared" si="26"/>
        <v>66879.12018729579</v>
      </c>
      <c r="L87" s="190">
        <f t="shared" si="26"/>
        <v>66100.355221528196</v>
      </c>
      <c r="M87" s="190">
        <f t="shared" si="26"/>
        <v>66203.549042090846</v>
      </c>
      <c r="N87" s="190">
        <f t="shared" si="26"/>
        <v>64695.63940634756</v>
      </c>
      <c r="O87" s="190">
        <f t="shared" si="26"/>
        <v>59781.01562392764</v>
      </c>
      <c r="P87" s="190">
        <f t="shared" si="26"/>
        <v>52647.498187996775</v>
      </c>
      <c r="Q87" s="190">
        <f t="shared" si="26"/>
        <v>49846.380763112022</v>
      </c>
      <c r="R87" s="190">
        <f t="shared" si="26"/>
        <v>50680.964776268338</v>
      </c>
      <c r="S87" s="190">
        <f t="shared" si="26"/>
        <v>50774.727255495192</v>
      </c>
      <c r="T87" s="190">
        <f t="shared" si="26"/>
        <v>53752.979697956369</v>
      </c>
      <c r="U87" s="190">
        <f t="shared" si="26"/>
        <v>51097.100352660302</v>
      </c>
      <c r="V87" s="190">
        <f t="shared" si="26"/>
        <v>51588.738828995527</v>
      </c>
      <c r="W87" s="190">
        <f t="shared" si="26"/>
        <v>48734.468735475064</v>
      </c>
      <c r="X87" s="190">
        <f t="shared" si="26"/>
        <v>45033.985569504635</v>
      </c>
      <c r="Y87" s="190">
        <f t="shared" si="26"/>
        <v>46741.848549300375</v>
      </c>
      <c r="Z87" s="190">
        <f t="shared" si="26"/>
        <v>48187.138586413879</v>
      </c>
      <c r="AA87" s="190">
        <f t="shared" si="26"/>
        <v>47270.305851585195</v>
      </c>
      <c r="AB87" s="190">
        <f t="shared" si="26"/>
        <v>50323.015567270275</v>
      </c>
      <c r="AC87" s="190">
        <f t="shared" si="26"/>
        <v>50099.340401948568</v>
      </c>
      <c r="AD87" s="190">
        <f t="shared" si="26"/>
        <v>44245.953774499525</v>
      </c>
      <c r="AE87" s="190">
        <f t="shared" si="26"/>
        <v>46372.795118202223</v>
      </c>
      <c r="AF87" s="190">
        <f t="shared" si="26"/>
        <v>42881.781113977908</v>
      </c>
      <c r="AG87" s="190">
        <f t="shared" si="26"/>
        <v>36412.342443462483</v>
      </c>
      <c r="AH87" s="190">
        <f t="shared" si="26"/>
        <v>43424.462534432321</v>
      </c>
      <c r="AI87" s="190">
        <f t="shared" si="26"/>
        <v>41953.444454169177</v>
      </c>
      <c r="AJ87" s="190">
        <f t="shared" si="26"/>
        <v>41994.53413656319</v>
      </c>
      <c r="AK87" s="190">
        <f t="shared" si="26"/>
        <v>43399.543105077712</v>
      </c>
      <c r="AL87" s="190">
        <f t="shared" si="26"/>
        <v>39986.147135201267</v>
      </c>
      <c r="AM87" s="190">
        <f t="shared" si="26"/>
        <v>42687.398775214919</v>
      </c>
      <c r="AN87" s="190">
        <f t="shared" si="26"/>
        <v>44300.812368052466</v>
      </c>
      <c r="AO87" s="190">
        <f t="shared" si="26"/>
        <v>50457.340973207327</v>
      </c>
      <c r="AP87" s="190">
        <f t="shared" si="26"/>
        <v>53357.166126977951</v>
      </c>
      <c r="AQ87" s="190">
        <f t="shared" si="26"/>
        <v>49709.680220647606</v>
      </c>
      <c r="AR87" s="190">
        <f t="shared" si="26"/>
        <v>49504.348211600052</v>
      </c>
      <c r="AS87" s="190">
        <f t="shared" si="26"/>
        <v>51047.130780175605</v>
      </c>
      <c r="AT87" s="190">
        <f t="shared" si="26"/>
        <v>58787.679995403538</v>
      </c>
      <c r="AU87" s="190">
        <f t="shared" si="26"/>
        <v>56442.167860811889</v>
      </c>
      <c r="AV87" s="190">
        <f t="shared" si="26"/>
        <v>58582.74369772301</v>
      </c>
      <c r="AW87" s="179">
        <f t="shared" ref="AW87:AW95" si="27">AVERAGE(D87:AV87)</f>
        <v>51410.038777316142</v>
      </c>
      <c r="BD87" s="364" t="str">
        <f t="shared" si="19"/>
        <v>Raw materials</v>
      </c>
      <c r="BE87" s="190">
        <f>1.07*BE49</f>
        <v>43455.50031185276</v>
      </c>
    </row>
    <row r="88" spans="3:57" x14ac:dyDescent="0.25">
      <c r="C88" s="6" t="s">
        <v>510</v>
      </c>
      <c r="D88" s="190">
        <v>4000</v>
      </c>
      <c r="E88" s="190">
        <v>4000</v>
      </c>
      <c r="F88" s="190">
        <v>4000</v>
      </c>
      <c r="G88" s="190">
        <v>4000</v>
      </c>
      <c r="H88" s="190">
        <v>4000</v>
      </c>
      <c r="I88" s="190">
        <v>4000</v>
      </c>
      <c r="J88" s="190">
        <v>4000</v>
      </c>
      <c r="K88" s="190">
        <v>4000</v>
      </c>
      <c r="L88" s="190">
        <v>4000</v>
      </c>
      <c r="M88" s="190">
        <v>4000</v>
      </c>
      <c r="N88" s="190">
        <v>4000</v>
      </c>
      <c r="O88" s="190">
        <v>4000</v>
      </c>
      <c r="P88" s="190">
        <v>4000</v>
      </c>
      <c r="Q88" s="190">
        <v>4000</v>
      </c>
      <c r="R88" s="190">
        <v>4000</v>
      </c>
      <c r="S88" s="190">
        <v>4000</v>
      </c>
      <c r="T88" s="190">
        <v>4000</v>
      </c>
      <c r="U88" s="190">
        <v>4000</v>
      </c>
      <c r="V88" s="190">
        <v>4000</v>
      </c>
      <c r="W88" s="190">
        <v>4000</v>
      </c>
      <c r="X88" s="190">
        <v>4000</v>
      </c>
      <c r="Y88" s="190">
        <v>4000</v>
      </c>
      <c r="Z88" s="190">
        <v>4000</v>
      </c>
      <c r="AA88" s="190">
        <v>4000</v>
      </c>
      <c r="AB88" s="190">
        <v>4000</v>
      </c>
      <c r="AC88" s="190">
        <v>4000</v>
      </c>
      <c r="AD88" s="190">
        <v>4000</v>
      </c>
      <c r="AE88" s="190">
        <v>4000</v>
      </c>
      <c r="AF88" s="190">
        <v>4000</v>
      </c>
      <c r="AG88" s="190">
        <v>4000</v>
      </c>
      <c r="AH88" s="190">
        <v>4000</v>
      </c>
      <c r="AI88" s="190">
        <v>4000</v>
      </c>
      <c r="AJ88" s="190">
        <v>4000</v>
      </c>
      <c r="AK88" s="190">
        <v>4000</v>
      </c>
      <c r="AL88" s="190">
        <v>4000</v>
      </c>
      <c r="AM88" s="190">
        <v>4000</v>
      </c>
      <c r="AN88" s="190">
        <v>4000</v>
      </c>
      <c r="AO88" s="190">
        <v>4000</v>
      </c>
      <c r="AP88" s="190">
        <v>4000</v>
      </c>
      <c r="AQ88" s="190">
        <v>4000</v>
      </c>
      <c r="AR88" s="190">
        <v>4000</v>
      </c>
      <c r="AS88" s="190">
        <v>4000</v>
      </c>
      <c r="AT88" s="190">
        <v>4000</v>
      </c>
      <c r="AU88" s="190">
        <v>4000</v>
      </c>
      <c r="AV88" s="190">
        <v>4000</v>
      </c>
      <c r="AW88" s="179">
        <f t="shared" si="27"/>
        <v>4000</v>
      </c>
      <c r="BD88" s="364" t="str">
        <f t="shared" si="19"/>
        <v>Cat-Chem+ additive</v>
      </c>
      <c r="BE88" s="190">
        <v>4000</v>
      </c>
    </row>
    <row r="89" spans="3:57" x14ac:dyDescent="0.25">
      <c r="C89" s="6" t="s">
        <v>511</v>
      </c>
      <c r="D89" s="190">
        <v>3500</v>
      </c>
      <c r="E89" s="190">
        <v>3500</v>
      </c>
      <c r="F89" s="190">
        <v>3500</v>
      </c>
      <c r="G89" s="190">
        <v>3500</v>
      </c>
      <c r="H89" s="190">
        <v>3500</v>
      </c>
      <c r="I89" s="190">
        <v>3500</v>
      </c>
      <c r="J89" s="190">
        <v>3500</v>
      </c>
      <c r="K89" s="190">
        <v>3500</v>
      </c>
      <c r="L89" s="190">
        <v>3500</v>
      </c>
      <c r="M89" s="190">
        <v>3500</v>
      </c>
      <c r="N89" s="190">
        <v>3500</v>
      </c>
      <c r="O89" s="190">
        <v>3500</v>
      </c>
      <c r="P89" s="190">
        <v>3500</v>
      </c>
      <c r="Q89" s="190">
        <v>3500</v>
      </c>
      <c r="R89" s="190">
        <v>3500</v>
      </c>
      <c r="S89" s="190">
        <v>3500</v>
      </c>
      <c r="T89" s="190">
        <v>3500</v>
      </c>
      <c r="U89" s="190">
        <v>3500</v>
      </c>
      <c r="V89" s="190">
        <v>3500</v>
      </c>
      <c r="W89" s="190">
        <v>3500</v>
      </c>
      <c r="X89" s="190">
        <v>3500</v>
      </c>
      <c r="Y89" s="190">
        <v>3500</v>
      </c>
      <c r="Z89" s="190">
        <v>3500</v>
      </c>
      <c r="AA89" s="190">
        <v>3500</v>
      </c>
      <c r="AB89" s="190">
        <v>3500</v>
      </c>
      <c r="AC89" s="190">
        <v>3500</v>
      </c>
      <c r="AD89" s="190">
        <v>3500</v>
      </c>
      <c r="AE89" s="190">
        <v>3500</v>
      </c>
      <c r="AF89" s="190">
        <v>3500</v>
      </c>
      <c r="AG89" s="190">
        <v>3500</v>
      </c>
      <c r="AH89" s="190">
        <v>3500</v>
      </c>
      <c r="AI89" s="190">
        <v>3500</v>
      </c>
      <c r="AJ89" s="190">
        <v>3500</v>
      </c>
      <c r="AK89" s="190">
        <v>3500</v>
      </c>
      <c r="AL89" s="190">
        <v>3500</v>
      </c>
      <c r="AM89" s="190">
        <v>3500</v>
      </c>
      <c r="AN89" s="190">
        <v>3500</v>
      </c>
      <c r="AO89" s="190">
        <v>3500</v>
      </c>
      <c r="AP89" s="190">
        <v>3500</v>
      </c>
      <c r="AQ89" s="190">
        <v>3500</v>
      </c>
      <c r="AR89" s="190">
        <v>3500</v>
      </c>
      <c r="AS89" s="190">
        <v>3500</v>
      </c>
      <c r="AT89" s="190">
        <v>3500</v>
      </c>
      <c r="AU89" s="190">
        <v>3500</v>
      </c>
      <c r="AV89" s="190">
        <v>3500</v>
      </c>
      <c r="AW89" s="179">
        <f t="shared" si="27"/>
        <v>3500</v>
      </c>
      <c r="BD89" s="364" t="str">
        <f t="shared" si="19"/>
        <v>Utilities</v>
      </c>
      <c r="BE89" s="190">
        <v>3500</v>
      </c>
    </row>
    <row r="90" spans="3:57" x14ac:dyDescent="0.25">
      <c r="C90" s="6" t="s">
        <v>512</v>
      </c>
      <c r="D90" s="190">
        <v>1200</v>
      </c>
      <c r="E90" s="190">
        <v>1200</v>
      </c>
      <c r="F90" s="190">
        <v>1200</v>
      </c>
      <c r="G90" s="190">
        <v>1200</v>
      </c>
      <c r="H90" s="190">
        <v>1200</v>
      </c>
      <c r="I90" s="190">
        <v>1200</v>
      </c>
      <c r="J90" s="190">
        <v>1200</v>
      </c>
      <c r="K90" s="190">
        <v>1200</v>
      </c>
      <c r="L90" s="190">
        <v>1200</v>
      </c>
      <c r="M90" s="190">
        <v>1200</v>
      </c>
      <c r="N90" s="190">
        <v>1200</v>
      </c>
      <c r="O90" s="190">
        <v>1200</v>
      </c>
      <c r="P90" s="190">
        <v>1200</v>
      </c>
      <c r="Q90" s="190">
        <v>1200</v>
      </c>
      <c r="R90" s="190">
        <v>1200</v>
      </c>
      <c r="S90" s="190">
        <v>1200</v>
      </c>
      <c r="T90" s="190">
        <v>1200</v>
      </c>
      <c r="U90" s="190">
        <v>1200</v>
      </c>
      <c r="V90" s="190">
        <v>1200</v>
      </c>
      <c r="W90" s="190">
        <v>1200</v>
      </c>
      <c r="X90" s="190">
        <v>1200</v>
      </c>
      <c r="Y90" s="190">
        <v>1200</v>
      </c>
      <c r="Z90" s="190">
        <v>1200</v>
      </c>
      <c r="AA90" s="190">
        <v>1200</v>
      </c>
      <c r="AB90" s="190">
        <v>1200</v>
      </c>
      <c r="AC90" s="190">
        <v>1200</v>
      </c>
      <c r="AD90" s="190">
        <v>1200</v>
      </c>
      <c r="AE90" s="190">
        <v>1200</v>
      </c>
      <c r="AF90" s="190">
        <v>1200</v>
      </c>
      <c r="AG90" s="190">
        <v>1200</v>
      </c>
      <c r="AH90" s="190">
        <v>1200</v>
      </c>
      <c r="AI90" s="190">
        <v>1200</v>
      </c>
      <c r="AJ90" s="190">
        <v>1200</v>
      </c>
      <c r="AK90" s="190">
        <v>1200</v>
      </c>
      <c r="AL90" s="190">
        <v>1200</v>
      </c>
      <c r="AM90" s="190">
        <v>1200</v>
      </c>
      <c r="AN90" s="190">
        <v>1200</v>
      </c>
      <c r="AO90" s="190">
        <v>1200</v>
      </c>
      <c r="AP90" s="190">
        <v>1200</v>
      </c>
      <c r="AQ90" s="190">
        <v>1200</v>
      </c>
      <c r="AR90" s="190">
        <v>1200</v>
      </c>
      <c r="AS90" s="190">
        <v>1200</v>
      </c>
      <c r="AT90" s="190">
        <v>1200</v>
      </c>
      <c r="AU90" s="190">
        <v>1200</v>
      </c>
      <c r="AV90" s="190">
        <v>1200</v>
      </c>
      <c r="AW90" s="179">
        <f t="shared" si="27"/>
        <v>1200</v>
      </c>
      <c r="BD90" s="364" t="str">
        <f t="shared" si="19"/>
        <v>Overheads</v>
      </c>
      <c r="BE90" s="190">
        <v>1200</v>
      </c>
    </row>
    <row r="91" spans="3:57" x14ac:dyDescent="0.25">
      <c r="C91" s="541" t="s">
        <v>513</v>
      </c>
      <c r="D91" s="190">
        <v>2700</v>
      </c>
      <c r="E91" s="190">
        <v>2700</v>
      </c>
      <c r="F91" s="190">
        <v>2700</v>
      </c>
      <c r="G91" s="190">
        <v>2700</v>
      </c>
      <c r="H91" s="190">
        <v>2700</v>
      </c>
      <c r="I91" s="190">
        <v>2700</v>
      </c>
      <c r="J91" s="190">
        <v>2700</v>
      </c>
      <c r="K91" s="190">
        <v>2700</v>
      </c>
      <c r="L91" s="190">
        <v>2700</v>
      </c>
      <c r="M91" s="190">
        <v>2700</v>
      </c>
      <c r="N91" s="190">
        <v>2700</v>
      </c>
      <c r="O91" s="190">
        <v>2700</v>
      </c>
      <c r="P91" s="190">
        <v>2700</v>
      </c>
      <c r="Q91" s="190">
        <v>2700</v>
      </c>
      <c r="R91" s="190">
        <v>2700</v>
      </c>
      <c r="S91" s="190">
        <v>2700</v>
      </c>
      <c r="T91" s="190">
        <v>2700</v>
      </c>
      <c r="U91" s="190">
        <v>2700</v>
      </c>
      <c r="V91" s="190">
        <v>2700</v>
      </c>
      <c r="W91" s="190">
        <v>2700</v>
      </c>
      <c r="X91" s="190">
        <v>2700</v>
      </c>
      <c r="Y91" s="190">
        <v>2700</v>
      </c>
      <c r="Z91" s="190">
        <v>2700</v>
      </c>
      <c r="AA91" s="190">
        <v>2700</v>
      </c>
      <c r="AB91" s="190">
        <v>2700</v>
      </c>
      <c r="AC91" s="190">
        <v>2700</v>
      </c>
      <c r="AD91" s="190">
        <v>2700</v>
      </c>
      <c r="AE91" s="190">
        <v>2700</v>
      </c>
      <c r="AF91" s="190">
        <v>2700</v>
      </c>
      <c r="AG91" s="190">
        <v>2700</v>
      </c>
      <c r="AH91" s="190">
        <v>2700</v>
      </c>
      <c r="AI91" s="190">
        <v>2700</v>
      </c>
      <c r="AJ91" s="190">
        <v>2700</v>
      </c>
      <c r="AK91" s="190">
        <v>2700</v>
      </c>
      <c r="AL91" s="190">
        <v>2700</v>
      </c>
      <c r="AM91" s="190">
        <v>2700</v>
      </c>
      <c r="AN91" s="190">
        <v>2700</v>
      </c>
      <c r="AO91" s="190">
        <v>2700</v>
      </c>
      <c r="AP91" s="190">
        <v>2700</v>
      </c>
      <c r="AQ91" s="190">
        <v>2700</v>
      </c>
      <c r="AR91" s="190">
        <v>2700</v>
      </c>
      <c r="AS91" s="190">
        <v>2700</v>
      </c>
      <c r="AT91" s="190">
        <v>2700</v>
      </c>
      <c r="AU91" s="190">
        <v>2700</v>
      </c>
      <c r="AV91" s="190">
        <v>2700</v>
      </c>
      <c r="AW91" s="179">
        <f t="shared" si="27"/>
        <v>2700</v>
      </c>
      <c r="BD91" s="364" t="str">
        <f t="shared" si="19"/>
        <v>Depreciation</v>
      </c>
      <c r="BE91" s="190">
        <v>2700</v>
      </c>
    </row>
    <row r="92" spans="3:57" x14ac:dyDescent="0.25">
      <c r="C92" s="541" t="s">
        <v>514</v>
      </c>
      <c r="D92" s="543">
        <v>2000</v>
      </c>
      <c r="E92" s="543">
        <v>2000</v>
      </c>
      <c r="F92" s="543">
        <v>2000</v>
      </c>
      <c r="G92" s="543">
        <v>2000</v>
      </c>
      <c r="H92" s="543">
        <v>2000</v>
      </c>
      <c r="I92" s="543">
        <v>2000</v>
      </c>
      <c r="J92" s="543">
        <v>2000</v>
      </c>
      <c r="K92" s="543">
        <v>2000</v>
      </c>
      <c r="L92" s="543">
        <v>2000</v>
      </c>
      <c r="M92" s="543">
        <v>2000</v>
      </c>
      <c r="N92" s="543">
        <v>2000</v>
      </c>
      <c r="O92" s="543">
        <v>2000</v>
      </c>
      <c r="P92" s="543">
        <v>2000</v>
      </c>
      <c r="Q92" s="543">
        <v>2000</v>
      </c>
      <c r="R92" s="543">
        <v>2000</v>
      </c>
      <c r="S92" s="543">
        <v>2000</v>
      </c>
      <c r="T92" s="543">
        <v>2000</v>
      </c>
      <c r="U92" s="543">
        <v>2000</v>
      </c>
      <c r="V92" s="543">
        <v>2000</v>
      </c>
      <c r="W92" s="543">
        <v>2000</v>
      </c>
      <c r="X92" s="543">
        <v>2000</v>
      </c>
      <c r="Y92" s="543">
        <v>2000</v>
      </c>
      <c r="Z92" s="543">
        <v>2000</v>
      </c>
      <c r="AA92" s="543">
        <v>2000</v>
      </c>
      <c r="AB92" s="543">
        <v>2000</v>
      </c>
      <c r="AC92" s="543">
        <v>2000</v>
      </c>
      <c r="AD92" s="543">
        <v>2000</v>
      </c>
      <c r="AE92" s="543">
        <v>2000</v>
      </c>
      <c r="AF92" s="543">
        <v>2000</v>
      </c>
      <c r="AG92" s="543">
        <v>2000</v>
      </c>
      <c r="AH92" s="543">
        <v>2000</v>
      </c>
      <c r="AI92" s="543">
        <v>2000</v>
      </c>
      <c r="AJ92" s="543">
        <v>2000</v>
      </c>
      <c r="AK92" s="543">
        <v>2000</v>
      </c>
      <c r="AL92" s="543">
        <v>2000</v>
      </c>
      <c r="AM92" s="543">
        <v>2000</v>
      </c>
      <c r="AN92" s="543">
        <v>2000</v>
      </c>
      <c r="AO92" s="543">
        <v>2000</v>
      </c>
      <c r="AP92" s="543">
        <v>2000</v>
      </c>
      <c r="AQ92" s="543">
        <v>2000</v>
      </c>
      <c r="AR92" s="543">
        <v>2000</v>
      </c>
      <c r="AS92" s="543">
        <v>2000</v>
      </c>
      <c r="AT92" s="543">
        <v>2000</v>
      </c>
      <c r="AU92" s="543">
        <v>2000</v>
      </c>
      <c r="AV92" s="543">
        <v>2000</v>
      </c>
      <c r="AW92" s="179">
        <f t="shared" si="27"/>
        <v>2000</v>
      </c>
      <c r="BD92" s="364" t="str">
        <f t="shared" si="19"/>
        <v>Co-product/Byprodcut Credit</v>
      </c>
      <c r="BE92" s="543">
        <v>2000</v>
      </c>
    </row>
    <row r="93" spans="3:57" x14ac:dyDescent="0.25">
      <c r="C93" s="541" t="s">
        <v>573</v>
      </c>
      <c r="D93" s="190">
        <f>'Polymer Prices'!E40</f>
        <v>80539.58795362903</v>
      </c>
      <c r="E93" s="190">
        <f>'Polymer Prices'!F40</f>
        <v>86934.170866935485</v>
      </c>
      <c r="F93" s="190">
        <f>'Polymer Prices'!G40</f>
        <v>89341.653225806454</v>
      </c>
      <c r="G93" s="190">
        <f>'Polymer Prices'!H40</f>
        <v>91140.766129032243</v>
      </c>
      <c r="H93" s="190">
        <f>'Polymer Prices'!I40</f>
        <v>96099.868951612909</v>
      </c>
      <c r="I93" s="190">
        <f>'Polymer Prices'!J40</f>
        <v>97828.508064516122</v>
      </c>
      <c r="J93" s="190">
        <f>'Polymer Prices'!K40</f>
        <v>97836.572580645152</v>
      </c>
      <c r="K93" s="190">
        <f>'Polymer Prices'!L40</f>
        <v>97190.645161290318</v>
      </c>
      <c r="L93" s="190">
        <f>'Polymer Prices'!M40</f>
        <v>97364.107862903213</v>
      </c>
      <c r="M93" s="190">
        <f>'Polymer Prices'!N40</f>
        <v>98086.408770161288</v>
      </c>
      <c r="N93" s="190">
        <f>'Polymer Prices'!O40</f>
        <v>93706.549059139783</v>
      </c>
      <c r="O93" s="190">
        <f>'Polymer Prices'!P40</f>
        <v>83380.277217741939</v>
      </c>
      <c r="P93" s="190">
        <f>'Polymer Prices'!Q40</f>
        <v>81038.145161290318</v>
      </c>
      <c r="Q93" s="190">
        <f>'Polymer Prices'!R40</f>
        <v>79961.224798387091</v>
      </c>
      <c r="R93" s="190">
        <f>'Polymer Prices'!S40</f>
        <v>79961.224798387091</v>
      </c>
      <c r="S93" s="190">
        <f>'Polymer Prices'!T40</f>
        <v>79961.224798387091</v>
      </c>
      <c r="T93" s="190">
        <f>'Polymer Prices'!U40</f>
        <v>77660.846774193546</v>
      </c>
      <c r="U93" s="190">
        <f>'Polymer Prices'!V40</f>
        <v>72853.889616935485</v>
      </c>
      <c r="V93" s="190">
        <f>'Polymer Prices'!W40</f>
        <v>70820.866935483864</v>
      </c>
      <c r="W93" s="190">
        <f>'Polymer Prices'!X40</f>
        <v>71429.147177419349</v>
      </c>
      <c r="X93" s="190">
        <f>'Polymer Prices'!Y40</f>
        <v>70584.057459677424</v>
      </c>
      <c r="Y93" s="190">
        <f>'Polymer Prices'!Z40</f>
        <v>70105.042002688162</v>
      </c>
      <c r="Z93" s="190">
        <f>'Polymer Prices'!AA40</f>
        <v>67182.930947580651</v>
      </c>
      <c r="AA93" s="190">
        <f>'Polymer Prices'!AB40</f>
        <v>66724.662298387091</v>
      </c>
      <c r="AB93" s="190">
        <f>'Polymer Prices'!AC40</f>
        <v>67824.059979838712</v>
      </c>
      <c r="AC93" s="190">
        <f>'Polymer Prices'!AD40</f>
        <v>68500.904737903227</v>
      </c>
      <c r="AD93" s="190">
        <f>'Polymer Prices'!AE40</f>
        <v>68724.480846774197</v>
      </c>
      <c r="AE93" s="190">
        <f>'Polymer Prices'!AF40</f>
        <v>66429.480846774182</v>
      </c>
      <c r="AF93" s="190">
        <f>'Polymer Prices'!AG40</f>
        <v>63588.351814516129</v>
      </c>
      <c r="AG93" s="190">
        <f>'Polymer Prices'!AH40</f>
        <v>66402.384072580651</v>
      </c>
      <c r="AH93" s="190">
        <f>'Polymer Prices'!AI40</f>
        <v>70905.260416666657</v>
      </c>
      <c r="AI93" s="190">
        <f>'Polymer Prices'!AJ40</f>
        <v>72930.645161290318</v>
      </c>
      <c r="AJ93" s="190">
        <f>'Polymer Prices'!AK40</f>
        <v>74167.31182795699</v>
      </c>
      <c r="AK93" s="190">
        <f>'Polymer Prices'!AL40</f>
        <v>76190.645161290318</v>
      </c>
      <c r="AL93" s="190">
        <f>'Polymer Prices'!AM40</f>
        <v>78563.440860215051</v>
      </c>
      <c r="AM93" s="190">
        <f>'Polymer Prices'!AN40</f>
        <v>82576.774193548394</v>
      </c>
      <c r="AN93" s="190">
        <f>'Polymer Prices'!AO40</f>
        <v>83057.285786290318</v>
      </c>
      <c r="AO93" s="190">
        <f>'Polymer Prices'!AP40</f>
        <v>87461.036626344096</v>
      </c>
      <c r="AP93" s="190">
        <f>'Polymer Prices'!AQ40</f>
        <v>95744.682459677424</v>
      </c>
      <c r="AQ93" s="190">
        <f>'Polymer Prices'!AR40</f>
        <v>100247.4932795699</v>
      </c>
      <c r="AR93" s="190">
        <f>'Polymer Prices'!AS40</f>
        <v>93822.923387096787</v>
      </c>
      <c r="AS93" s="190">
        <f>'Polymer Prices'!AT40</f>
        <v>89059.213709677409</v>
      </c>
      <c r="AT93" s="190">
        <f>'Polymer Prices'!AU40</f>
        <v>89672.547043010738</v>
      </c>
      <c r="AU93" s="190">
        <f>'Polymer Prices'!AV40</f>
        <v>92655.342741935485</v>
      </c>
      <c r="AV93" s="190">
        <f>'Polymer Prices'!AW40</f>
        <v>93595.342741935485</v>
      </c>
      <c r="AW93" s="179">
        <f t="shared" si="27"/>
        <v>81774.488584602761</v>
      </c>
      <c r="BD93" s="364" t="str">
        <f t="shared" si="19"/>
        <v>HDPE OPaL Price</v>
      </c>
      <c r="BE93" s="190">
        <f>AW93</f>
        <v>81774.488584602761</v>
      </c>
    </row>
    <row r="94" spans="3:57" x14ac:dyDescent="0.25">
      <c r="C94" s="541" t="s">
        <v>571</v>
      </c>
      <c r="D94" s="190">
        <f>D93-D86</f>
        <v>14936.828551867584</v>
      </c>
      <c r="E94" s="190">
        <f t="shared" ref="E94:AV94" si="28">E93-E86</f>
        <v>20823.231699429583</v>
      </c>
      <c r="F94" s="190">
        <f t="shared" si="28"/>
        <v>28311.792589590666</v>
      </c>
      <c r="G94" s="190">
        <f t="shared" si="28"/>
        <v>21383.831910983543</v>
      </c>
      <c r="H94" s="190">
        <f t="shared" si="28"/>
        <v>20969.548759581579</v>
      </c>
      <c r="I94" s="190">
        <f t="shared" si="28"/>
        <v>22915.957010878366</v>
      </c>
      <c r="J94" s="190">
        <f t="shared" si="28"/>
        <v>19113.837701192329</v>
      </c>
      <c r="K94" s="190">
        <f t="shared" si="28"/>
        <v>16911.524973994528</v>
      </c>
      <c r="L94" s="190">
        <f t="shared" si="28"/>
        <v>17863.752641375017</v>
      </c>
      <c r="M94" s="190">
        <f t="shared" si="28"/>
        <v>18482.859728070442</v>
      </c>
      <c r="N94" s="190">
        <f t="shared" si="28"/>
        <v>15610.909652792223</v>
      </c>
      <c r="O94" s="190">
        <f t="shared" si="28"/>
        <v>10199.261593814299</v>
      </c>
      <c r="P94" s="190">
        <f t="shared" si="28"/>
        <v>14990.646973293551</v>
      </c>
      <c r="Q94" s="190">
        <f t="shared" si="28"/>
        <v>16714.844035275069</v>
      </c>
      <c r="R94" s="190">
        <f t="shared" si="28"/>
        <v>15880.260022118753</v>
      </c>
      <c r="S94" s="190">
        <f t="shared" si="28"/>
        <v>15786.497542891899</v>
      </c>
      <c r="T94" s="190">
        <f t="shared" si="28"/>
        <v>10507.867076237177</v>
      </c>
      <c r="U94" s="190">
        <f t="shared" si="28"/>
        <v>8356.7892642751831</v>
      </c>
      <c r="V94" s="190">
        <f t="shared" si="28"/>
        <v>5832.1281064883369</v>
      </c>
      <c r="W94" s="190">
        <f t="shared" si="28"/>
        <v>9294.6784419442847</v>
      </c>
      <c r="X94" s="190">
        <f t="shared" si="28"/>
        <v>12150.071890172789</v>
      </c>
      <c r="Y94" s="190">
        <f t="shared" si="28"/>
        <v>9963.1934533877866</v>
      </c>
      <c r="Z94" s="190">
        <f t="shared" si="28"/>
        <v>5595.792361166772</v>
      </c>
      <c r="AA94" s="190">
        <f t="shared" si="28"/>
        <v>6054.3564468018958</v>
      </c>
      <c r="AB94" s="190">
        <f t="shared" si="28"/>
        <v>4101.0444125684371</v>
      </c>
      <c r="AC94" s="190">
        <f t="shared" si="28"/>
        <v>5001.5643359546593</v>
      </c>
      <c r="AD94" s="190">
        <f t="shared" si="28"/>
        <v>11078.527072274672</v>
      </c>
      <c r="AE94" s="190">
        <f t="shared" si="28"/>
        <v>6656.6857285719598</v>
      </c>
      <c r="AF94" s="190">
        <f t="shared" si="28"/>
        <v>7306.570700538221</v>
      </c>
      <c r="AG94" s="190">
        <f t="shared" si="28"/>
        <v>16590.041629118168</v>
      </c>
      <c r="AH94" s="190">
        <f t="shared" si="28"/>
        <v>14080.797882234336</v>
      </c>
      <c r="AI94" s="190">
        <f t="shared" si="28"/>
        <v>17577.200707121141</v>
      </c>
      <c r="AJ94" s="190">
        <f t="shared" si="28"/>
        <v>18772.7776913938</v>
      </c>
      <c r="AK94" s="190">
        <f t="shared" si="28"/>
        <v>19391.102056212607</v>
      </c>
      <c r="AL94" s="190">
        <f t="shared" si="28"/>
        <v>25177.293725013784</v>
      </c>
      <c r="AM94" s="190">
        <f t="shared" si="28"/>
        <v>26489.375418333475</v>
      </c>
      <c r="AN94" s="190">
        <f t="shared" si="28"/>
        <v>25356.473418237852</v>
      </c>
      <c r="AO94" s="190">
        <f t="shared" si="28"/>
        <v>23603.695653136769</v>
      </c>
      <c r="AP94" s="190">
        <f t="shared" si="28"/>
        <v>28987.516332699481</v>
      </c>
      <c r="AQ94" s="190">
        <f t="shared" si="28"/>
        <v>37137.813058922293</v>
      </c>
      <c r="AR94" s="190">
        <f t="shared" si="28"/>
        <v>30918.575175496735</v>
      </c>
      <c r="AS94" s="190">
        <f t="shared" si="28"/>
        <v>24612.082929501805</v>
      </c>
      <c r="AT94" s="190">
        <f t="shared" si="28"/>
        <v>17484.8670476072</v>
      </c>
      <c r="AU94" s="190">
        <f t="shared" si="28"/>
        <v>22813.174881123588</v>
      </c>
      <c r="AV94" s="190">
        <f t="shared" si="28"/>
        <v>21612.599044212475</v>
      </c>
      <c r="AW94" s="179">
        <f t="shared" si="27"/>
        <v>16964.449807286601</v>
      </c>
      <c r="BD94" s="364" t="str">
        <f t="shared" si="19"/>
        <v>Contribution Per MT INR</v>
      </c>
      <c r="BE94" s="190">
        <f>BE93-BE86</f>
        <v>24918.988272750001</v>
      </c>
    </row>
    <row r="95" spans="3:57" x14ac:dyDescent="0.25">
      <c r="C95" s="541" t="s">
        <v>572</v>
      </c>
      <c r="D95" s="190">
        <f>D94/D74</f>
        <v>235.819838204414</v>
      </c>
      <c r="E95" s="190">
        <f t="shared" ref="E95:AV95" si="29">E94/E74</f>
        <v>324.70344143816601</v>
      </c>
      <c r="F95" s="190">
        <f t="shared" si="29"/>
        <v>434.09678916882348</v>
      </c>
      <c r="G95" s="190">
        <f t="shared" si="29"/>
        <v>329.33669969172246</v>
      </c>
      <c r="H95" s="190">
        <f t="shared" si="29"/>
        <v>313.82144207694677</v>
      </c>
      <c r="I95" s="190">
        <f t="shared" si="29"/>
        <v>342.0547355903928</v>
      </c>
      <c r="J95" s="190">
        <f t="shared" si="29"/>
        <v>277.79721969613149</v>
      </c>
      <c r="K95" s="190">
        <f t="shared" si="29"/>
        <v>246.72149644750934</v>
      </c>
      <c r="L95" s="190">
        <f t="shared" si="29"/>
        <v>251.58443266495343</v>
      </c>
      <c r="M95" s="190">
        <f t="shared" si="29"/>
        <v>250.5471021834139</v>
      </c>
      <c r="N95" s="190">
        <f t="shared" si="29"/>
        <v>215.50123761447023</v>
      </c>
      <c r="O95" s="190">
        <f t="shared" si="29"/>
        <v>146.43591663767836</v>
      </c>
      <c r="P95" s="190">
        <f t="shared" si="29"/>
        <v>215.53769911277573</v>
      </c>
      <c r="Q95" s="190">
        <f t="shared" si="29"/>
        <v>233.98675768565926</v>
      </c>
      <c r="R95" s="190">
        <f t="shared" si="29"/>
        <v>223.66563411434865</v>
      </c>
      <c r="S95" s="190">
        <f t="shared" si="29"/>
        <v>228.22751977579728</v>
      </c>
      <c r="T95" s="190">
        <f t="shared" si="29"/>
        <v>152.07854513694446</v>
      </c>
      <c r="U95" s="190">
        <f t="shared" si="29"/>
        <v>120.10332371766576</v>
      </c>
      <c r="V95" s="190">
        <f t="shared" si="29"/>
        <v>85.202748086023917</v>
      </c>
      <c r="W95" s="190">
        <f t="shared" si="29"/>
        <v>133.35263187868415</v>
      </c>
      <c r="X95" s="190">
        <f t="shared" si="29"/>
        <v>169.58715737557108</v>
      </c>
      <c r="Y95" s="190">
        <f t="shared" si="29"/>
        <v>140.67339856530583</v>
      </c>
      <c r="Z95" s="190">
        <f t="shared" si="29"/>
        <v>79.081293967874103</v>
      </c>
      <c r="AA95" s="190">
        <f t="shared" si="29"/>
        <v>84.934085922336266</v>
      </c>
      <c r="AB95" s="190">
        <f t="shared" si="29"/>
        <v>57.141485475385778</v>
      </c>
      <c r="AC95" s="190">
        <f t="shared" si="29"/>
        <v>69.898180923131278</v>
      </c>
      <c r="AD95" s="190">
        <f t="shared" si="29"/>
        <v>149.70173331542446</v>
      </c>
      <c r="AE95" s="190">
        <f t="shared" si="29"/>
        <v>87.311102012984605</v>
      </c>
      <c r="AF95" s="190">
        <f t="shared" si="29"/>
        <v>96.457652253339603</v>
      </c>
      <c r="AG95" s="190">
        <f t="shared" si="29"/>
        <v>219.56116502273912</v>
      </c>
      <c r="AH95" s="190">
        <f t="shared" si="29"/>
        <v>188.65959968693844</v>
      </c>
      <c r="AI95" s="190">
        <f t="shared" si="29"/>
        <v>234.62545660634765</v>
      </c>
      <c r="AJ95" s="190">
        <f t="shared" si="29"/>
        <v>256.1472757357011</v>
      </c>
      <c r="AK95" s="190">
        <f t="shared" si="29"/>
        <v>264.58046194859605</v>
      </c>
      <c r="AL95" s="190">
        <f t="shared" si="29"/>
        <v>340.35328257244146</v>
      </c>
      <c r="AM95" s="190">
        <f t="shared" si="29"/>
        <v>359.14388354099913</v>
      </c>
      <c r="AN95" s="190">
        <f t="shared" si="29"/>
        <v>346.77890342229006</v>
      </c>
      <c r="AO95" s="190">
        <f t="shared" si="29"/>
        <v>324.18205813949686</v>
      </c>
      <c r="AP95" s="190">
        <f t="shared" si="29"/>
        <v>396.11254895735829</v>
      </c>
      <c r="AQ95" s="190">
        <f t="shared" si="29"/>
        <v>506.17163771190258</v>
      </c>
      <c r="AR95" s="190">
        <f t="shared" si="29"/>
        <v>417.53646422007745</v>
      </c>
      <c r="AS95" s="190">
        <f t="shared" si="29"/>
        <v>337.79965590861661</v>
      </c>
      <c r="AT95" s="190">
        <f t="shared" si="29"/>
        <v>234.65840465438049</v>
      </c>
      <c r="AU95" s="190">
        <f t="shared" si="29"/>
        <v>307.28953234272075</v>
      </c>
      <c r="AV95" s="190">
        <f t="shared" si="29"/>
        <v>296.13602044630835</v>
      </c>
      <c r="AW95" s="581">
        <f t="shared" si="27"/>
        <v>238.33550337001756</v>
      </c>
      <c r="BD95" s="364" t="str">
        <f t="shared" si="19"/>
        <v>Contribution Per MT USD</v>
      </c>
      <c r="BE95" s="190">
        <f>BE94/BE74</f>
        <v>332.25317697000003</v>
      </c>
    </row>
    <row r="96" spans="3:57" x14ac:dyDescent="0.25">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BD96" s="364">
        <f t="shared" si="19"/>
        <v>0</v>
      </c>
      <c r="BE96" s="1"/>
    </row>
    <row r="97" spans="3:57" s="362" customFormat="1" x14ac:dyDescent="0.25">
      <c r="C97" s="8" t="s">
        <v>509</v>
      </c>
      <c r="D97" s="542">
        <f>SUM(D98:D103)</f>
        <v>60432.312375628819</v>
      </c>
      <c r="E97" s="542">
        <f t="shared" ref="E97:AV97" si="30">SUM(E98:E103)</f>
        <v>61131.217663091498</v>
      </c>
      <c r="F97" s="542">
        <f t="shared" si="30"/>
        <v>57405.541331845307</v>
      </c>
      <c r="G97" s="542">
        <f t="shared" si="30"/>
        <v>57175.014328336052</v>
      </c>
      <c r="H97" s="542">
        <f t="shared" si="30"/>
        <v>73546.219056719667</v>
      </c>
      <c r="I97" s="542">
        <f t="shared" si="30"/>
        <v>75065.137763926323</v>
      </c>
      <c r="J97" s="542">
        <f t="shared" si="30"/>
        <v>77559.038538323701</v>
      </c>
      <c r="K97" s="542">
        <f t="shared" si="30"/>
        <v>81413.678999154741</v>
      </c>
      <c r="L97" s="542">
        <f t="shared" si="30"/>
        <v>83573.18618536416</v>
      </c>
      <c r="M97" s="542">
        <f t="shared" si="30"/>
        <v>92168.146310430777</v>
      </c>
      <c r="N97" s="542">
        <f t="shared" si="30"/>
        <v>84987.62558658504</v>
      </c>
      <c r="O97" s="542">
        <f t="shared" si="30"/>
        <v>79508.026192321238</v>
      </c>
      <c r="P97" s="542">
        <f t="shared" si="30"/>
        <v>67615.55449553355</v>
      </c>
      <c r="Q97" s="542">
        <f t="shared" si="30"/>
        <v>67060.612715317096</v>
      </c>
      <c r="R97" s="542">
        <f t="shared" si="30"/>
        <v>71853.192467868692</v>
      </c>
      <c r="S97" s="542">
        <f t="shared" si="30"/>
        <v>72633.039643461059</v>
      </c>
      <c r="T97" s="542">
        <f t="shared" si="30"/>
        <v>78673.131877333653</v>
      </c>
      <c r="U97" s="542">
        <f t="shared" si="30"/>
        <v>69247.007052338828</v>
      </c>
      <c r="V97" s="542">
        <f t="shared" si="30"/>
        <v>67928.24346293672</v>
      </c>
      <c r="W97" s="542">
        <f t="shared" si="30"/>
        <v>63043.131205488309</v>
      </c>
      <c r="X97" s="542">
        <f t="shared" si="30"/>
        <v>57776.44238974106</v>
      </c>
      <c r="Y97" s="542">
        <f t="shared" si="30"/>
        <v>65861.254487728394</v>
      </c>
      <c r="Z97" s="542">
        <f t="shared" si="30"/>
        <v>66195.712358196426</v>
      </c>
      <c r="AA97" s="542">
        <f t="shared" si="30"/>
        <v>66656.211983284084</v>
      </c>
      <c r="AB97" s="542">
        <f t="shared" si="30"/>
        <v>70480.55583678282</v>
      </c>
      <c r="AC97" s="542">
        <f t="shared" si="30"/>
        <v>69507.232622474286</v>
      </c>
      <c r="AD97" s="542">
        <f t="shared" si="30"/>
        <v>55775.82090195507</v>
      </c>
      <c r="AE97" s="542">
        <f t="shared" si="30"/>
        <v>63140.878273015034</v>
      </c>
      <c r="AF97" s="542">
        <f t="shared" si="30"/>
        <v>55328.781759998441</v>
      </c>
      <c r="AG97" s="542">
        <f t="shared" si="30"/>
        <v>53173.641201865059</v>
      </c>
      <c r="AH97" s="542">
        <f t="shared" si="30"/>
        <v>57954.221263664942</v>
      </c>
      <c r="AI97" s="542">
        <f t="shared" si="30"/>
        <v>55637.46463586211</v>
      </c>
      <c r="AJ97" s="542">
        <f t="shared" si="30"/>
        <v>57198.226336060514</v>
      </c>
      <c r="AK97" s="542">
        <f t="shared" si="30"/>
        <v>56485.099337782347</v>
      </c>
      <c r="AL97" s="542">
        <f t="shared" si="30"/>
        <v>57378.083843818866</v>
      </c>
      <c r="AM97" s="542">
        <f t="shared" si="30"/>
        <v>63233.120332228151</v>
      </c>
      <c r="AN97" s="542">
        <f t="shared" si="30"/>
        <v>62151.023862699032</v>
      </c>
      <c r="AO97" s="542">
        <f t="shared" si="30"/>
        <v>71821.798065907875</v>
      </c>
      <c r="AP97" s="542">
        <f t="shared" si="30"/>
        <v>76350.828285809941</v>
      </c>
      <c r="AQ97" s="542">
        <f t="shared" si="30"/>
        <v>72419.310953299559</v>
      </c>
      <c r="AR97" s="542">
        <f t="shared" si="30"/>
        <v>75466.924380644181</v>
      </c>
      <c r="AS97" s="542">
        <f t="shared" si="30"/>
        <v>74827.071015388385</v>
      </c>
      <c r="AT97" s="542">
        <f t="shared" si="30"/>
        <v>89598.091479975876</v>
      </c>
      <c r="AU97" s="542">
        <f t="shared" si="30"/>
        <v>83071.984643568154</v>
      </c>
      <c r="AV97" s="542">
        <f t="shared" si="30"/>
        <v>83594.693717632748</v>
      </c>
      <c r="AW97" s="179">
        <f>AVERAGE(D97:AV97)</f>
        <v>68957.85624936418</v>
      </c>
      <c r="BD97" s="364" t="str">
        <f t="shared" si="19"/>
        <v>PP Cost of Production</v>
      </c>
      <c r="BE97" s="542">
        <f>SUM(BE98:BE103)</f>
        <v>72467.59696176654</v>
      </c>
    </row>
    <row r="98" spans="3:57" x14ac:dyDescent="0.25">
      <c r="C98" s="6" t="s">
        <v>506</v>
      </c>
      <c r="D98" s="190">
        <f>1.049*D50</f>
        <v>53632.312375628819</v>
      </c>
      <c r="E98" s="190">
        <f t="shared" ref="E98:AV98" si="31">1.049*E50</f>
        <v>54331.217663091498</v>
      </c>
      <c r="F98" s="190">
        <f t="shared" si="31"/>
        <v>50605.541331845307</v>
      </c>
      <c r="G98" s="190">
        <f t="shared" si="31"/>
        <v>50375.014328336052</v>
      </c>
      <c r="H98" s="190">
        <f t="shared" si="31"/>
        <v>66746.219056719667</v>
      </c>
      <c r="I98" s="190">
        <f t="shared" si="31"/>
        <v>68265.137763926323</v>
      </c>
      <c r="J98" s="190">
        <f t="shared" si="31"/>
        <v>70759.038538323701</v>
      </c>
      <c r="K98" s="190">
        <f t="shared" si="31"/>
        <v>74613.678999154741</v>
      </c>
      <c r="L98" s="190">
        <f t="shared" si="31"/>
        <v>76773.18618536416</v>
      </c>
      <c r="M98" s="190">
        <f t="shared" si="31"/>
        <v>85368.146310430777</v>
      </c>
      <c r="N98" s="190">
        <f t="shared" si="31"/>
        <v>78187.62558658504</v>
      </c>
      <c r="O98" s="190">
        <f t="shared" si="31"/>
        <v>72708.026192321238</v>
      </c>
      <c r="P98" s="190">
        <f t="shared" si="31"/>
        <v>60815.55449553355</v>
      </c>
      <c r="Q98" s="190">
        <f t="shared" si="31"/>
        <v>60260.612715317096</v>
      </c>
      <c r="R98" s="190">
        <f t="shared" si="31"/>
        <v>65053.192467868692</v>
      </c>
      <c r="S98" s="190">
        <f t="shared" si="31"/>
        <v>65833.039643461059</v>
      </c>
      <c r="T98" s="190">
        <f t="shared" si="31"/>
        <v>71873.131877333653</v>
      </c>
      <c r="U98" s="190">
        <f t="shared" si="31"/>
        <v>62447.00705233882</v>
      </c>
      <c r="V98" s="190">
        <f t="shared" si="31"/>
        <v>61128.243462936727</v>
      </c>
      <c r="W98" s="190">
        <f t="shared" si="31"/>
        <v>56243.131205488309</v>
      </c>
      <c r="X98" s="190">
        <f t="shared" si="31"/>
        <v>50976.44238974106</v>
      </c>
      <c r="Y98" s="190">
        <f t="shared" si="31"/>
        <v>59061.254487728394</v>
      </c>
      <c r="Z98" s="190">
        <f t="shared" si="31"/>
        <v>59395.712358196426</v>
      </c>
      <c r="AA98" s="190">
        <f t="shared" si="31"/>
        <v>59856.211983284084</v>
      </c>
      <c r="AB98" s="190">
        <f t="shared" si="31"/>
        <v>63680.555836782813</v>
      </c>
      <c r="AC98" s="190">
        <f t="shared" si="31"/>
        <v>62707.232622474286</v>
      </c>
      <c r="AD98" s="190">
        <f t="shared" si="31"/>
        <v>48975.82090195507</v>
      </c>
      <c r="AE98" s="190">
        <f t="shared" si="31"/>
        <v>56340.878273015034</v>
      </c>
      <c r="AF98" s="190">
        <f t="shared" si="31"/>
        <v>48528.781759998441</v>
      </c>
      <c r="AG98" s="190">
        <f t="shared" si="31"/>
        <v>46373.641201865059</v>
      </c>
      <c r="AH98" s="190">
        <f t="shared" si="31"/>
        <v>51154.221263664942</v>
      </c>
      <c r="AI98" s="190">
        <f t="shared" si="31"/>
        <v>48837.46463586211</v>
      </c>
      <c r="AJ98" s="190">
        <f t="shared" si="31"/>
        <v>50398.226336060514</v>
      </c>
      <c r="AK98" s="190">
        <f t="shared" si="31"/>
        <v>49685.099337782347</v>
      </c>
      <c r="AL98" s="190">
        <f t="shared" si="31"/>
        <v>50578.083843818866</v>
      </c>
      <c r="AM98" s="190">
        <f t="shared" si="31"/>
        <v>56433.120332228151</v>
      </c>
      <c r="AN98" s="190">
        <f t="shared" si="31"/>
        <v>55351.023862699032</v>
      </c>
      <c r="AO98" s="190">
        <f t="shared" si="31"/>
        <v>65021.798065907875</v>
      </c>
      <c r="AP98" s="190">
        <f t="shared" si="31"/>
        <v>69550.828285809941</v>
      </c>
      <c r="AQ98" s="190">
        <f t="shared" si="31"/>
        <v>65619.310953299559</v>
      </c>
      <c r="AR98" s="190">
        <f t="shared" si="31"/>
        <v>68666.924380644181</v>
      </c>
      <c r="AS98" s="190">
        <f t="shared" si="31"/>
        <v>68027.071015388385</v>
      </c>
      <c r="AT98" s="190">
        <f t="shared" si="31"/>
        <v>82798.091479975876</v>
      </c>
      <c r="AU98" s="190">
        <f t="shared" si="31"/>
        <v>76271.984643568154</v>
      </c>
      <c r="AV98" s="190">
        <f t="shared" si="31"/>
        <v>76794.693717632748</v>
      </c>
      <c r="AW98" s="179">
        <f t="shared" ref="AW98:AW106" si="32">AVERAGE(D98:AV98)</f>
        <v>62157.856249364195</v>
      </c>
      <c r="BD98" s="364" t="str">
        <f t="shared" si="19"/>
        <v>Raw materials</v>
      </c>
      <c r="BE98" s="190">
        <f>1.049*BE50</f>
        <v>65667.59696176654</v>
      </c>
    </row>
    <row r="99" spans="3:57" x14ac:dyDescent="0.25">
      <c r="C99" s="6" t="s">
        <v>510</v>
      </c>
      <c r="D99" s="190">
        <v>2500</v>
      </c>
      <c r="E99" s="190">
        <v>2500</v>
      </c>
      <c r="F99" s="190">
        <v>2500</v>
      </c>
      <c r="G99" s="190">
        <v>2500</v>
      </c>
      <c r="H99" s="190">
        <v>2500</v>
      </c>
      <c r="I99" s="190">
        <v>2500</v>
      </c>
      <c r="J99" s="190">
        <v>2500</v>
      </c>
      <c r="K99" s="190">
        <v>2500</v>
      </c>
      <c r="L99" s="190">
        <v>2500</v>
      </c>
      <c r="M99" s="190">
        <v>2500</v>
      </c>
      <c r="N99" s="190">
        <v>2500</v>
      </c>
      <c r="O99" s="190">
        <v>2500</v>
      </c>
      <c r="P99" s="190">
        <v>2500</v>
      </c>
      <c r="Q99" s="190">
        <v>2500</v>
      </c>
      <c r="R99" s="190">
        <v>2500</v>
      </c>
      <c r="S99" s="190">
        <v>2500</v>
      </c>
      <c r="T99" s="190">
        <v>2500</v>
      </c>
      <c r="U99" s="190">
        <v>2500</v>
      </c>
      <c r="V99" s="190">
        <v>2500</v>
      </c>
      <c r="W99" s="190">
        <v>2500</v>
      </c>
      <c r="X99" s="190">
        <v>2500</v>
      </c>
      <c r="Y99" s="190">
        <v>2500</v>
      </c>
      <c r="Z99" s="190">
        <v>2500</v>
      </c>
      <c r="AA99" s="190">
        <v>2500</v>
      </c>
      <c r="AB99" s="190">
        <v>2500</v>
      </c>
      <c r="AC99" s="190">
        <v>2500</v>
      </c>
      <c r="AD99" s="190">
        <v>2500</v>
      </c>
      <c r="AE99" s="190">
        <v>2500</v>
      </c>
      <c r="AF99" s="190">
        <v>2500</v>
      </c>
      <c r="AG99" s="190">
        <v>2500</v>
      </c>
      <c r="AH99" s="190">
        <v>2500</v>
      </c>
      <c r="AI99" s="190">
        <v>2500</v>
      </c>
      <c r="AJ99" s="190">
        <v>2500</v>
      </c>
      <c r="AK99" s="190">
        <v>2500</v>
      </c>
      <c r="AL99" s="190">
        <v>2500</v>
      </c>
      <c r="AM99" s="190">
        <v>2500</v>
      </c>
      <c r="AN99" s="190">
        <v>2500</v>
      </c>
      <c r="AO99" s="190">
        <v>2500</v>
      </c>
      <c r="AP99" s="190">
        <v>2500</v>
      </c>
      <c r="AQ99" s="190">
        <v>2500</v>
      </c>
      <c r="AR99" s="190">
        <v>2500</v>
      </c>
      <c r="AS99" s="190">
        <v>2500</v>
      </c>
      <c r="AT99" s="190">
        <v>2500</v>
      </c>
      <c r="AU99" s="190">
        <v>2500</v>
      </c>
      <c r="AV99" s="190">
        <v>2500</v>
      </c>
      <c r="AW99" s="179">
        <f t="shared" si="32"/>
        <v>2500</v>
      </c>
      <c r="BD99" s="364" t="str">
        <f t="shared" si="19"/>
        <v>Cat-Chem+ additive</v>
      </c>
      <c r="BE99" s="190">
        <v>2500</v>
      </c>
    </row>
    <row r="100" spans="3:57" x14ac:dyDescent="0.25">
      <c r="C100" s="6" t="s">
        <v>511</v>
      </c>
      <c r="D100" s="190">
        <v>2500</v>
      </c>
      <c r="E100" s="190">
        <v>2500</v>
      </c>
      <c r="F100" s="190">
        <v>2500</v>
      </c>
      <c r="G100" s="190">
        <v>2500</v>
      </c>
      <c r="H100" s="190">
        <v>2500</v>
      </c>
      <c r="I100" s="190">
        <v>2500</v>
      </c>
      <c r="J100" s="190">
        <v>2500</v>
      </c>
      <c r="K100" s="190">
        <v>2500</v>
      </c>
      <c r="L100" s="190">
        <v>2500</v>
      </c>
      <c r="M100" s="190">
        <v>2500</v>
      </c>
      <c r="N100" s="190">
        <v>2500</v>
      </c>
      <c r="O100" s="190">
        <v>2500</v>
      </c>
      <c r="P100" s="190">
        <v>2500</v>
      </c>
      <c r="Q100" s="190">
        <v>2500</v>
      </c>
      <c r="R100" s="190">
        <v>2500</v>
      </c>
      <c r="S100" s="190">
        <v>2500</v>
      </c>
      <c r="T100" s="190">
        <v>2500</v>
      </c>
      <c r="U100" s="190">
        <v>2500</v>
      </c>
      <c r="V100" s="190">
        <v>2500</v>
      </c>
      <c r="W100" s="190">
        <v>2500</v>
      </c>
      <c r="X100" s="190">
        <v>2500</v>
      </c>
      <c r="Y100" s="190">
        <v>2500</v>
      </c>
      <c r="Z100" s="190">
        <v>2500</v>
      </c>
      <c r="AA100" s="190">
        <v>2500</v>
      </c>
      <c r="AB100" s="190">
        <v>2500</v>
      </c>
      <c r="AC100" s="190">
        <v>2500</v>
      </c>
      <c r="AD100" s="190">
        <v>2500</v>
      </c>
      <c r="AE100" s="190">
        <v>2500</v>
      </c>
      <c r="AF100" s="190">
        <v>2500</v>
      </c>
      <c r="AG100" s="190">
        <v>2500</v>
      </c>
      <c r="AH100" s="190">
        <v>2500</v>
      </c>
      <c r="AI100" s="190">
        <v>2500</v>
      </c>
      <c r="AJ100" s="190">
        <v>2500</v>
      </c>
      <c r="AK100" s="190">
        <v>2500</v>
      </c>
      <c r="AL100" s="190">
        <v>2500</v>
      </c>
      <c r="AM100" s="190">
        <v>2500</v>
      </c>
      <c r="AN100" s="190">
        <v>2500</v>
      </c>
      <c r="AO100" s="190">
        <v>2500</v>
      </c>
      <c r="AP100" s="190">
        <v>2500</v>
      </c>
      <c r="AQ100" s="190">
        <v>2500</v>
      </c>
      <c r="AR100" s="190">
        <v>2500</v>
      </c>
      <c r="AS100" s="190">
        <v>2500</v>
      </c>
      <c r="AT100" s="190">
        <v>2500</v>
      </c>
      <c r="AU100" s="190">
        <v>2500</v>
      </c>
      <c r="AV100" s="190">
        <v>2500</v>
      </c>
      <c r="AW100" s="179">
        <f t="shared" si="32"/>
        <v>2500</v>
      </c>
      <c r="BD100" s="364" t="str">
        <f t="shared" si="19"/>
        <v>Utilities</v>
      </c>
      <c r="BE100" s="190">
        <v>2500</v>
      </c>
    </row>
    <row r="101" spans="3:57" x14ac:dyDescent="0.25">
      <c r="C101" s="6" t="s">
        <v>512</v>
      </c>
      <c r="D101" s="190">
        <v>1600</v>
      </c>
      <c r="E101" s="190">
        <v>1600</v>
      </c>
      <c r="F101" s="190">
        <v>1600</v>
      </c>
      <c r="G101" s="190">
        <v>1600</v>
      </c>
      <c r="H101" s="190">
        <v>1600</v>
      </c>
      <c r="I101" s="190">
        <v>1600</v>
      </c>
      <c r="J101" s="190">
        <v>1600</v>
      </c>
      <c r="K101" s="190">
        <v>1600</v>
      </c>
      <c r="L101" s="190">
        <v>1600</v>
      </c>
      <c r="M101" s="190">
        <v>1600</v>
      </c>
      <c r="N101" s="190">
        <v>1600</v>
      </c>
      <c r="O101" s="190">
        <v>1600</v>
      </c>
      <c r="P101" s="190">
        <v>1600</v>
      </c>
      <c r="Q101" s="190">
        <v>1600</v>
      </c>
      <c r="R101" s="190">
        <v>1600</v>
      </c>
      <c r="S101" s="190">
        <v>1600</v>
      </c>
      <c r="T101" s="190">
        <v>1600</v>
      </c>
      <c r="U101" s="190">
        <v>1600</v>
      </c>
      <c r="V101" s="190">
        <v>1600</v>
      </c>
      <c r="W101" s="190">
        <v>1600</v>
      </c>
      <c r="X101" s="190">
        <v>1600</v>
      </c>
      <c r="Y101" s="190">
        <v>1600</v>
      </c>
      <c r="Z101" s="190">
        <v>1600</v>
      </c>
      <c r="AA101" s="190">
        <v>1600</v>
      </c>
      <c r="AB101" s="190">
        <v>1600</v>
      </c>
      <c r="AC101" s="190">
        <v>1600</v>
      </c>
      <c r="AD101" s="190">
        <v>1600</v>
      </c>
      <c r="AE101" s="190">
        <v>1600</v>
      </c>
      <c r="AF101" s="190">
        <v>1600</v>
      </c>
      <c r="AG101" s="190">
        <v>1600</v>
      </c>
      <c r="AH101" s="190">
        <v>1600</v>
      </c>
      <c r="AI101" s="190">
        <v>1600</v>
      </c>
      <c r="AJ101" s="190">
        <v>1600</v>
      </c>
      <c r="AK101" s="190">
        <v>1600</v>
      </c>
      <c r="AL101" s="190">
        <v>1600</v>
      </c>
      <c r="AM101" s="190">
        <v>1600</v>
      </c>
      <c r="AN101" s="190">
        <v>1600</v>
      </c>
      <c r="AO101" s="190">
        <v>1600</v>
      </c>
      <c r="AP101" s="190">
        <v>1600</v>
      </c>
      <c r="AQ101" s="190">
        <v>1600</v>
      </c>
      <c r="AR101" s="190">
        <v>1600</v>
      </c>
      <c r="AS101" s="190">
        <v>1600</v>
      </c>
      <c r="AT101" s="190">
        <v>1600</v>
      </c>
      <c r="AU101" s="190">
        <v>1600</v>
      </c>
      <c r="AV101" s="190">
        <v>1600</v>
      </c>
      <c r="AW101" s="179">
        <f t="shared" si="32"/>
        <v>1600</v>
      </c>
      <c r="BD101" s="364" t="str">
        <f t="shared" si="19"/>
        <v>Overheads</v>
      </c>
      <c r="BE101" s="190">
        <v>1600</v>
      </c>
    </row>
    <row r="102" spans="3:57" x14ac:dyDescent="0.25">
      <c r="C102" s="541" t="s">
        <v>513</v>
      </c>
      <c r="D102" s="190">
        <v>1900</v>
      </c>
      <c r="E102" s="190">
        <v>1900</v>
      </c>
      <c r="F102" s="190">
        <v>1900</v>
      </c>
      <c r="G102" s="190">
        <v>1900</v>
      </c>
      <c r="H102" s="190">
        <v>1900</v>
      </c>
      <c r="I102" s="190">
        <v>1900</v>
      </c>
      <c r="J102" s="190">
        <v>1900</v>
      </c>
      <c r="K102" s="190">
        <v>1900</v>
      </c>
      <c r="L102" s="190">
        <v>1900</v>
      </c>
      <c r="M102" s="190">
        <v>1900</v>
      </c>
      <c r="N102" s="190">
        <v>1900</v>
      </c>
      <c r="O102" s="190">
        <v>1900</v>
      </c>
      <c r="P102" s="190">
        <v>1900</v>
      </c>
      <c r="Q102" s="190">
        <v>1900</v>
      </c>
      <c r="R102" s="190">
        <v>1900</v>
      </c>
      <c r="S102" s="190">
        <v>1900</v>
      </c>
      <c r="T102" s="190">
        <v>1900</v>
      </c>
      <c r="U102" s="190">
        <v>1900</v>
      </c>
      <c r="V102" s="190">
        <v>1900</v>
      </c>
      <c r="W102" s="190">
        <v>1900</v>
      </c>
      <c r="X102" s="190">
        <v>1900</v>
      </c>
      <c r="Y102" s="190">
        <v>1900</v>
      </c>
      <c r="Z102" s="190">
        <v>1900</v>
      </c>
      <c r="AA102" s="190">
        <v>1900</v>
      </c>
      <c r="AB102" s="190">
        <v>1900</v>
      </c>
      <c r="AC102" s="190">
        <v>1900</v>
      </c>
      <c r="AD102" s="190">
        <v>1900</v>
      </c>
      <c r="AE102" s="190">
        <v>1900</v>
      </c>
      <c r="AF102" s="190">
        <v>1900</v>
      </c>
      <c r="AG102" s="190">
        <v>1900</v>
      </c>
      <c r="AH102" s="190">
        <v>1900</v>
      </c>
      <c r="AI102" s="190">
        <v>1900</v>
      </c>
      <c r="AJ102" s="190">
        <v>1900</v>
      </c>
      <c r="AK102" s="190">
        <v>1900</v>
      </c>
      <c r="AL102" s="190">
        <v>1900</v>
      </c>
      <c r="AM102" s="190">
        <v>1900</v>
      </c>
      <c r="AN102" s="190">
        <v>1900</v>
      </c>
      <c r="AO102" s="190">
        <v>1900</v>
      </c>
      <c r="AP102" s="190">
        <v>1900</v>
      </c>
      <c r="AQ102" s="190">
        <v>1900</v>
      </c>
      <c r="AR102" s="190">
        <v>1900</v>
      </c>
      <c r="AS102" s="190">
        <v>1900</v>
      </c>
      <c r="AT102" s="190">
        <v>1900</v>
      </c>
      <c r="AU102" s="190">
        <v>1900</v>
      </c>
      <c r="AV102" s="190">
        <v>1900</v>
      </c>
      <c r="AW102" s="179">
        <f t="shared" si="32"/>
        <v>1900</v>
      </c>
      <c r="BD102" s="364" t="str">
        <f t="shared" si="19"/>
        <v>Depreciation</v>
      </c>
      <c r="BE102" s="190">
        <v>1900</v>
      </c>
    </row>
    <row r="103" spans="3:57" x14ac:dyDescent="0.25">
      <c r="C103" s="541" t="s">
        <v>514</v>
      </c>
      <c r="D103" s="543">
        <v>-1700</v>
      </c>
      <c r="E103" s="543">
        <v>-1700</v>
      </c>
      <c r="F103" s="543">
        <v>-1700</v>
      </c>
      <c r="G103" s="543">
        <v>-1700</v>
      </c>
      <c r="H103" s="543">
        <v>-1700</v>
      </c>
      <c r="I103" s="543">
        <v>-1700</v>
      </c>
      <c r="J103" s="543">
        <v>-1700</v>
      </c>
      <c r="K103" s="543">
        <v>-1700</v>
      </c>
      <c r="L103" s="543">
        <v>-1700</v>
      </c>
      <c r="M103" s="543">
        <v>-1700</v>
      </c>
      <c r="N103" s="543">
        <v>-1700</v>
      </c>
      <c r="O103" s="543">
        <v>-1700</v>
      </c>
      <c r="P103" s="543">
        <v>-1700</v>
      </c>
      <c r="Q103" s="543">
        <v>-1700</v>
      </c>
      <c r="R103" s="543">
        <v>-1700</v>
      </c>
      <c r="S103" s="543">
        <v>-1700</v>
      </c>
      <c r="T103" s="543">
        <v>-1700</v>
      </c>
      <c r="U103" s="543">
        <v>-1700</v>
      </c>
      <c r="V103" s="543">
        <v>-1700</v>
      </c>
      <c r="W103" s="543">
        <v>-1700</v>
      </c>
      <c r="X103" s="543">
        <v>-1700</v>
      </c>
      <c r="Y103" s="543">
        <v>-1700</v>
      </c>
      <c r="Z103" s="543">
        <v>-1700</v>
      </c>
      <c r="AA103" s="543">
        <v>-1700</v>
      </c>
      <c r="AB103" s="543">
        <v>-1700</v>
      </c>
      <c r="AC103" s="543">
        <v>-1700</v>
      </c>
      <c r="AD103" s="543">
        <v>-1700</v>
      </c>
      <c r="AE103" s="543">
        <v>-1700</v>
      </c>
      <c r="AF103" s="543">
        <v>-1700</v>
      </c>
      <c r="AG103" s="543">
        <v>-1700</v>
      </c>
      <c r="AH103" s="543">
        <v>-1700</v>
      </c>
      <c r="AI103" s="543">
        <v>-1700</v>
      </c>
      <c r="AJ103" s="543">
        <v>-1700</v>
      </c>
      <c r="AK103" s="543">
        <v>-1700</v>
      </c>
      <c r="AL103" s="543">
        <v>-1700</v>
      </c>
      <c r="AM103" s="543">
        <v>-1700</v>
      </c>
      <c r="AN103" s="543">
        <v>-1700</v>
      </c>
      <c r="AO103" s="543">
        <v>-1700</v>
      </c>
      <c r="AP103" s="543">
        <v>-1700</v>
      </c>
      <c r="AQ103" s="543">
        <v>-1700</v>
      </c>
      <c r="AR103" s="543">
        <v>-1700</v>
      </c>
      <c r="AS103" s="543">
        <v>-1700</v>
      </c>
      <c r="AT103" s="543">
        <v>-1700</v>
      </c>
      <c r="AU103" s="543">
        <v>-1700</v>
      </c>
      <c r="AV103" s="543">
        <v>-1700</v>
      </c>
      <c r="AW103" s="179">
        <f t="shared" si="32"/>
        <v>-1700</v>
      </c>
      <c r="BD103" s="364" t="str">
        <f t="shared" si="19"/>
        <v>Co-product/Byprodcut Credit</v>
      </c>
      <c r="BE103" s="543">
        <v>-1700</v>
      </c>
    </row>
    <row r="104" spans="3:57" x14ac:dyDescent="0.25">
      <c r="C104" s="541" t="s">
        <v>573</v>
      </c>
      <c r="D104" s="190">
        <f>'Polymer Prices'!E42</f>
        <v>82316.144548146898</v>
      </c>
      <c r="E104" s="190">
        <f>'Polymer Prices'!F42</f>
        <v>87120.247838398529</v>
      </c>
      <c r="F104" s="190">
        <f>'Polymer Prices'!G42</f>
        <v>88230.55929702321</v>
      </c>
      <c r="G104" s="190">
        <f>'Polymer Prices'!H42</f>
        <v>88137.702676638582</v>
      </c>
      <c r="H104" s="190">
        <f>'Polymer Prices'!I42</f>
        <v>90726.081075997456</v>
      </c>
      <c r="I104" s="190">
        <f>'Polymer Prices'!J42</f>
        <v>93640.936364928682</v>
      </c>
      <c r="J104" s="190">
        <f>'Polymer Prices'!K42</f>
        <v>92952.565226764884</v>
      </c>
      <c r="K104" s="190">
        <f>'Polymer Prices'!L42</f>
        <v>90410.936364928682</v>
      </c>
      <c r="L104" s="190">
        <f>'Polymer Prices'!M42</f>
        <v>92250.936364928682</v>
      </c>
      <c r="M104" s="190">
        <f>'Polymer Prices'!N42</f>
        <v>94825.936364928682</v>
      </c>
      <c r="N104" s="190">
        <f>'Polymer Prices'!O42</f>
        <v>91827.603031595354</v>
      </c>
      <c r="O104" s="190">
        <f>'Polymer Prices'!P42</f>
        <v>79800.936364928682</v>
      </c>
      <c r="P104" s="190">
        <f>'Polymer Prices'!Q42</f>
        <v>79925.936364928668</v>
      </c>
      <c r="Q104" s="190">
        <f>'Polymer Prices'!R42</f>
        <v>82092.565226764898</v>
      </c>
      <c r="R104" s="190">
        <f>'Polymer Prices'!S42</f>
        <v>83705.936364928682</v>
      </c>
      <c r="S104" s="190">
        <f>'Polymer Prices'!T42</f>
        <v>86337.244991853178</v>
      </c>
      <c r="T104" s="190">
        <f>'Polymer Prices'!U42</f>
        <v>88343.09322299331</v>
      </c>
      <c r="U104" s="190">
        <f>'Polymer Prices'!V42</f>
        <v>84371.0867978694</v>
      </c>
      <c r="V104" s="190">
        <f>'Polymer Prices'!W42</f>
        <v>82533.667556645247</v>
      </c>
      <c r="W104" s="190">
        <f>'Polymer Prices'!X42</f>
        <v>83915.296418481477</v>
      </c>
      <c r="X104" s="190">
        <f>'Polymer Prices'!Y42</f>
        <v>85998.353851846667</v>
      </c>
      <c r="Y104" s="190">
        <f>'Polymer Prices'!Z42</f>
        <v>83680.839372426868</v>
      </c>
      <c r="Z104" s="190">
        <f>'Polymer Prices'!AA42</f>
        <v>78296.420131202744</v>
      </c>
      <c r="AA104" s="190">
        <f>'Polymer Prices'!AB42</f>
        <v>74908.667556645261</v>
      </c>
      <c r="AB104" s="190">
        <f>'Polymer Prices'!AC42</f>
        <v>75368.667556645261</v>
      </c>
      <c r="AC104" s="190">
        <f>'Polymer Prices'!AD42</f>
        <v>74755.334223311933</v>
      </c>
      <c r="AD104" s="190">
        <f>'Polymer Prices'!AE42</f>
        <v>71698.667556645261</v>
      </c>
      <c r="AE104" s="190">
        <f>'Polymer Prices'!AF42</f>
        <v>67093.667556645261</v>
      </c>
      <c r="AF104" s="190">
        <f>'Polymer Prices'!AG42</f>
        <v>66173.667556645261</v>
      </c>
      <c r="AG104" s="190">
        <f>'Polymer Prices'!AH42</f>
        <v>70296.297866503111</v>
      </c>
      <c r="AH104" s="190">
        <f>'Polymer Prices'!AI42</f>
        <v>73811.225510968739</v>
      </c>
      <c r="AI104" s="190">
        <f>'Polymer Prices'!AJ42</f>
        <v>73104.932138219243</v>
      </c>
      <c r="AJ104" s="190">
        <f>'Polymer Prices'!AK42</f>
        <v>73109.932138219243</v>
      </c>
      <c r="AK104" s="190">
        <f>'Polymer Prices'!AL42</f>
        <v>76518.265471552571</v>
      </c>
      <c r="AL104" s="190">
        <f>'Polymer Prices'!AM42</f>
        <v>82074.932138219243</v>
      </c>
      <c r="AM104" s="190">
        <f>'Polymer Prices'!AN42</f>
        <v>90244.932138219243</v>
      </c>
      <c r="AN104" s="190">
        <f>'Polymer Prices'!AO42</f>
        <v>93047.449038505991</v>
      </c>
      <c r="AO104" s="190">
        <f>'Polymer Prices'!AP42</f>
        <v>98603.920574120828</v>
      </c>
      <c r="AP104" s="190">
        <f>'Polymer Prices'!AQ42</f>
        <v>112597.05572119531</v>
      </c>
      <c r="AQ104" s="190">
        <f>'Polymer Prices'!AR42</f>
        <v>112518.32981716725</v>
      </c>
      <c r="AR104" s="190">
        <f>'Polymer Prices'!AS42</f>
        <v>106216.66315050058</v>
      </c>
      <c r="AS104" s="190">
        <f>'Polymer Prices'!AT42</f>
        <v>98978.114255042339</v>
      </c>
      <c r="AT104" s="190">
        <f>'Polymer Prices'!AU42</f>
        <v>99434.349797459188</v>
      </c>
      <c r="AU104" s="190">
        <f>'Polymer Prices'!AV42</f>
        <v>103781.54397226339</v>
      </c>
      <c r="AV104" s="190">
        <f>'Polymer Prices'!AW42</f>
        <v>105181.5439722634</v>
      </c>
      <c r="AW104" s="179">
        <f t="shared" si="32"/>
        <v>86465.759678357994</v>
      </c>
      <c r="BD104" s="364" t="str">
        <f t="shared" si="19"/>
        <v>HDPE OPaL Price</v>
      </c>
      <c r="BE104" s="190">
        <f>AW104</f>
        <v>86465.759678357994</v>
      </c>
    </row>
    <row r="105" spans="3:57" x14ac:dyDescent="0.25">
      <c r="C105" s="541" t="s">
        <v>571</v>
      </c>
      <c r="D105" s="190">
        <f>D104-D97</f>
        <v>21883.832172518079</v>
      </c>
      <c r="E105" s="190">
        <f t="shared" ref="E105:AV105" si="33">E104-E97</f>
        <v>25989.030175307031</v>
      </c>
      <c r="F105" s="190">
        <f t="shared" si="33"/>
        <v>30825.017965177904</v>
      </c>
      <c r="G105" s="190">
        <f t="shared" si="33"/>
        <v>30962.68834830253</v>
      </c>
      <c r="H105" s="190">
        <f t="shared" si="33"/>
        <v>17179.862019277789</v>
      </c>
      <c r="I105" s="190">
        <f t="shared" si="33"/>
        <v>18575.79860100236</v>
      </c>
      <c r="J105" s="190">
        <f t="shared" si="33"/>
        <v>15393.526688441183</v>
      </c>
      <c r="K105" s="190">
        <f t="shared" si="33"/>
        <v>8997.2573657739413</v>
      </c>
      <c r="L105" s="190">
        <f t="shared" si="33"/>
        <v>8677.7501795645221</v>
      </c>
      <c r="M105" s="190">
        <f t="shared" si="33"/>
        <v>2657.7900544979057</v>
      </c>
      <c r="N105" s="190">
        <f t="shared" si="33"/>
        <v>6839.9774450103141</v>
      </c>
      <c r="O105" s="190">
        <f t="shared" si="33"/>
        <v>292.91017260744411</v>
      </c>
      <c r="P105" s="190">
        <f t="shared" si="33"/>
        <v>12310.381869395118</v>
      </c>
      <c r="Q105" s="190">
        <f t="shared" si="33"/>
        <v>15031.952511447802</v>
      </c>
      <c r="R105" s="190">
        <f t="shared" si="33"/>
        <v>11852.743897059991</v>
      </c>
      <c r="S105" s="190">
        <f t="shared" si="33"/>
        <v>13704.205348392119</v>
      </c>
      <c r="T105" s="190">
        <f t="shared" si="33"/>
        <v>9669.9613456596562</v>
      </c>
      <c r="U105" s="190">
        <f t="shared" si="33"/>
        <v>15124.079745530573</v>
      </c>
      <c r="V105" s="190">
        <f t="shared" si="33"/>
        <v>14605.424093708527</v>
      </c>
      <c r="W105" s="190">
        <f t="shared" si="33"/>
        <v>20872.165212993168</v>
      </c>
      <c r="X105" s="190">
        <f t="shared" si="33"/>
        <v>28221.911462105607</v>
      </c>
      <c r="Y105" s="190">
        <f t="shared" si="33"/>
        <v>17819.584884698474</v>
      </c>
      <c r="Z105" s="190">
        <f t="shared" si="33"/>
        <v>12100.707773006317</v>
      </c>
      <c r="AA105" s="190">
        <f t="shared" si="33"/>
        <v>8252.4555733611778</v>
      </c>
      <c r="AB105" s="190">
        <f t="shared" si="33"/>
        <v>4888.1117198624415</v>
      </c>
      <c r="AC105" s="190">
        <f t="shared" si="33"/>
        <v>5248.1016008376464</v>
      </c>
      <c r="AD105" s="190">
        <f t="shared" si="33"/>
        <v>15922.846654690191</v>
      </c>
      <c r="AE105" s="190">
        <f t="shared" si="33"/>
        <v>3952.7892836302271</v>
      </c>
      <c r="AF105" s="190">
        <f t="shared" si="33"/>
        <v>10844.88579664682</v>
      </c>
      <c r="AG105" s="190">
        <f t="shared" si="33"/>
        <v>17122.656664638052</v>
      </c>
      <c r="AH105" s="190">
        <f t="shared" si="33"/>
        <v>15857.004247303797</v>
      </c>
      <c r="AI105" s="190">
        <f t="shared" si="33"/>
        <v>17467.467502357133</v>
      </c>
      <c r="AJ105" s="190">
        <f t="shared" si="33"/>
        <v>15911.705802158729</v>
      </c>
      <c r="AK105" s="190">
        <f t="shared" si="33"/>
        <v>20033.166133770224</v>
      </c>
      <c r="AL105" s="190">
        <f t="shared" si="33"/>
        <v>24696.848294400377</v>
      </c>
      <c r="AM105" s="190">
        <f t="shared" si="33"/>
        <v>27011.811805991092</v>
      </c>
      <c r="AN105" s="190">
        <f t="shared" si="33"/>
        <v>30896.425175806959</v>
      </c>
      <c r="AO105" s="190">
        <f t="shared" si="33"/>
        <v>26782.122508212953</v>
      </c>
      <c r="AP105" s="190">
        <f t="shared" si="33"/>
        <v>36246.227435385372</v>
      </c>
      <c r="AQ105" s="190">
        <f t="shared" si="33"/>
        <v>40099.018863867692</v>
      </c>
      <c r="AR105" s="190">
        <f t="shared" si="33"/>
        <v>30749.738769856398</v>
      </c>
      <c r="AS105" s="190">
        <f t="shared" si="33"/>
        <v>24151.043239653955</v>
      </c>
      <c r="AT105" s="190">
        <f t="shared" si="33"/>
        <v>9836.2583174833126</v>
      </c>
      <c r="AU105" s="190">
        <f t="shared" si="33"/>
        <v>20709.559328695235</v>
      </c>
      <c r="AV105" s="190">
        <f t="shared" si="33"/>
        <v>21586.850254630655</v>
      </c>
      <c r="AW105" s="179">
        <f t="shared" si="32"/>
        <v>17507.903428993755</v>
      </c>
      <c r="BD105" s="364" t="str">
        <f t="shared" si="19"/>
        <v>Contribution Per MT INR</v>
      </c>
      <c r="BE105" s="190">
        <f>BE104-BE97</f>
        <v>13998.162716591454</v>
      </c>
    </row>
    <row r="106" spans="3:57" x14ac:dyDescent="0.25">
      <c r="C106" s="541" t="s">
        <v>572</v>
      </c>
      <c r="D106" s="190">
        <f>D105/D74</f>
        <v>345.49782400565329</v>
      </c>
      <c r="E106" s="190">
        <f t="shared" ref="E106:AV106" si="34">E105/E74</f>
        <v>405.25542141442435</v>
      </c>
      <c r="F106" s="190">
        <f t="shared" si="34"/>
        <v>472.63137021125277</v>
      </c>
      <c r="G106" s="190">
        <f t="shared" si="34"/>
        <v>476.86259584633495</v>
      </c>
      <c r="H106" s="190">
        <f t="shared" si="34"/>
        <v>257.10658514333721</v>
      </c>
      <c r="I106" s="190">
        <f t="shared" si="34"/>
        <v>277.27141728490722</v>
      </c>
      <c r="J106" s="190">
        <f t="shared" si="34"/>
        <v>223.72686125196108</v>
      </c>
      <c r="K106" s="190">
        <f t="shared" si="34"/>
        <v>131.26059327119324</v>
      </c>
      <c r="L106" s="190">
        <f t="shared" si="34"/>
        <v>122.21322694971512</v>
      </c>
      <c r="M106" s="190">
        <f t="shared" si="34"/>
        <v>36.028060925822231</v>
      </c>
      <c r="N106" s="190">
        <f t="shared" si="34"/>
        <v>94.42265937341682</v>
      </c>
      <c r="O106" s="190">
        <f t="shared" si="34"/>
        <v>4.2054583288936698</v>
      </c>
      <c r="P106" s="190">
        <f t="shared" si="34"/>
        <v>177.00045822279105</v>
      </c>
      <c r="Q106" s="190">
        <f t="shared" si="34"/>
        <v>210.4283966045748</v>
      </c>
      <c r="R106" s="190">
        <f t="shared" si="34"/>
        <v>166.94005488816887</v>
      </c>
      <c r="S106" s="190">
        <f t="shared" si="34"/>
        <v>198.12354125187392</v>
      </c>
      <c r="T106" s="190">
        <f t="shared" si="34"/>
        <v>139.95168023242863</v>
      </c>
      <c r="U106" s="190">
        <f t="shared" si="34"/>
        <v>217.36245681992776</v>
      </c>
      <c r="V106" s="190">
        <f t="shared" si="34"/>
        <v>213.37361714694705</v>
      </c>
      <c r="W106" s="190">
        <f t="shared" si="34"/>
        <v>299.45717665700386</v>
      </c>
      <c r="X106" s="190">
        <f t="shared" si="34"/>
        <v>393.91320346298568</v>
      </c>
      <c r="Y106" s="190">
        <f t="shared" si="34"/>
        <v>251.60021016164453</v>
      </c>
      <c r="Z106" s="190">
        <f t="shared" si="34"/>
        <v>171.01056773609832</v>
      </c>
      <c r="AA106" s="190">
        <f t="shared" si="34"/>
        <v>115.77031793500804</v>
      </c>
      <c r="AB106" s="190">
        <f t="shared" si="34"/>
        <v>68.108007800786424</v>
      </c>
      <c r="AC106" s="190">
        <f t="shared" si="34"/>
        <v>73.34360423223599</v>
      </c>
      <c r="AD106" s="190">
        <f t="shared" si="34"/>
        <v>215.1619730648369</v>
      </c>
      <c r="AE106" s="190">
        <f t="shared" si="34"/>
        <v>51.845978982833742</v>
      </c>
      <c r="AF106" s="190">
        <f t="shared" si="34"/>
        <v>143.16869921248889</v>
      </c>
      <c r="AG106" s="190">
        <f t="shared" si="34"/>
        <v>226.61006702803138</v>
      </c>
      <c r="AH106" s="190">
        <f t="shared" si="34"/>
        <v>212.4578520727772</v>
      </c>
      <c r="AI106" s="190">
        <f t="shared" si="34"/>
        <v>233.16070668958744</v>
      </c>
      <c r="AJ106" s="190">
        <f t="shared" si="34"/>
        <v>217.10905868764382</v>
      </c>
      <c r="AK106" s="190">
        <f t="shared" si="34"/>
        <v>273.34105790380983</v>
      </c>
      <c r="AL106" s="190">
        <f t="shared" si="34"/>
        <v>333.85849480088109</v>
      </c>
      <c r="AM106" s="190">
        <f t="shared" si="34"/>
        <v>366.22709445871021</v>
      </c>
      <c r="AN106" s="190">
        <f t="shared" si="34"/>
        <v>422.54410798423083</v>
      </c>
      <c r="AO106" s="190">
        <f t="shared" si="34"/>
        <v>367.83577129807651</v>
      </c>
      <c r="AP106" s="190">
        <f t="shared" si="34"/>
        <v>495.30236998340212</v>
      </c>
      <c r="AQ106" s="190">
        <f t="shared" si="34"/>
        <v>546.5315369206445</v>
      </c>
      <c r="AR106" s="190">
        <f t="shared" si="34"/>
        <v>415.25643173337471</v>
      </c>
      <c r="AS106" s="190">
        <f t="shared" si="34"/>
        <v>331.47190831257143</v>
      </c>
      <c r="AT106" s="190">
        <f t="shared" si="34"/>
        <v>132.00904978370346</v>
      </c>
      <c r="AU106" s="190">
        <f t="shared" si="34"/>
        <v>278.95419354384745</v>
      </c>
      <c r="AV106" s="190">
        <f t="shared" si="34"/>
        <v>295.78321030707099</v>
      </c>
      <c r="AW106" s="581">
        <f t="shared" si="32"/>
        <v>246.6998873317313</v>
      </c>
      <c r="BD106" s="364" t="str">
        <f t="shared" si="19"/>
        <v>Contribution Per MT USD</v>
      </c>
      <c r="BE106" s="190">
        <f>BE105/BE74</f>
        <v>186.64216955455274</v>
      </c>
    </row>
  </sheetData>
  <mergeCells count="6">
    <mergeCell ref="C63:AW63"/>
    <mergeCell ref="BD26:BE28"/>
    <mergeCell ref="C4:AF4"/>
    <mergeCell ref="C26:AE26"/>
    <mergeCell ref="C56:AW56"/>
    <mergeCell ref="C61:AW6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BJ137"/>
  <sheetViews>
    <sheetView showGridLines="0" topLeftCell="A25" zoomScale="96" zoomScaleNormal="96" workbookViewId="0">
      <selection activeCell="C48" sqref="C48"/>
    </sheetView>
  </sheetViews>
  <sheetFormatPr defaultRowHeight="15" x14ac:dyDescent="0.25"/>
  <cols>
    <col min="3" max="3" width="70" bestFit="1" customWidth="1"/>
    <col min="4" max="4" width="17.42578125" bestFit="1" customWidth="1"/>
    <col min="5" max="48" width="12.5703125" customWidth="1"/>
    <col min="49" max="49" width="17.140625" bestFit="1" customWidth="1"/>
    <col min="50" max="50" width="13.85546875" bestFit="1" customWidth="1"/>
    <col min="52" max="55" width="9.140625" style="361"/>
    <col min="56" max="56" width="57.28515625" style="367" bestFit="1" customWidth="1"/>
    <col min="57" max="57" width="15.42578125" style="361" bestFit="1" customWidth="1"/>
    <col min="58" max="58" width="10.42578125" bestFit="1" customWidth="1"/>
    <col min="59" max="59" width="18.28515625" style="361" bestFit="1" customWidth="1"/>
    <col min="60" max="60" width="15.42578125" bestFit="1" customWidth="1"/>
  </cols>
  <sheetData>
    <row r="1" spans="3:62" s="361" customFormat="1" x14ac:dyDescent="0.25">
      <c r="C1" s="6" t="s">
        <v>295</v>
      </c>
      <c r="D1" s="408" t="s">
        <v>356</v>
      </c>
      <c r="E1" s="408" t="s">
        <v>357</v>
      </c>
      <c r="F1" s="408" t="s">
        <v>358</v>
      </c>
      <c r="G1" s="408" t="s">
        <v>221</v>
      </c>
      <c r="BD1" s="367"/>
    </row>
    <row r="2" spans="3:62" x14ac:dyDescent="0.25">
      <c r="C2" s="6" t="s">
        <v>354</v>
      </c>
      <c r="D2" s="6">
        <f>'DFCU Yields as per PwC'!B32</f>
        <v>0.98795180722891562</v>
      </c>
      <c r="E2" s="6">
        <f>'DFCU Yields as per PwC'!C32</f>
        <v>0.65714285714285725</v>
      </c>
      <c r="F2" s="6">
        <f>'DFCU Yields as per PwC'!D32</f>
        <v>0.57894736842105254</v>
      </c>
      <c r="G2" s="6">
        <f>'DFCU Yields as per PwC'!E32</f>
        <v>0.62378167641325533</v>
      </c>
    </row>
    <row r="3" spans="3:62" x14ac:dyDescent="0.25">
      <c r="C3" s="6" t="s">
        <v>355</v>
      </c>
      <c r="D3" s="6">
        <f>'DFCU Yields as per PwC'!B33</f>
        <v>1.2048192771084376E-2</v>
      </c>
      <c r="E3" s="6">
        <f>'DFCU Yields as per PwC'!C33</f>
        <v>0.34285714285714275</v>
      </c>
      <c r="F3" s="6">
        <f>'DFCU Yields as per PwC'!D33</f>
        <v>0.42105263157894746</v>
      </c>
      <c r="G3" s="6">
        <f>'DFCU Yields as per PwC'!E33</f>
        <v>0.37621832358674467</v>
      </c>
    </row>
    <row r="4" spans="3:62" s="361" customFormat="1" x14ac:dyDescent="0.25">
      <c r="C4" s="6"/>
      <c r="D4" s="8">
        <v>52.32</v>
      </c>
      <c r="E4" s="6"/>
      <c r="F4" s="6"/>
      <c r="G4" s="6"/>
      <c r="BD4" s="367"/>
    </row>
    <row r="5" spans="3:62" s="361" customFormat="1" x14ac:dyDescent="0.25">
      <c r="C5" s="623" t="s">
        <v>348</v>
      </c>
      <c r="D5" s="392">
        <v>43101</v>
      </c>
      <c r="E5" s="392">
        <v>43132</v>
      </c>
      <c r="F5" s="392">
        <v>43160</v>
      </c>
      <c r="G5" s="392">
        <v>43191</v>
      </c>
      <c r="H5" s="392">
        <v>43221</v>
      </c>
      <c r="I5" s="392">
        <v>43252</v>
      </c>
      <c r="J5" s="392">
        <v>43282</v>
      </c>
      <c r="K5" s="392">
        <v>43313</v>
      </c>
      <c r="L5" s="392">
        <v>43344</v>
      </c>
      <c r="M5" s="392">
        <v>43374</v>
      </c>
      <c r="N5" s="392">
        <v>43405</v>
      </c>
      <c r="O5" s="392">
        <v>43435</v>
      </c>
      <c r="P5" s="392">
        <v>43466</v>
      </c>
      <c r="Q5" s="392">
        <v>43497</v>
      </c>
      <c r="R5" s="392">
        <v>43525</v>
      </c>
      <c r="S5" s="392">
        <v>43556</v>
      </c>
      <c r="T5" s="392">
        <v>43586</v>
      </c>
      <c r="U5" s="392">
        <v>43617</v>
      </c>
      <c r="V5" s="392">
        <v>43647</v>
      </c>
      <c r="W5" s="392">
        <v>43678</v>
      </c>
      <c r="X5" s="392">
        <v>43709</v>
      </c>
      <c r="Y5" s="392">
        <v>43739</v>
      </c>
      <c r="Z5" s="392">
        <v>43770</v>
      </c>
      <c r="AA5" s="392">
        <v>43800</v>
      </c>
      <c r="AB5" s="392">
        <v>43831</v>
      </c>
      <c r="AC5" s="392">
        <v>43862</v>
      </c>
      <c r="AD5" s="392">
        <v>43891</v>
      </c>
      <c r="AE5" s="392">
        <v>43922</v>
      </c>
      <c r="AF5" s="392">
        <v>43952</v>
      </c>
      <c r="AG5" s="392">
        <v>43983</v>
      </c>
      <c r="AH5" s="392">
        <v>44013</v>
      </c>
      <c r="AI5" s="392">
        <v>44044</v>
      </c>
      <c r="AJ5" s="392">
        <v>44075</v>
      </c>
      <c r="AK5" s="392">
        <v>44105</v>
      </c>
      <c r="AL5" s="392">
        <v>44136</v>
      </c>
      <c r="AM5" s="392">
        <v>44166</v>
      </c>
      <c r="AN5" s="392">
        <v>44197</v>
      </c>
      <c r="AO5" s="392">
        <v>44228</v>
      </c>
      <c r="AP5" s="392">
        <v>44256</v>
      </c>
      <c r="AQ5" s="392">
        <v>44287</v>
      </c>
      <c r="AR5" s="392">
        <v>44317</v>
      </c>
      <c r="AS5" s="392">
        <v>44348</v>
      </c>
      <c r="AT5" s="392">
        <v>44378</v>
      </c>
      <c r="AU5" s="392">
        <v>44409</v>
      </c>
      <c r="AV5" s="392">
        <v>44440</v>
      </c>
      <c r="AW5" s="389" t="s">
        <v>145</v>
      </c>
      <c r="BD5" s="364" t="str">
        <f t="shared" ref="BD5:BD11" si="0">C5</f>
        <v>FEED PRICES</v>
      </c>
      <c r="BE5" s="607">
        <v>44440</v>
      </c>
      <c r="BG5" s="607">
        <v>44440</v>
      </c>
    </row>
    <row r="6" spans="3:62" x14ac:dyDescent="0.25">
      <c r="C6" s="390" t="s">
        <v>515</v>
      </c>
      <c r="D6" s="216">
        <v>588.71747803983283</v>
      </c>
      <c r="E6" s="216">
        <v>590.5166939044143</v>
      </c>
      <c r="F6" s="216">
        <v>697.78287680121571</v>
      </c>
      <c r="G6" s="216">
        <v>681.42454890166846</v>
      </c>
      <c r="H6" s="216">
        <v>532.3526503234558</v>
      </c>
      <c r="I6" s="216">
        <v>730.85571449593704</v>
      </c>
      <c r="J6" s="216">
        <v>820.83952969259474</v>
      </c>
      <c r="K6" s="216">
        <v>848.76389635213764</v>
      </c>
      <c r="L6" s="216">
        <v>855.08139761372263</v>
      </c>
      <c r="M6" s="216">
        <v>527.8315687615243</v>
      </c>
      <c r="N6" s="216">
        <v>471.73000011868834</v>
      </c>
      <c r="O6" s="216">
        <v>472.32823204179397</v>
      </c>
      <c r="P6" s="216">
        <v>485.42626573181502</v>
      </c>
      <c r="Q6" s="216">
        <v>473.45156542531328</v>
      </c>
      <c r="R6" s="216">
        <v>474.77449331991664</v>
      </c>
      <c r="S6" s="216">
        <v>500.52275091136357</v>
      </c>
      <c r="T6" s="216">
        <v>498.62795398097768</v>
      </c>
      <c r="U6" s="216">
        <v>504.14172973696628</v>
      </c>
      <c r="V6" s="216">
        <v>508.72936665809738</v>
      </c>
      <c r="W6" s="216">
        <v>523.61636871898418</v>
      </c>
      <c r="X6" s="216">
        <v>500.36000004283744</v>
      </c>
      <c r="Y6" s="216">
        <v>466.0347425271932</v>
      </c>
      <c r="Z6" s="216">
        <v>465.93751661043797</v>
      </c>
      <c r="AA6" s="216">
        <v>473.43695153748098</v>
      </c>
      <c r="AB6" s="216">
        <v>485.07790171480923</v>
      </c>
      <c r="AC6" s="216">
        <v>491.94148646081072</v>
      </c>
      <c r="AD6" s="216">
        <v>478.00000032326852</v>
      </c>
      <c r="AE6" s="216">
        <v>419.17000060293611</v>
      </c>
      <c r="AF6" s="216">
        <v>424.15999967242971</v>
      </c>
      <c r="AG6" s="216">
        <v>433.9918654607971</v>
      </c>
      <c r="AH6" s="216">
        <v>422.8099998265464</v>
      </c>
      <c r="AI6" s="216">
        <v>431.71774172522294</v>
      </c>
      <c r="AJ6" s="216">
        <v>446.67492597593485</v>
      </c>
      <c r="AK6" s="216">
        <v>387.22429350629227</v>
      </c>
      <c r="AL6" s="216">
        <v>373.93378285309001</v>
      </c>
      <c r="AM6" s="216">
        <v>398.59872219785996</v>
      </c>
      <c r="AN6" s="216">
        <v>382.97957857159861</v>
      </c>
      <c r="AO6" s="216">
        <v>394.25686870691135</v>
      </c>
      <c r="AP6" s="216">
        <v>397.41889127123829</v>
      </c>
      <c r="AQ6" s="216">
        <v>389.46177620250131</v>
      </c>
      <c r="AR6" s="216">
        <v>394.68561667610368</v>
      </c>
      <c r="AS6" s="216">
        <v>392.87951437789502</v>
      </c>
      <c r="AT6" s="216">
        <v>397.67757430152795</v>
      </c>
      <c r="AU6" s="216">
        <v>383.1864303433241</v>
      </c>
      <c r="AV6" s="216">
        <v>384.75592293798354</v>
      </c>
      <c r="AW6" s="179">
        <f t="shared" ref="AW6:AW11" si="1">AVERAGE(D6:AV6)</f>
        <v>497.86415968794341</v>
      </c>
      <c r="BD6" s="364" t="str">
        <f t="shared" si="0"/>
        <v>Ethane Weighted Average Prices (INR/MMBTU)</v>
      </c>
      <c r="BE6" s="179">
        <f t="shared" ref="BE6:BE11" si="2">AW6</f>
        <v>497.86415968794341</v>
      </c>
      <c r="BG6" s="179">
        <f t="shared" ref="BG6:BG11" si="3">BE6</f>
        <v>497.86415968794341</v>
      </c>
    </row>
    <row r="7" spans="3:62" x14ac:dyDescent="0.25">
      <c r="C7" s="390" t="s">
        <v>516</v>
      </c>
      <c r="D7" s="216">
        <v>28994.924777010401</v>
      </c>
      <c r="E7" s="216">
        <v>29083.53795837006</v>
      </c>
      <c r="F7" s="216">
        <v>34366.504780699324</v>
      </c>
      <c r="G7" s="216">
        <v>33560.84076592559</v>
      </c>
      <c r="H7" s="216">
        <v>26218.900621677058</v>
      </c>
      <c r="I7" s="216">
        <v>35995.3751249493</v>
      </c>
      <c r="J7" s="216">
        <v>40427.168047868036</v>
      </c>
      <c r="K7" s="216">
        <v>41802.471042837584</v>
      </c>
      <c r="L7" s="216">
        <v>42113.614300327099</v>
      </c>
      <c r="M7" s="216">
        <v>25996.232831627069</v>
      </c>
      <c r="N7" s="216">
        <v>23233.174449043679</v>
      </c>
      <c r="O7" s="216">
        <v>23262.637969758925</v>
      </c>
      <c r="P7" s="216">
        <v>23907.7292329458</v>
      </c>
      <c r="Q7" s="216">
        <v>23317.963262738322</v>
      </c>
      <c r="R7" s="216">
        <v>23383.118785073329</v>
      </c>
      <c r="S7" s="216">
        <v>24651.246231346595</v>
      </c>
      <c r="T7" s="216">
        <v>24557.925586871806</v>
      </c>
      <c r="U7" s="216">
        <v>24829.484559121953</v>
      </c>
      <c r="V7" s="216">
        <v>25055.43026719796</v>
      </c>
      <c r="W7" s="216">
        <v>25788.630012426867</v>
      </c>
      <c r="X7" s="216">
        <v>24643.230588247261</v>
      </c>
      <c r="Y7" s="216">
        <v>22952.67731483098</v>
      </c>
      <c r="Z7" s="216">
        <v>22947.88884116093</v>
      </c>
      <c r="AA7" s="216">
        <v>23317.24351414209</v>
      </c>
      <c r="AB7" s="216">
        <v>23890.571956586806</v>
      </c>
      <c r="AC7" s="216">
        <v>24228.610372014118</v>
      </c>
      <c r="AD7" s="216">
        <v>23541.978231953181</v>
      </c>
      <c r="AE7" s="216">
        <v>20644.541889138898</v>
      </c>
      <c r="AF7" s="216">
        <v>20890.304335565754</v>
      </c>
      <c r="AG7" s="216">
        <v>21374.533561952143</v>
      </c>
      <c r="AH7" s="216">
        <v>20823.815492546022</v>
      </c>
      <c r="AI7" s="216">
        <v>21262.530692823591</v>
      </c>
      <c r="AJ7" s="216">
        <v>21999.186981115297</v>
      </c>
      <c r="AK7" s="216">
        <v>19071.183854484243</v>
      </c>
      <c r="AL7" s="216">
        <v>18416.612908296738</v>
      </c>
      <c r="AM7" s="216">
        <v>19631.38584711331</v>
      </c>
      <c r="AN7" s="216">
        <v>18862.12739731725</v>
      </c>
      <c r="AO7" s="216">
        <v>19417.545218868301</v>
      </c>
      <c r="AP7" s="216">
        <v>19573.277993613043</v>
      </c>
      <c r="AQ7" s="216">
        <v>19181.382115766464</v>
      </c>
      <c r="AR7" s="216">
        <v>19438.661485292767</v>
      </c>
      <c r="AS7" s="216">
        <v>19349.709140187424</v>
      </c>
      <c r="AT7" s="216">
        <v>19586.01839165475</v>
      </c>
      <c r="AU7" s="216">
        <v>18872.315054019989</v>
      </c>
      <c r="AV7" s="216">
        <v>18949.614134508891</v>
      </c>
      <c r="AW7" s="179">
        <f t="shared" si="1"/>
        <v>24520.30795380038</v>
      </c>
      <c r="BD7" s="364" t="str">
        <f t="shared" si="0"/>
        <v>Ethane Weighted Average Prices (INR/MT)</v>
      </c>
      <c r="BE7" s="179">
        <f t="shared" si="2"/>
        <v>24520.30795380038</v>
      </c>
      <c r="BG7" s="179">
        <f t="shared" si="3"/>
        <v>24520.30795380038</v>
      </c>
      <c r="BJ7" s="362"/>
    </row>
    <row r="8" spans="3:62" x14ac:dyDescent="0.25">
      <c r="C8" s="390" t="s">
        <v>517</v>
      </c>
      <c r="D8" s="216">
        <v>39267.73976152447</v>
      </c>
      <c r="E8" s="216">
        <v>35320.99284552411</v>
      </c>
      <c r="F8" s="216">
        <v>32642.643561859699</v>
      </c>
      <c r="G8" s="216">
        <v>32591.713857151481</v>
      </c>
      <c r="H8" s="216">
        <v>35322.25032773053</v>
      </c>
      <c r="I8" s="216">
        <v>39703.969071957552</v>
      </c>
      <c r="J8" s="216">
        <v>39873.279388030664</v>
      </c>
      <c r="K8" s="216">
        <v>42186.838343884381</v>
      </c>
      <c r="L8" s="216">
        <v>45353.692547267237</v>
      </c>
      <c r="M8" s="216">
        <v>50421.563709397698</v>
      </c>
      <c r="N8" s="216">
        <v>40583.378652357023</v>
      </c>
      <c r="O8" s="216">
        <v>32948.17063043618</v>
      </c>
      <c r="P8" s="216">
        <v>31831.243798285665</v>
      </c>
      <c r="Q8" s="216">
        <v>32775.625890130817</v>
      </c>
      <c r="R8" s="216">
        <v>35603.026406517805</v>
      </c>
      <c r="S8" s="216">
        <v>37413.346401247443</v>
      </c>
      <c r="T8" s="216">
        <v>38313.43145419551</v>
      </c>
      <c r="U8" s="216">
        <v>31229.255203616198</v>
      </c>
      <c r="V8" s="216">
        <v>26987.793742556612</v>
      </c>
      <c r="W8" s="216">
        <v>27502.94958707604</v>
      </c>
      <c r="X8" s="216">
        <v>26129.656129075174</v>
      </c>
      <c r="Y8" s="216">
        <v>31204.144072500429</v>
      </c>
      <c r="Z8" s="216">
        <v>32130.775456387943</v>
      </c>
      <c r="AA8" s="216">
        <v>32763.935287141259</v>
      </c>
      <c r="AB8" s="216">
        <v>42146.917092812088</v>
      </c>
      <c r="AC8" s="216">
        <v>37776.741118253449</v>
      </c>
      <c r="AD8" s="216">
        <v>33392.157412302018</v>
      </c>
      <c r="AE8" s="216">
        <v>18333.270191784217</v>
      </c>
      <c r="AF8" s="216">
        <v>26907.499996889728</v>
      </c>
      <c r="AG8" s="216">
        <v>27733.582571128205</v>
      </c>
      <c r="AH8" s="216">
        <v>28238.348704213</v>
      </c>
      <c r="AI8" s="216">
        <v>28510.385603307008</v>
      </c>
      <c r="AJ8" s="216">
        <v>28060.277302456198</v>
      </c>
      <c r="AK8" s="216">
        <v>28820.536895295158</v>
      </c>
      <c r="AL8" s="216">
        <v>33404.388819080297</v>
      </c>
      <c r="AM8" s="216">
        <v>34644.168688458158</v>
      </c>
      <c r="AN8" s="216">
        <v>42078.873462612726</v>
      </c>
      <c r="AO8" s="216">
        <v>46073.542822435593</v>
      </c>
      <c r="AP8" s="216">
        <v>47621.606524213996</v>
      </c>
      <c r="AQ8" s="216">
        <v>43640.112363280605</v>
      </c>
      <c r="AR8" s="216">
        <v>37985.33224426135</v>
      </c>
      <c r="AS8" s="216">
        <v>40810.0621081149</v>
      </c>
      <c r="AT8" s="216">
        <v>48277.341437526047</v>
      </c>
      <c r="AU8" s="216">
        <v>51157.210854820602</v>
      </c>
      <c r="AV8" s="216">
        <v>51107.125769928265</v>
      </c>
      <c r="AW8" s="179">
        <f t="shared" si="1"/>
        <v>36151.575513533899</v>
      </c>
      <c r="BD8" s="364" t="str">
        <f t="shared" si="0"/>
        <v>Propane Weighted Average Prices (INR/MT)</v>
      </c>
      <c r="BE8" s="179">
        <f t="shared" si="2"/>
        <v>36151.575513533899</v>
      </c>
      <c r="BG8" s="179">
        <f t="shared" si="3"/>
        <v>36151.575513533899</v>
      </c>
    </row>
    <row r="9" spans="3:62" x14ac:dyDescent="0.25">
      <c r="C9" s="390" t="s">
        <v>518</v>
      </c>
      <c r="D9" s="216">
        <v>37934.865946679616</v>
      </c>
      <c r="E9" s="216">
        <v>33977.640442957862</v>
      </c>
      <c r="F9" s="216">
        <v>31621.932879798373</v>
      </c>
      <c r="G9" s="216">
        <v>32245.619069523007</v>
      </c>
      <c r="H9" s="216">
        <v>35684.70245863789</v>
      </c>
      <c r="I9" s="216">
        <v>39729.847125147098</v>
      </c>
      <c r="J9" s="216">
        <v>40952.16644234657</v>
      </c>
      <c r="K9" s="216">
        <v>43265.008516764698</v>
      </c>
      <c r="L9" s="216">
        <v>47988.175639430039</v>
      </c>
      <c r="M9" s="216">
        <v>50433.177687914897</v>
      </c>
      <c r="N9" s="216">
        <v>39526.941750297483</v>
      </c>
      <c r="O9" s="216">
        <v>30706.727022092222</v>
      </c>
      <c r="P9" s="216">
        <v>31116.496307792124</v>
      </c>
      <c r="Q9" s="216">
        <v>35009.966798561858</v>
      </c>
      <c r="R9" s="216">
        <v>37788.034281404027</v>
      </c>
      <c r="S9" s="216">
        <v>38867.056236388496</v>
      </c>
      <c r="T9" s="216">
        <v>38678.266268318395</v>
      </c>
      <c r="U9" s="216">
        <v>30138.909034848981</v>
      </c>
      <c r="V9" s="216">
        <v>25548.609383721534</v>
      </c>
      <c r="W9" s="216">
        <v>26760.845915432019</v>
      </c>
      <c r="X9" s="216">
        <v>26872.996097798805</v>
      </c>
      <c r="Y9" s="216">
        <v>32318.693176917925</v>
      </c>
      <c r="Z9" s="216">
        <v>33253.389942674119</v>
      </c>
      <c r="AA9" s="216">
        <v>33880.879188109247</v>
      </c>
      <c r="AB9" s="216">
        <v>44015.264630194491</v>
      </c>
      <c r="AC9" s="216">
        <v>40776.774414982094</v>
      </c>
      <c r="AD9" s="216">
        <v>37265.269327664537</v>
      </c>
      <c r="AE9" s="216">
        <v>19125.668604651164</v>
      </c>
      <c r="AF9" s="216">
        <v>26903.941500000001</v>
      </c>
      <c r="AG9" s="216">
        <v>26159.661614028053</v>
      </c>
      <c r="AH9" s="216">
        <v>26674.737698603414</v>
      </c>
      <c r="AI9" s="216">
        <v>26951.072804257299</v>
      </c>
      <c r="AJ9" s="216">
        <v>27292.749632570878</v>
      </c>
      <c r="AK9" s="216">
        <v>29207.059319259082</v>
      </c>
      <c r="AL9" s="216">
        <v>34185.03825123742</v>
      </c>
      <c r="AM9" s="216">
        <v>35409.408776058146</v>
      </c>
      <c r="AN9" s="216">
        <v>40548.590675430503</v>
      </c>
      <c r="AO9" s="216">
        <v>44551.491526971819</v>
      </c>
      <c r="AP9" s="216">
        <v>45328.551547510528</v>
      </c>
      <c r="AQ9" s="216">
        <v>41304.84915769448</v>
      </c>
      <c r="AR9" s="216">
        <v>36449.953636561011</v>
      </c>
      <c r="AS9" s="216">
        <v>40423.343654069329</v>
      </c>
      <c r="AT9" s="216">
        <v>48277.23010084885</v>
      </c>
      <c r="AU9" s="216">
        <v>50779.51102849115</v>
      </c>
      <c r="AV9" s="216">
        <v>51112.515377978409</v>
      </c>
      <c r="AW9" s="179">
        <f t="shared" si="1"/>
        <v>36156.525130947113</v>
      </c>
      <c r="BD9" s="364" t="str">
        <f t="shared" si="0"/>
        <v>Butane Weighted Average Prices (INR/MT)</v>
      </c>
      <c r="BE9" s="179">
        <f t="shared" si="2"/>
        <v>36156.525130947113</v>
      </c>
      <c r="BG9" s="179">
        <f t="shared" si="3"/>
        <v>36156.525130947113</v>
      </c>
    </row>
    <row r="10" spans="3:62" x14ac:dyDescent="0.25">
      <c r="C10" s="390" t="s">
        <v>519</v>
      </c>
      <c r="D10" s="216">
        <v>37468.917824886834</v>
      </c>
      <c r="E10" s="216">
        <v>34979.7952647251</v>
      </c>
      <c r="F10" s="216">
        <v>36995.226789598193</v>
      </c>
      <c r="G10" s="216">
        <v>38411.434700802383</v>
      </c>
      <c r="H10" s="216">
        <v>43077.696672195132</v>
      </c>
      <c r="I10" s="216">
        <v>42339.113972658684</v>
      </c>
      <c r="J10" s="216">
        <v>44176.800315880733</v>
      </c>
      <c r="K10" s="216">
        <v>45449.873001355765</v>
      </c>
      <c r="L10" s="216">
        <v>48374.835244225556</v>
      </c>
      <c r="M10" s="216">
        <v>49736.488507928807</v>
      </c>
      <c r="N10" s="216">
        <v>36558.702058330193</v>
      </c>
      <c r="O10" s="216">
        <v>31387.522192377604</v>
      </c>
      <c r="P10" s="216">
        <v>31954.700264411553</v>
      </c>
      <c r="Q10" s="216">
        <v>35488.590056570771</v>
      </c>
      <c r="R10" s="216">
        <v>37151.720463657031</v>
      </c>
      <c r="S10" s="216">
        <v>40224.487971509581</v>
      </c>
      <c r="T10" s="216">
        <v>39776.808056372938</v>
      </c>
      <c r="U10" s="216">
        <v>32806.091323106572</v>
      </c>
      <c r="V10" s="216">
        <v>34852.034397102398</v>
      </c>
      <c r="W10" s="216">
        <v>32743.412011815777</v>
      </c>
      <c r="X10" s="216">
        <v>33941.49447086802</v>
      </c>
      <c r="Y10" s="216">
        <v>36161.070807658274</v>
      </c>
      <c r="Z10" s="216">
        <v>36208.29768815585</v>
      </c>
      <c r="AA10" s="216">
        <v>39212.402929615775</v>
      </c>
      <c r="AB10" s="216">
        <v>38005.50999905145</v>
      </c>
      <c r="AC10" s="216">
        <v>33948.919195272174</v>
      </c>
      <c r="AD10" s="216">
        <v>21830.230520384102</v>
      </c>
      <c r="AE10" s="216">
        <v>41618.000025444984</v>
      </c>
      <c r="AF10" s="216">
        <v>36293.110003071568</v>
      </c>
      <c r="AG10" s="216">
        <v>40230.560009202418</v>
      </c>
      <c r="AH10" s="216">
        <v>28984.506728422391</v>
      </c>
      <c r="AI10" s="216">
        <v>29296.224637839514</v>
      </c>
      <c r="AJ10" s="216">
        <v>28071.268352741423</v>
      </c>
      <c r="AK10" s="216">
        <v>23219.340304109319</v>
      </c>
      <c r="AL10" s="216">
        <v>27680.138169883663</v>
      </c>
      <c r="AM10" s="216">
        <v>31896.526510107997</v>
      </c>
      <c r="AN10" s="216">
        <v>36352.617012931434</v>
      </c>
      <c r="AO10" s="216">
        <v>40134.773482798308</v>
      </c>
      <c r="AP10" s="216">
        <v>42943.647213612938</v>
      </c>
      <c r="AQ10" s="216">
        <v>41061.486307385807</v>
      </c>
      <c r="AR10" s="216">
        <v>43266.069260132143</v>
      </c>
      <c r="AS10" s="216">
        <v>46764.427300723</v>
      </c>
      <c r="AT10" s="216">
        <v>49848.163616800543</v>
      </c>
      <c r="AU10" s="216">
        <v>47958.871071535585</v>
      </c>
      <c r="AV10" s="216">
        <v>49198.016422217115</v>
      </c>
      <c r="AW10" s="179">
        <f t="shared" si="1"/>
        <v>37735.109402877279</v>
      </c>
      <c r="BD10" s="364" t="str">
        <f t="shared" si="0"/>
        <v>Naphtha Weighted Average Prices (INR/MT)</v>
      </c>
      <c r="BE10" s="179">
        <f t="shared" si="2"/>
        <v>37735.109402877279</v>
      </c>
      <c r="BG10" s="179">
        <f t="shared" si="3"/>
        <v>37735.109402877279</v>
      </c>
    </row>
    <row r="11" spans="3:62" x14ac:dyDescent="0.25">
      <c r="C11" s="391" t="s">
        <v>349</v>
      </c>
      <c r="D11" s="216">
        <v>527</v>
      </c>
      <c r="E11" s="216">
        <v>725</v>
      </c>
      <c r="F11" s="216">
        <v>731</v>
      </c>
      <c r="G11" s="216">
        <v>683.35192411641094</v>
      </c>
      <c r="H11" s="216">
        <v>727.45879248730159</v>
      </c>
      <c r="I11" s="216">
        <v>790.46535767833188</v>
      </c>
      <c r="J11" s="216">
        <v>835.82228336641663</v>
      </c>
      <c r="K11" s="216">
        <v>855.64779771974872</v>
      </c>
      <c r="L11" s="216">
        <v>831.01152604586082</v>
      </c>
      <c r="M11" s="216">
        <v>894.32305357357711</v>
      </c>
      <c r="N11" s="216">
        <v>848.00352710543211</v>
      </c>
      <c r="O11" s="216">
        <v>762.53950609685091</v>
      </c>
      <c r="P11" s="216">
        <v>747.97322905859232</v>
      </c>
      <c r="Q11" s="216">
        <v>816.24945468112071</v>
      </c>
      <c r="R11" s="216">
        <v>713.84568622483982</v>
      </c>
      <c r="S11" s="216">
        <v>547.77</v>
      </c>
      <c r="T11" s="216">
        <v>505.25</v>
      </c>
      <c r="U11" s="216">
        <v>522.21</v>
      </c>
      <c r="V11" s="216">
        <v>559.08000000000004</v>
      </c>
      <c r="W11" s="216">
        <v>496.47</v>
      </c>
      <c r="X11" s="216">
        <v>463.19</v>
      </c>
      <c r="Y11" s="216">
        <v>620.35</v>
      </c>
      <c r="Z11" s="216">
        <v>540.62</v>
      </c>
      <c r="AA11" s="216">
        <v>605.28</v>
      </c>
      <c r="AB11" s="216">
        <v>485.79</v>
      </c>
      <c r="AC11" s="216">
        <v>478.65</v>
      </c>
      <c r="AD11" s="216">
        <v>313.06</v>
      </c>
      <c r="AE11" s="216">
        <v>546.95000000000005</v>
      </c>
      <c r="AF11" s="216">
        <v>498.46</v>
      </c>
      <c r="AG11" s="216">
        <v>285.66000000000003</v>
      </c>
      <c r="AH11" s="216">
        <v>264.85000000000002</v>
      </c>
      <c r="AI11" s="216">
        <v>334.58</v>
      </c>
      <c r="AJ11" s="216">
        <v>410.09</v>
      </c>
      <c r="AK11" s="216">
        <v>471.71</v>
      </c>
      <c r="AL11" s="216">
        <v>532.29999999999995</v>
      </c>
      <c r="AM11" s="216">
        <v>588.39</v>
      </c>
      <c r="AN11" s="216">
        <v>675.69</v>
      </c>
      <c r="AO11" s="216">
        <v>872.05</v>
      </c>
      <c r="AP11" s="216">
        <v>766.06</v>
      </c>
      <c r="AQ11" s="216">
        <v>565.04999999999995</v>
      </c>
      <c r="AR11" s="216">
        <v>567.25</v>
      </c>
      <c r="AS11" s="216">
        <v>619.33000000000004</v>
      </c>
      <c r="AT11" s="216">
        <v>708.17</v>
      </c>
      <c r="AU11" s="216">
        <v>868.98</v>
      </c>
      <c r="AV11" s="216">
        <v>938.53</v>
      </c>
      <c r="AW11" s="179">
        <f t="shared" si="1"/>
        <v>625.36693640343299</v>
      </c>
      <c r="BD11" s="364" t="str">
        <f t="shared" si="0"/>
        <v>LNGas Cost Rs/MMBTU)</v>
      </c>
      <c r="BE11" s="179">
        <f t="shared" si="2"/>
        <v>625.36693640343299</v>
      </c>
      <c r="BG11" s="179">
        <f t="shared" si="3"/>
        <v>625.36693640343299</v>
      </c>
    </row>
    <row r="12" spans="3:62" s="361" customFormat="1" x14ac:dyDescent="0.25">
      <c r="C12" s="623" t="s">
        <v>146</v>
      </c>
      <c r="D12" s="392"/>
      <c r="E12" s="392"/>
      <c r="F12" s="392"/>
      <c r="G12" s="392"/>
      <c r="H12" s="392"/>
      <c r="I12" s="392"/>
      <c r="J12" s="392"/>
      <c r="K12" s="392"/>
      <c r="L12" s="392"/>
      <c r="M12" s="392"/>
      <c r="N12" s="392"/>
      <c r="O12" s="392"/>
      <c r="P12" s="392"/>
      <c r="Q12" s="392"/>
      <c r="R12" s="392"/>
      <c r="S12" s="392"/>
      <c r="T12" s="392"/>
      <c r="U12" s="392"/>
      <c r="V12" s="392"/>
      <c r="W12" s="392"/>
      <c r="X12" s="392"/>
      <c r="Y12" s="392"/>
      <c r="Z12" s="392"/>
      <c r="AA12" s="392"/>
      <c r="AB12" s="392"/>
      <c r="AC12" s="392"/>
      <c r="AD12" s="392"/>
      <c r="AE12" s="392"/>
      <c r="AF12" s="392"/>
      <c r="AG12" s="392"/>
      <c r="AH12" s="392"/>
      <c r="AI12" s="392"/>
      <c r="AJ12" s="392"/>
      <c r="AK12" s="392"/>
      <c r="AL12" s="392"/>
      <c r="AM12" s="392"/>
      <c r="AN12" s="392"/>
      <c r="AO12" s="392"/>
      <c r="AP12" s="392"/>
      <c r="AQ12" s="392"/>
      <c r="AR12" s="392"/>
      <c r="AS12" s="392"/>
      <c r="AT12" s="392"/>
      <c r="AU12" s="392"/>
      <c r="AV12" s="392"/>
      <c r="AW12" s="389"/>
      <c r="BD12" s="364"/>
      <c r="BE12" s="607"/>
      <c r="BG12" s="607"/>
    </row>
    <row r="13" spans="3:62" x14ac:dyDescent="0.25">
      <c r="C13" s="166" t="s">
        <v>138</v>
      </c>
      <c r="D13" s="167">
        <v>43101</v>
      </c>
      <c r="E13" s="167">
        <v>43132</v>
      </c>
      <c r="F13" s="167">
        <v>43160</v>
      </c>
      <c r="G13" s="167">
        <v>43191</v>
      </c>
      <c r="H13" s="167">
        <v>43221</v>
      </c>
      <c r="I13" s="167">
        <v>43252</v>
      </c>
      <c r="J13" s="167">
        <v>43282</v>
      </c>
      <c r="K13" s="167">
        <v>43313</v>
      </c>
      <c r="L13" s="167">
        <v>43344</v>
      </c>
      <c r="M13" s="167">
        <v>43374</v>
      </c>
      <c r="N13" s="167">
        <v>43405</v>
      </c>
      <c r="O13" s="167">
        <v>43435</v>
      </c>
      <c r="P13" s="167">
        <v>43466</v>
      </c>
      <c r="Q13" s="167">
        <v>43497</v>
      </c>
      <c r="R13" s="167">
        <v>43525</v>
      </c>
      <c r="S13" s="167">
        <v>43556</v>
      </c>
      <c r="T13" s="167">
        <v>43586</v>
      </c>
      <c r="U13" s="167">
        <v>43617</v>
      </c>
      <c r="V13" s="167">
        <v>43647</v>
      </c>
      <c r="W13" s="167">
        <v>43678</v>
      </c>
      <c r="X13" s="167">
        <v>43709</v>
      </c>
      <c r="Y13" s="167">
        <v>43739</v>
      </c>
      <c r="Z13" s="167">
        <v>43770</v>
      </c>
      <c r="AA13" s="167">
        <v>43800</v>
      </c>
      <c r="AB13" s="167">
        <v>43831</v>
      </c>
      <c r="AC13" s="167">
        <v>43862</v>
      </c>
      <c r="AD13" s="167">
        <v>43891</v>
      </c>
      <c r="AE13" s="167">
        <v>43922</v>
      </c>
      <c r="AF13" s="167">
        <v>43952</v>
      </c>
      <c r="AG13" s="167">
        <v>43983</v>
      </c>
      <c r="AH13" s="167">
        <v>44013</v>
      </c>
      <c r="AI13" s="167">
        <v>44044</v>
      </c>
      <c r="AJ13" s="167">
        <v>44075</v>
      </c>
      <c r="AK13" s="167">
        <v>44105</v>
      </c>
      <c r="AL13" s="167">
        <v>44136</v>
      </c>
      <c r="AM13" s="167">
        <v>44166</v>
      </c>
      <c r="AN13" s="167">
        <v>44197</v>
      </c>
      <c r="AO13" s="167">
        <v>44228</v>
      </c>
      <c r="AP13" s="167">
        <v>44256</v>
      </c>
      <c r="AQ13" s="167">
        <v>44287</v>
      </c>
      <c r="AR13" s="167">
        <v>44317</v>
      </c>
      <c r="AS13" s="167">
        <v>44348</v>
      </c>
      <c r="AT13" s="167">
        <v>44378</v>
      </c>
      <c r="AU13" s="167">
        <v>44409</v>
      </c>
      <c r="AV13" s="167">
        <v>44440</v>
      </c>
      <c r="AW13" s="171" t="s">
        <v>145</v>
      </c>
      <c r="BD13" s="364" t="str">
        <f>C13</f>
        <v>Chemical product Price (Rs/MT)</v>
      </c>
      <c r="BE13" s="595" t="s">
        <v>145</v>
      </c>
      <c r="BG13" s="167">
        <v>44440</v>
      </c>
    </row>
    <row r="14" spans="3:62" x14ac:dyDescent="0.25">
      <c r="C14" s="168" t="s">
        <v>139</v>
      </c>
      <c r="D14" s="168">
        <v>57152</v>
      </c>
      <c r="E14" s="168">
        <v>58526</v>
      </c>
      <c r="F14" s="168">
        <v>58277</v>
      </c>
      <c r="G14" s="168">
        <v>55909</v>
      </c>
      <c r="H14" s="168">
        <v>55303</v>
      </c>
      <c r="I14" s="168">
        <v>58424</v>
      </c>
      <c r="J14" s="168">
        <v>56706</v>
      </c>
      <c r="K14" s="168">
        <v>57565</v>
      </c>
      <c r="L14" s="168">
        <v>61481</v>
      </c>
      <c r="M14" s="168">
        <v>61877</v>
      </c>
      <c r="N14" s="168">
        <v>61367</v>
      </c>
      <c r="O14" s="168">
        <v>49658</v>
      </c>
      <c r="P14" s="168">
        <v>41296</v>
      </c>
      <c r="Q14" s="168">
        <v>39412</v>
      </c>
      <c r="R14" s="168">
        <v>42670</v>
      </c>
      <c r="S14" s="168">
        <v>42621</v>
      </c>
      <c r="T14" s="168">
        <v>43930</v>
      </c>
      <c r="U14" s="168">
        <v>44300</v>
      </c>
      <c r="V14" s="168">
        <v>44000</v>
      </c>
      <c r="W14" s="168">
        <v>46900</v>
      </c>
      <c r="X14" s="168">
        <v>48100</v>
      </c>
      <c r="Y14" s="168">
        <v>52100</v>
      </c>
      <c r="Z14" s="168">
        <v>48600</v>
      </c>
      <c r="AA14" s="168">
        <v>47000</v>
      </c>
      <c r="AB14" s="168">
        <v>52400</v>
      </c>
      <c r="AC14" s="168">
        <v>52900</v>
      </c>
      <c r="AD14" s="168">
        <v>48400</v>
      </c>
      <c r="AE14" s="178">
        <v>37400</v>
      </c>
      <c r="AF14" s="178">
        <v>24900</v>
      </c>
      <c r="AG14" s="178">
        <v>30300</v>
      </c>
      <c r="AH14" s="178">
        <v>33900</v>
      </c>
      <c r="AI14" s="178">
        <v>33100</v>
      </c>
      <c r="AJ14" s="178">
        <v>34400</v>
      </c>
      <c r="AK14" s="178">
        <v>32600</v>
      </c>
      <c r="AL14" s="178">
        <v>32500</v>
      </c>
      <c r="AM14" s="178">
        <v>40800</v>
      </c>
      <c r="AN14" s="178">
        <v>47900</v>
      </c>
      <c r="AO14" s="178">
        <v>48900</v>
      </c>
      <c r="AP14" s="178">
        <v>57200</v>
      </c>
      <c r="AQ14" s="178">
        <v>62200</v>
      </c>
      <c r="AR14" s="178">
        <v>70100</v>
      </c>
      <c r="AS14" s="178">
        <v>75100</v>
      </c>
      <c r="AT14" s="178">
        <v>71430</v>
      </c>
      <c r="AU14" s="178">
        <v>78990</v>
      </c>
      <c r="AV14" s="178">
        <v>72940</v>
      </c>
      <c r="AW14" s="179">
        <f>AVERAGE(D14:AV14)</f>
        <v>50478.533333333333</v>
      </c>
      <c r="AX14" s="350"/>
      <c r="BD14" s="364" t="str">
        <f t="shared" ref="BD14:BD80" si="4">C14</f>
        <v xml:space="preserve">Benzene </v>
      </c>
      <c r="BE14" s="596">
        <f>AW14</f>
        <v>50478.533333333333</v>
      </c>
      <c r="BF14" s="351"/>
      <c r="BG14" s="178">
        <f>BE14</f>
        <v>50478.533333333333</v>
      </c>
    </row>
    <row r="15" spans="3:62" x14ac:dyDescent="0.25">
      <c r="C15" s="168" t="s">
        <v>140</v>
      </c>
      <c r="D15" s="168">
        <v>69058</v>
      </c>
      <c r="E15" s="168">
        <v>79391</v>
      </c>
      <c r="F15" s="168">
        <v>87624</v>
      </c>
      <c r="G15" s="168">
        <v>91678</v>
      </c>
      <c r="H15" s="168">
        <v>90255</v>
      </c>
      <c r="I15" s="168">
        <v>110428</v>
      </c>
      <c r="J15" s="168">
        <v>113142</v>
      </c>
      <c r="K15" s="168">
        <v>109389</v>
      </c>
      <c r="L15" s="168">
        <v>117818</v>
      </c>
      <c r="M15" s="168">
        <v>104990</v>
      </c>
      <c r="N15" s="168">
        <v>79612</v>
      </c>
      <c r="O15" s="168">
        <v>76089</v>
      </c>
      <c r="P15" s="168">
        <v>79660</v>
      </c>
      <c r="Q15" s="168">
        <v>80367</v>
      </c>
      <c r="R15" s="168">
        <v>75404</v>
      </c>
      <c r="S15" s="168">
        <v>71634</v>
      </c>
      <c r="T15" s="168">
        <v>63615</v>
      </c>
      <c r="U15" s="168">
        <v>66900</v>
      </c>
      <c r="V15" s="168">
        <v>74300</v>
      </c>
      <c r="W15" s="168">
        <v>76800</v>
      </c>
      <c r="X15" s="168">
        <v>85000</v>
      </c>
      <c r="Y15" s="168">
        <v>87600</v>
      </c>
      <c r="Z15" s="168">
        <v>81700</v>
      </c>
      <c r="AA15" s="168">
        <v>62200</v>
      </c>
      <c r="AB15" s="168">
        <v>63400</v>
      </c>
      <c r="AC15" s="168">
        <v>65100</v>
      </c>
      <c r="AD15" s="168">
        <v>56000</v>
      </c>
      <c r="AE15" s="178">
        <v>50100</v>
      </c>
      <c r="AF15" s="178">
        <v>28400</v>
      </c>
      <c r="AG15" s="178">
        <v>21600</v>
      </c>
      <c r="AH15" s="178">
        <v>22700</v>
      </c>
      <c r="AI15" s="178">
        <v>28600</v>
      </c>
      <c r="AJ15" s="178">
        <v>40200</v>
      </c>
      <c r="AK15" s="178">
        <v>50700</v>
      </c>
      <c r="AL15" s="178">
        <v>66900</v>
      </c>
      <c r="AM15" s="178">
        <v>94800</v>
      </c>
      <c r="AN15" s="178">
        <v>86100</v>
      </c>
      <c r="AO15" s="178">
        <v>58900</v>
      </c>
      <c r="AP15" s="178">
        <v>57400</v>
      </c>
      <c r="AQ15" s="178">
        <v>80900</v>
      </c>
      <c r="AR15" s="178">
        <v>72100</v>
      </c>
      <c r="AS15" s="178">
        <v>73600</v>
      </c>
      <c r="AT15" s="178">
        <v>88040</v>
      </c>
      <c r="AU15" s="178">
        <v>107190</v>
      </c>
      <c r="AV15" s="178">
        <v>116560</v>
      </c>
      <c r="AW15" s="179">
        <f>AVERAGE(D15:AV15)</f>
        <v>74754.311111111107</v>
      </c>
      <c r="AX15" s="350"/>
      <c r="BD15" s="364" t="str">
        <f t="shared" si="4"/>
        <v xml:space="preserve"> 1,3Butadiene </v>
      </c>
      <c r="BE15" s="596">
        <f>AW15</f>
        <v>74754.311111111107</v>
      </c>
      <c r="BF15" s="351"/>
      <c r="BG15" s="178">
        <f>BE15</f>
        <v>74754.311111111107</v>
      </c>
    </row>
    <row r="16" spans="3:62" x14ac:dyDescent="0.25">
      <c r="C16" s="168" t="s">
        <v>141</v>
      </c>
      <c r="D16" s="168">
        <v>40278</v>
      </c>
      <c r="E16" s="168">
        <v>40825</v>
      </c>
      <c r="F16" s="168">
        <v>39651</v>
      </c>
      <c r="G16" s="168">
        <v>40745</v>
      </c>
      <c r="H16" s="168">
        <v>43210</v>
      </c>
      <c r="I16" s="168">
        <v>49220</v>
      </c>
      <c r="J16" s="168">
        <v>47166</v>
      </c>
      <c r="K16" s="168">
        <v>48765</v>
      </c>
      <c r="L16" s="168">
        <v>49461</v>
      </c>
      <c r="M16" s="168">
        <v>53775</v>
      </c>
      <c r="N16" s="168">
        <v>54370</v>
      </c>
      <c r="O16" s="168">
        <v>41640</v>
      </c>
      <c r="P16" s="168">
        <v>37117</v>
      </c>
      <c r="Q16" s="168">
        <v>37203</v>
      </c>
      <c r="R16" s="168">
        <v>40633</v>
      </c>
      <c r="S16" s="168">
        <v>41946</v>
      </c>
      <c r="T16" s="168">
        <v>44260</v>
      </c>
      <c r="U16" s="168">
        <v>46500</v>
      </c>
      <c r="V16" s="168">
        <v>40900</v>
      </c>
      <c r="W16" s="168">
        <v>43100</v>
      </c>
      <c r="X16" s="168">
        <v>41200</v>
      </c>
      <c r="Y16" s="168">
        <v>43200</v>
      </c>
      <c r="Z16" s="168">
        <v>43200</v>
      </c>
      <c r="AA16" s="168">
        <v>45400</v>
      </c>
      <c r="AB16" s="168">
        <v>48300</v>
      </c>
      <c r="AC16" s="168">
        <v>47500</v>
      </c>
      <c r="AD16" s="168">
        <v>43200</v>
      </c>
      <c r="AE16" s="178">
        <v>30300</v>
      </c>
      <c r="AF16" s="178">
        <v>20000</v>
      </c>
      <c r="AG16" s="178">
        <v>25600</v>
      </c>
      <c r="AH16" s="178">
        <v>36800</v>
      </c>
      <c r="AI16" s="178">
        <v>39400</v>
      </c>
      <c r="AJ16" s="178">
        <v>39300</v>
      </c>
      <c r="AK16" s="178">
        <v>38800</v>
      </c>
      <c r="AL16" s="178">
        <v>38500</v>
      </c>
      <c r="AM16" s="178">
        <v>34300</v>
      </c>
      <c r="AN16" s="178">
        <v>37200</v>
      </c>
      <c r="AO16" s="178">
        <v>42600</v>
      </c>
      <c r="AP16" s="178">
        <v>46400</v>
      </c>
      <c r="AQ16" s="178">
        <v>47800</v>
      </c>
      <c r="AR16" s="178">
        <v>47000</v>
      </c>
      <c r="AS16" s="178">
        <v>49100</v>
      </c>
      <c r="AT16" s="178">
        <v>52210</v>
      </c>
      <c r="AU16" s="178">
        <v>56230</v>
      </c>
      <c r="AV16" s="178">
        <v>53120</v>
      </c>
      <c r="AW16" s="179">
        <f>AVERAGE(D16:AV16)</f>
        <v>42831.666666666664</v>
      </c>
      <c r="AX16" s="350"/>
      <c r="BD16" s="364" t="str">
        <f t="shared" si="4"/>
        <v xml:space="preserve"> Hydrogenated Pygas (HPG) </v>
      </c>
      <c r="BE16" s="596">
        <f>AW16</f>
        <v>42831.666666666664</v>
      </c>
      <c r="BF16" s="351"/>
      <c r="BG16" s="178">
        <f>BE16</f>
        <v>42831.666666666664</v>
      </c>
    </row>
    <row r="17" spans="3:59" x14ac:dyDescent="0.25">
      <c r="C17" s="168" t="s">
        <v>142</v>
      </c>
      <c r="D17" s="168">
        <v>22284</v>
      </c>
      <c r="E17" s="168">
        <v>23133</v>
      </c>
      <c r="F17" s="168">
        <v>21818</v>
      </c>
      <c r="G17" s="168">
        <v>22281</v>
      </c>
      <c r="H17" s="168">
        <v>24177</v>
      </c>
      <c r="I17" s="168">
        <v>28071</v>
      </c>
      <c r="J17" s="168">
        <v>28045</v>
      </c>
      <c r="K17" s="168">
        <v>29524</v>
      </c>
      <c r="L17" s="168">
        <v>28439</v>
      </c>
      <c r="M17" s="168">
        <v>30668</v>
      </c>
      <c r="N17" s="168">
        <v>33226</v>
      </c>
      <c r="O17" s="168">
        <v>28437</v>
      </c>
      <c r="P17" s="168">
        <v>23915</v>
      </c>
      <c r="Q17" s="168">
        <v>25268</v>
      </c>
      <c r="R17" s="168">
        <v>28957</v>
      </c>
      <c r="S17" s="168">
        <v>29150</v>
      </c>
      <c r="T17" s="168">
        <v>30044</v>
      </c>
      <c r="U17" s="168">
        <v>28400</v>
      </c>
      <c r="V17" s="168">
        <v>25400</v>
      </c>
      <c r="W17" s="168">
        <v>26700</v>
      </c>
      <c r="X17" s="168">
        <v>22400</v>
      </c>
      <c r="Y17" s="168">
        <v>24500</v>
      </c>
      <c r="Z17" s="168">
        <v>21200</v>
      </c>
      <c r="AA17" s="168">
        <v>18600</v>
      </c>
      <c r="AB17" s="168">
        <v>21400</v>
      </c>
      <c r="AC17" s="168">
        <v>22400</v>
      </c>
      <c r="AD17" s="168">
        <v>23100</v>
      </c>
      <c r="AE17" s="178">
        <v>14400</v>
      </c>
      <c r="AF17" s="178">
        <v>10800</v>
      </c>
      <c r="AG17" s="178">
        <v>14100</v>
      </c>
      <c r="AH17" s="178">
        <v>18300</v>
      </c>
      <c r="AI17" s="178">
        <v>20100</v>
      </c>
      <c r="AJ17" s="178">
        <v>21300</v>
      </c>
      <c r="AK17" s="178">
        <v>20000</v>
      </c>
      <c r="AL17" s="178">
        <v>20600</v>
      </c>
      <c r="AM17" s="178">
        <v>21500</v>
      </c>
      <c r="AN17" s="178">
        <v>23400</v>
      </c>
      <c r="AO17" s="178">
        <v>24700</v>
      </c>
      <c r="AP17" s="178">
        <v>27200</v>
      </c>
      <c r="AQ17" s="178">
        <v>28300</v>
      </c>
      <c r="AR17" s="178">
        <v>29000</v>
      </c>
      <c r="AS17" s="178">
        <v>29700</v>
      </c>
      <c r="AT17" s="178">
        <v>31350</v>
      </c>
      <c r="AU17" s="178">
        <v>30470</v>
      </c>
      <c r="AV17" s="178">
        <v>31250</v>
      </c>
      <c r="AW17" s="179">
        <f>AVERAGE(D17:AV17)</f>
        <v>24622.37777777778</v>
      </c>
      <c r="AX17" s="350"/>
      <c r="BD17" s="364" t="str">
        <f t="shared" si="4"/>
        <v xml:space="preserve"> CBFS </v>
      </c>
      <c r="BE17" s="596">
        <f>AW17</f>
        <v>24622.37777777778</v>
      </c>
      <c r="BF17" s="351"/>
      <c r="BG17" s="178">
        <f>BE17</f>
        <v>24622.37777777778</v>
      </c>
    </row>
    <row r="18" spans="3:59" x14ac:dyDescent="0.25">
      <c r="C18" s="168" t="s">
        <v>143</v>
      </c>
      <c r="D18" s="168">
        <v>35090</v>
      </c>
      <c r="E18" s="168">
        <v>35648</v>
      </c>
      <c r="F18" s="168">
        <v>34823</v>
      </c>
      <c r="G18" s="168">
        <v>35869</v>
      </c>
      <c r="H18" s="168">
        <v>38900</v>
      </c>
      <c r="I18" s="168">
        <v>48637</v>
      </c>
      <c r="J18" s="168">
        <v>46484</v>
      </c>
      <c r="K18" s="168">
        <v>48182</v>
      </c>
      <c r="L18" s="168">
        <v>48880</v>
      </c>
      <c r="M18" s="168">
        <v>53437</v>
      </c>
      <c r="N18" s="168">
        <v>53976</v>
      </c>
      <c r="O18" s="168">
        <v>40000</v>
      </c>
      <c r="P18" s="168">
        <v>35076</v>
      </c>
      <c r="Q18" s="168">
        <v>35172</v>
      </c>
      <c r="R18" s="168">
        <v>38937</v>
      </c>
      <c r="S18" s="168">
        <v>40545</v>
      </c>
      <c r="T18" s="168">
        <v>43117</v>
      </c>
      <c r="U18" s="168">
        <v>41200</v>
      </c>
      <c r="V18" s="168">
        <v>35000</v>
      </c>
      <c r="W18" s="168">
        <v>37500</v>
      </c>
      <c r="X18" s="168">
        <v>35100</v>
      </c>
      <c r="Y18" s="168">
        <v>37300</v>
      </c>
      <c r="Z18" s="168">
        <v>37300</v>
      </c>
      <c r="AA18" s="168">
        <v>39700</v>
      </c>
      <c r="AB18" s="168">
        <v>41700</v>
      </c>
      <c r="AC18" s="168">
        <v>40900</v>
      </c>
      <c r="AD18" s="168">
        <v>38000</v>
      </c>
      <c r="AE18" s="178">
        <v>25000</v>
      </c>
      <c r="AF18" s="178">
        <v>19100</v>
      </c>
      <c r="AG18" s="178">
        <v>25000</v>
      </c>
      <c r="AH18" s="178">
        <v>31800</v>
      </c>
      <c r="AI18" s="178">
        <v>33800</v>
      </c>
      <c r="AJ18" s="178">
        <v>35100</v>
      </c>
      <c r="AK18" s="178">
        <v>36000</v>
      </c>
      <c r="AL18" s="178">
        <v>35700</v>
      </c>
      <c r="AM18" s="178">
        <v>35700</v>
      </c>
      <c r="AN18" s="178">
        <v>39300</v>
      </c>
      <c r="AO18" s="178">
        <v>42500</v>
      </c>
      <c r="AP18" s="178">
        <v>46600</v>
      </c>
      <c r="AQ18" s="178">
        <v>48300</v>
      </c>
      <c r="AR18" s="178">
        <v>44700</v>
      </c>
      <c r="AS18" s="178">
        <v>47100</v>
      </c>
      <c r="AT18" s="178">
        <v>50610</v>
      </c>
      <c r="AU18" s="178">
        <v>50620</v>
      </c>
      <c r="AV18" s="178">
        <v>44350</v>
      </c>
      <c r="AW18" s="179">
        <f>AVERAGE(D18:AV18)</f>
        <v>39727.844444444447</v>
      </c>
      <c r="AX18" s="350"/>
      <c r="BD18" s="364" t="str">
        <f t="shared" si="4"/>
        <v xml:space="preserve"> C9+   </v>
      </c>
      <c r="BE18" s="596">
        <f>AW18</f>
        <v>39727.844444444447</v>
      </c>
      <c r="BF18" s="351"/>
      <c r="BG18" s="178">
        <f>BE18</f>
        <v>39727.844444444447</v>
      </c>
    </row>
    <row r="19" spans="3:59" x14ac:dyDescent="0.25">
      <c r="C19" s="168" t="s">
        <v>144</v>
      </c>
      <c r="D19" s="168"/>
      <c r="E19" s="168"/>
      <c r="F19" s="168"/>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9">
        <v>21900</v>
      </c>
      <c r="AF19" s="169">
        <v>17400</v>
      </c>
      <c r="AG19" s="169">
        <v>32300</v>
      </c>
      <c r="AH19" s="169">
        <v>31500</v>
      </c>
      <c r="AI19" s="169">
        <v>31000</v>
      </c>
      <c r="AJ19" s="169">
        <v>30000</v>
      </c>
      <c r="AK19" s="169">
        <v>27000</v>
      </c>
      <c r="AL19" s="169">
        <v>31000</v>
      </c>
      <c r="AM19" s="169">
        <v>32000</v>
      </c>
      <c r="AX19" s="350"/>
      <c r="BD19" s="364" t="str">
        <f t="shared" si="4"/>
        <v xml:space="preserve"> MFO </v>
      </c>
      <c r="BF19" s="351"/>
      <c r="BG19" s="6"/>
    </row>
    <row r="20" spans="3:59" s="361" customFormat="1" x14ac:dyDescent="0.25">
      <c r="C20" s="399"/>
      <c r="D20" s="396"/>
      <c r="E20" s="396"/>
      <c r="F20" s="396"/>
      <c r="G20" s="396"/>
      <c r="H20" s="396"/>
      <c r="I20" s="396"/>
      <c r="J20" s="396"/>
      <c r="K20" s="396"/>
      <c r="L20" s="396"/>
      <c r="M20" s="396"/>
      <c r="N20" s="396"/>
      <c r="O20" s="396"/>
      <c r="P20" s="396"/>
      <c r="Q20" s="396"/>
      <c r="R20" s="396"/>
      <c r="S20" s="396"/>
      <c r="T20" s="396"/>
      <c r="U20" s="396"/>
      <c r="V20" s="396"/>
      <c r="W20" s="396"/>
      <c r="X20" s="396"/>
      <c r="Y20" s="396"/>
      <c r="Z20" s="396"/>
      <c r="AA20" s="396"/>
      <c r="AB20" s="396"/>
      <c r="AC20" s="396"/>
      <c r="AD20" s="396"/>
      <c r="AE20" s="397"/>
      <c r="AF20" s="398"/>
      <c r="AG20" s="398"/>
      <c r="AH20" s="398"/>
      <c r="AI20" s="398"/>
      <c r="AJ20" s="398"/>
      <c r="AK20" s="398"/>
      <c r="AL20" s="398"/>
      <c r="AM20" s="398"/>
      <c r="AX20" s="350"/>
      <c r="BD20" s="364">
        <f t="shared" si="4"/>
        <v>0</v>
      </c>
      <c r="BF20" s="351"/>
      <c r="BG20" s="6"/>
    </row>
    <row r="21" spans="3:59" s="361" customFormat="1" x14ac:dyDescent="0.25">
      <c r="C21" s="168" t="s">
        <v>350</v>
      </c>
      <c r="D21" s="407">
        <f>D13</f>
        <v>43101</v>
      </c>
      <c r="E21" s="407">
        <f t="shared" ref="E21:AV21" si="5">E13</f>
        <v>43132</v>
      </c>
      <c r="F21" s="407">
        <f t="shared" si="5"/>
        <v>43160</v>
      </c>
      <c r="G21" s="407">
        <f t="shared" si="5"/>
        <v>43191</v>
      </c>
      <c r="H21" s="407">
        <f t="shared" si="5"/>
        <v>43221</v>
      </c>
      <c r="I21" s="407">
        <f t="shared" si="5"/>
        <v>43252</v>
      </c>
      <c r="J21" s="407">
        <f t="shared" si="5"/>
        <v>43282</v>
      </c>
      <c r="K21" s="407">
        <f t="shared" si="5"/>
        <v>43313</v>
      </c>
      <c r="L21" s="407">
        <f t="shared" si="5"/>
        <v>43344</v>
      </c>
      <c r="M21" s="407">
        <f t="shared" si="5"/>
        <v>43374</v>
      </c>
      <c r="N21" s="407">
        <f t="shared" si="5"/>
        <v>43405</v>
      </c>
      <c r="O21" s="407">
        <f t="shared" si="5"/>
        <v>43435</v>
      </c>
      <c r="P21" s="407">
        <f t="shared" si="5"/>
        <v>43466</v>
      </c>
      <c r="Q21" s="407">
        <f t="shared" si="5"/>
        <v>43497</v>
      </c>
      <c r="R21" s="407">
        <f t="shared" si="5"/>
        <v>43525</v>
      </c>
      <c r="S21" s="407">
        <f t="shared" si="5"/>
        <v>43556</v>
      </c>
      <c r="T21" s="407">
        <f t="shared" si="5"/>
        <v>43586</v>
      </c>
      <c r="U21" s="407">
        <f t="shared" si="5"/>
        <v>43617</v>
      </c>
      <c r="V21" s="407">
        <f t="shared" si="5"/>
        <v>43647</v>
      </c>
      <c r="W21" s="407">
        <f t="shared" si="5"/>
        <v>43678</v>
      </c>
      <c r="X21" s="407">
        <f t="shared" si="5"/>
        <v>43709</v>
      </c>
      <c r="Y21" s="407">
        <f t="shared" si="5"/>
        <v>43739</v>
      </c>
      <c r="Z21" s="407">
        <f t="shared" si="5"/>
        <v>43770</v>
      </c>
      <c r="AA21" s="407">
        <f t="shared" si="5"/>
        <v>43800</v>
      </c>
      <c r="AB21" s="407">
        <f t="shared" si="5"/>
        <v>43831</v>
      </c>
      <c r="AC21" s="407">
        <f t="shared" si="5"/>
        <v>43862</v>
      </c>
      <c r="AD21" s="407">
        <f t="shared" si="5"/>
        <v>43891</v>
      </c>
      <c r="AE21" s="407">
        <f t="shared" si="5"/>
        <v>43922</v>
      </c>
      <c r="AF21" s="407">
        <f t="shared" si="5"/>
        <v>43952</v>
      </c>
      <c r="AG21" s="407">
        <f t="shared" si="5"/>
        <v>43983</v>
      </c>
      <c r="AH21" s="407">
        <f t="shared" si="5"/>
        <v>44013</v>
      </c>
      <c r="AI21" s="407">
        <f t="shared" si="5"/>
        <v>44044</v>
      </c>
      <c r="AJ21" s="407">
        <f t="shared" si="5"/>
        <v>44075</v>
      </c>
      <c r="AK21" s="407">
        <f t="shared" si="5"/>
        <v>44105</v>
      </c>
      <c r="AL21" s="407">
        <f t="shared" si="5"/>
        <v>44136</v>
      </c>
      <c r="AM21" s="407">
        <f t="shared" si="5"/>
        <v>44166</v>
      </c>
      <c r="AN21" s="407">
        <f t="shared" si="5"/>
        <v>44197</v>
      </c>
      <c r="AO21" s="407">
        <f t="shared" si="5"/>
        <v>44228</v>
      </c>
      <c r="AP21" s="407">
        <f t="shared" si="5"/>
        <v>44256</v>
      </c>
      <c r="AQ21" s="407">
        <f t="shared" si="5"/>
        <v>44287</v>
      </c>
      <c r="AR21" s="407">
        <f t="shared" si="5"/>
        <v>44317</v>
      </c>
      <c r="AS21" s="407">
        <f t="shared" si="5"/>
        <v>44348</v>
      </c>
      <c r="AT21" s="407">
        <f t="shared" si="5"/>
        <v>44378</v>
      </c>
      <c r="AU21" s="407">
        <f t="shared" si="5"/>
        <v>44409</v>
      </c>
      <c r="AV21" s="407">
        <f t="shared" si="5"/>
        <v>44440</v>
      </c>
      <c r="AW21" s="171" t="s">
        <v>145</v>
      </c>
      <c r="AX21" s="350"/>
      <c r="BD21" s="364" t="str">
        <f t="shared" si="4"/>
        <v>Monthly Consumption/Production data</v>
      </c>
      <c r="BE21" s="597" t="str">
        <f>BE13</f>
        <v>Average</v>
      </c>
      <c r="BF21" s="351"/>
      <c r="BG21" s="614" t="s">
        <v>145</v>
      </c>
    </row>
    <row r="22" spans="3:59" s="361" customFormat="1" x14ac:dyDescent="0.25">
      <c r="C22" s="402" t="s">
        <v>224</v>
      </c>
      <c r="D22" s="404">
        <v>23525.93</v>
      </c>
      <c r="E22" s="404">
        <v>28545</v>
      </c>
      <c r="F22" s="404">
        <v>38874.800000000003</v>
      </c>
      <c r="G22" s="404">
        <v>16285.68</v>
      </c>
      <c r="H22" s="404">
        <v>20395.14</v>
      </c>
      <c r="I22" s="404">
        <v>43208.38</v>
      </c>
      <c r="J22" s="404">
        <v>44409.9</v>
      </c>
      <c r="K22" s="404">
        <v>42545.9</v>
      </c>
      <c r="L22" s="404">
        <v>47261.48</v>
      </c>
      <c r="M22" s="404">
        <v>39072.364999999998</v>
      </c>
      <c r="N22" s="404">
        <v>32280.661</v>
      </c>
      <c r="O22" s="404">
        <v>45854.82</v>
      </c>
      <c r="P22" s="404">
        <v>45239.063999999998</v>
      </c>
      <c r="Q22" s="404">
        <v>45106.99</v>
      </c>
      <c r="R22" s="404">
        <v>52441.29</v>
      </c>
      <c r="S22" s="404">
        <v>56569.88</v>
      </c>
      <c r="T22" s="404">
        <v>53440.942000000003</v>
      </c>
      <c r="U22" s="404">
        <v>53526.178999999996</v>
      </c>
      <c r="V22" s="404">
        <v>54475</v>
      </c>
      <c r="W22" s="404">
        <v>42102</v>
      </c>
      <c r="X22" s="404">
        <v>42870</v>
      </c>
      <c r="Y22" s="404">
        <v>45396</v>
      </c>
      <c r="Z22" s="404">
        <v>46793</v>
      </c>
      <c r="AA22" s="404">
        <v>54388</v>
      </c>
      <c r="AB22" s="404">
        <v>48060</v>
      </c>
      <c r="AC22" s="404">
        <v>49587</v>
      </c>
      <c r="AD22" s="404">
        <v>40624</v>
      </c>
      <c r="AE22" s="404">
        <v>19956</v>
      </c>
      <c r="AF22" s="404">
        <v>24065.138999999999</v>
      </c>
      <c r="AG22" s="404">
        <v>42358</v>
      </c>
      <c r="AH22" s="404">
        <v>50087</v>
      </c>
      <c r="AI22" s="404">
        <v>47948.29</v>
      </c>
      <c r="AJ22" s="404">
        <v>44762.42</v>
      </c>
      <c r="AK22" s="404">
        <v>39579.769999999997</v>
      </c>
      <c r="AL22" s="404">
        <v>48482.49</v>
      </c>
      <c r="AM22" s="404">
        <v>45232.368000000002</v>
      </c>
      <c r="AN22" s="404">
        <v>44290.69</v>
      </c>
      <c r="AO22" s="404">
        <v>43735.178</v>
      </c>
      <c r="AP22" s="404">
        <v>48151.229999999996</v>
      </c>
      <c r="AQ22" s="404">
        <v>45518.543999999994</v>
      </c>
      <c r="AR22" s="404">
        <v>47129.62</v>
      </c>
      <c r="AS22" s="404">
        <v>45501.251000000004</v>
      </c>
      <c r="AT22" s="404">
        <v>41968.390999999996</v>
      </c>
      <c r="AU22" s="404">
        <v>45444.69</v>
      </c>
      <c r="AV22" s="404">
        <v>42818.97</v>
      </c>
      <c r="AW22" s="404">
        <f t="shared" ref="AW22:AW27" si="6">AVERAGE(D22:AV22)</f>
        <v>42664.654266666665</v>
      </c>
      <c r="AX22" s="350"/>
      <c r="BD22" s="364" t="str">
        <f t="shared" si="4"/>
        <v>C2</v>
      </c>
      <c r="BE22" s="598">
        <f>AW22</f>
        <v>42664.654266666665</v>
      </c>
      <c r="BF22" s="351"/>
      <c r="BG22" s="404">
        <f>BE22</f>
        <v>42664.654266666665</v>
      </c>
    </row>
    <row r="23" spans="3:59" s="361" customFormat="1" x14ac:dyDescent="0.25">
      <c r="C23" s="403" t="s">
        <v>223</v>
      </c>
      <c r="D23" s="404">
        <v>18367.57</v>
      </c>
      <c r="E23" s="404">
        <v>13860.61</v>
      </c>
      <c r="F23" s="404">
        <v>20763.759999999998</v>
      </c>
      <c r="G23" s="404">
        <v>16230.2</v>
      </c>
      <c r="H23" s="404">
        <v>16864.77</v>
      </c>
      <c r="I23" s="404">
        <v>19236.62</v>
      </c>
      <c r="J23" s="404">
        <v>19855.57</v>
      </c>
      <c r="K23" s="404">
        <v>19351.97</v>
      </c>
      <c r="L23" s="404">
        <v>17279.439999999999</v>
      </c>
      <c r="M23" s="404">
        <v>14949</v>
      </c>
      <c r="N23" s="404">
        <v>15001.558000000001</v>
      </c>
      <c r="O23" s="404">
        <v>13870.38</v>
      </c>
      <c r="P23" s="404">
        <v>15068.453</v>
      </c>
      <c r="Q23" s="404">
        <v>16253.66</v>
      </c>
      <c r="R23" s="404">
        <v>19710.8</v>
      </c>
      <c r="S23" s="404">
        <v>19193.288</v>
      </c>
      <c r="T23" s="404">
        <v>18458</v>
      </c>
      <c r="U23" s="404">
        <v>19455.91</v>
      </c>
      <c r="V23" s="404">
        <v>18190</v>
      </c>
      <c r="W23" s="404">
        <v>15509</v>
      </c>
      <c r="X23" s="404">
        <v>17019</v>
      </c>
      <c r="Y23" s="404">
        <v>16747</v>
      </c>
      <c r="Z23" s="404">
        <v>17061</v>
      </c>
      <c r="AA23" s="404">
        <v>19643</v>
      </c>
      <c r="AB23" s="404">
        <v>15246</v>
      </c>
      <c r="AC23" s="404">
        <v>16469</v>
      </c>
      <c r="AD23" s="404">
        <v>16045</v>
      </c>
      <c r="AE23" s="404">
        <v>7420</v>
      </c>
      <c r="AF23" s="404">
        <v>7935</v>
      </c>
      <c r="AG23" s="404">
        <v>13536</v>
      </c>
      <c r="AH23" s="404">
        <v>19162</v>
      </c>
      <c r="AI23" s="404">
        <v>18640.189999999999</v>
      </c>
      <c r="AJ23" s="404">
        <v>17283.261999999999</v>
      </c>
      <c r="AK23" s="404">
        <v>16038.02</v>
      </c>
      <c r="AL23" s="404">
        <v>15930.655000000001</v>
      </c>
      <c r="AM23" s="404">
        <v>8084.7250000000004</v>
      </c>
      <c r="AN23" s="404">
        <v>14349.45</v>
      </c>
      <c r="AO23" s="404">
        <v>13640.329999999998</v>
      </c>
      <c r="AP23" s="404">
        <v>19082.227999999999</v>
      </c>
      <c r="AQ23" s="404">
        <v>17572.519999999997</v>
      </c>
      <c r="AR23" s="404">
        <v>12938.579999999998</v>
      </c>
      <c r="AS23" s="404">
        <v>18246.82</v>
      </c>
      <c r="AT23" s="404">
        <v>16723.643000000004</v>
      </c>
      <c r="AU23" s="404">
        <v>18214.75</v>
      </c>
      <c r="AV23" s="404">
        <v>18015.900000000001</v>
      </c>
      <c r="AW23" s="404">
        <f t="shared" si="6"/>
        <v>16411.436266666664</v>
      </c>
      <c r="AX23" s="350"/>
      <c r="BD23" s="364" t="str">
        <f t="shared" si="4"/>
        <v>C3</v>
      </c>
      <c r="BE23" s="598">
        <f>AW23</f>
        <v>16411.436266666664</v>
      </c>
      <c r="BF23" s="351"/>
      <c r="BG23" s="404">
        <f>BE23</f>
        <v>16411.436266666664</v>
      </c>
    </row>
    <row r="24" spans="3:59" s="361" customFormat="1" x14ac:dyDescent="0.25">
      <c r="C24" s="403" t="s">
        <v>222</v>
      </c>
      <c r="D24" s="404">
        <v>10395.65</v>
      </c>
      <c r="E24" s="404">
        <v>7149.89</v>
      </c>
      <c r="F24" s="404">
        <v>11145.19</v>
      </c>
      <c r="G24" s="404">
        <v>7763.33</v>
      </c>
      <c r="H24" s="404">
        <v>8489.0499999999993</v>
      </c>
      <c r="I24" s="404">
        <v>10800.97</v>
      </c>
      <c r="J24" s="404">
        <v>11699.65</v>
      </c>
      <c r="K24" s="404">
        <v>10335.11</v>
      </c>
      <c r="L24" s="404">
        <v>9914.52</v>
      </c>
      <c r="M24" s="404">
        <v>7980.12</v>
      </c>
      <c r="N24" s="404">
        <v>6901.9</v>
      </c>
      <c r="O24" s="404">
        <v>8782.73</v>
      </c>
      <c r="P24" s="404">
        <v>9804.3739999999998</v>
      </c>
      <c r="Q24" s="404">
        <v>9965.2199999999993</v>
      </c>
      <c r="R24" s="404">
        <v>11451.85</v>
      </c>
      <c r="S24" s="404">
        <v>11282.893</v>
      </c>
      <c r="T24" s="404">
        <v>9577</v>
      </c>
      <c r="U24" s="404">
        <v>11655.96</v>
      </c>
      <c r="V24" s="404">
        <v>11658</v>
      </c>
      <c r="W24" s="404">
        <v>9781</v>
      </c>
      <c r="X24" s="404">
        <v>10719.91</v>
      </c>
      <c r="Y24" s="404">
        <v>10303</v>
      </c>
      <c r="Z24" s="404">
        <v>10979</v>
      </c>
      <c r="AA24" s="404">
        <v>12235</v>
      </c>
      <c r="AB24" s="404">
        <v>8260</v>
      </c>
      <c r="AC24" s="404">
        <v>8918</v>
      </c>
      <c r="AD24" s="404">
        <v>9463</v>
      </c>
      <c r="AE24" s="404">
        <v>1085</v>
      </c>
      <c r="AF24" s="404">
        <v>1977</v>
      </c>
      <c r="AG24" s="404">
        <v>6975</v>
      </c>
      <c r="AH24" s="404">
        <v>11799</v>
      </c>
      <c r="AI24" s="404">
        <v>11043.08</v>
      </c>
      <c r="AJ24" s="404">
        <v>11346.87</v>
      </c>
      <c r="AK24" s="404">
        <v>11421.22</v>
      </c>
      <c r="AL24" s="404">
        <v>9782.6039999999994</v>
      </c>
      <c r="AM24" s="404">
        <v>4147.5529999999999</v>
      </c>
      <c r="AN24" s="404">
        <v>9419.93</v>
      </c>
      <c r="AO24" s="404">
        <v>6841.451</v>
      </c>
      <c r="AP24" s="404">
        <v>11985.442999999999</v>
      </c>
      <c r="AQ24" s="404">
        <v>8750.902</v>
      </c>
      <c r="AR24" s="404">
        <v>8252.0600000000013</v>
      </c>
      <c r="AS24" s="404">
        <v>10883.52</v>
      </c>
      <c r="AT24" s="404">
        <v>11120.630000000001</v>
      </c>
      <c r="AU24" s="404">
        <v>9495.33</v>
      </c>
      <c r="AV24" s="404">
        <v>12022.88</v>
      </c>
      <c r="AW24" s="404">
        <f t="shared" si="6"/>
        <v>9461.3731111111119</v>
      </c>
      <c r="AX24" s="350"/>
      <c r="BD24" s="364" t="str">
        <f t="shared" si="4"/>
        <v>C4</v>
      </c>
      <c r="BE24" s="598">
        <f>AW24</f>
        <v>9461.3731111111119</v>
      </c>
      <c r="BF24" s="351"/>
      <c r="BG24" s="404">
        <f>BE24</f>
        <v>9461.3731111111119</v>
      </c>
    </row>
    <row r="25" spans="3:59" s="361" customFormat="1" x14ac:dyDescent="0.25">
      <c r="C25" s="403" t="s">
        <v>221</v>
      </c>
      <c r="D25" s="404">
        <v>65158</v>
      </c>
      <c r="E25" s="404">
        <v>78287</v>
      </c>
      <c r="F25" s="404">
        <v>71765</v>
      </c>
      <c r="G25" s="404">
        <v>45011</v>
      </c>
      <c r="H25" s="404">
        <v>74276.800000000003</v>
      </c>
      <c r="I25" s="404">
        <v>67051</v>
      </c>
      <c r="J25" s="404">
        <v>63581</v>
      </c>
      <c r="K25" s="404">
        <v>83798.498000000007</v>
      </c>
      <c r="L25" s="404">
        <v>67515.259999999995</v>
      </c>
      <c r="M25" s="404">
        <v>72203.460000000006</v>
      </c>
      <c r="N25" s="404">
        <v>60431.343999999997</v>
      </c>
      <c r="O25" s="404">
        <v>66799.551999999996</v>
      </c>
      <c r="P25" s="404">
        <v>86332.34</v>
      </c>
      <c r="Q25" s="404">
        <v>79566.964000000007</v>
      </c>
      <c r="R25" s="404">
        <v>102630.795</v>
      </c>
      <c r="S25" s="404">
        <v>85984.406000000003</v>
      </c>
      <c r="T25" s="404">
        <v>88111</v>
      </c>
      <c r="U25" s="404">
        <v>86502.692999999999</v>
      </c>
      <c r="V25" s="404">
        <v>113007</v>
      </c>
      <c r="W25" s="404">
        <v>83457</v>
      </c>
      <c r="X25" s="404">
        <v>88572</v>
      </c>
      <c r="Y25" s="404">
        <v>68240</v>
      </c>
      <c r="Z25" s="404">
        <v>117140</v>
      </c>
      <c r="AA25" s="404">
        <v>128916</v>
      </c>
      <c r="AB25" s="404">
        <v>140248</v>
      </c>
      <c r="AC25" s="404">
        <v>111138</v>
      </c>
      <c r="AD25" s="404">
        <v>106022</v>
      </c>
      <c r="AE25" s="404">
        <v>50931</v>
      </c>
      <c r="AF25" s="404">
        <v>84239</v>
      </c>
      <c r="AG25" s="404">
        <v>110478</v>
      </c>
      <c r="AH25" s="404">
        <v>132100</v>
      </c>
      <c r="AI25" s="404">
        <v>122243.48299999999</v>
      </c>
      <c r="AJ25" s="404">
        <v>119222.27</v>
      </c>
      <c r="AK25" s="404">
        <v>142428.861</v>
      </c>
      <c r="AL25" s="404">
        <v>118705.94</v>
      </c>
      <c r="AM25" s="404">
        <v>96474.813999999998</v>
      </c>
      <c r="AN25" s="404">
        <v>130783.25</v>
      </c>
      <c r="AO25" s="404">
        <v>119759.092</v>
      </c>
      <c r="AP25" s="404">
        <v>141030.43099999998</v>
      </c>
      <c r="AQ25" s="404">
        <v>109834.647</v>
      </c>
      <c r="AR25" s="404">
        <v>82181.577000000005</v>
      </c>
      <c r="AS25" s="404">
        <v>112421.04699999999</v>
      </c>
      <c r="AT25" s="404">
        <v>87199.964999999997</v>
      </c>
      <c r="AU25" s="404">
        <v>118859.33</v>
      </c>
      <c r="AV25" s="404">
        <v>137352.23499999999</v>
      </c>
      <c r="AW25" s="404">
        <f t="shared" si="6"/>
        <v>95955.356755555549</v>
      </c>
      <c r="AX25" s="350"/>
      <c r="BD25" s="364" t="str">
        <f t="shared" si="4"/>
        <v>Naphtha</v>
      </c>
      <c r="BE25" s="598">
        <f>AW25</f>
        <v>95955.356755555549</v>
      </c>
      <c r="BF25" s="351"/>
      <c r="BG25" s="404">
        <f>BE25</f>
        <v>95955.356755555549</v>
      </c>
    </row>
    <row r="26" spans="3:59" s="361" customFormat="1" x14ac:dyDescent="0.25">
      <c r="C26" s="168" t="s">
        <v>11</v>
      </c>
      <c r="D26" s="404">
        <v>49945.58</v>
      </c>
      <c r="E26" s="404">
        <v>52637.67</v>
      </c>
      <c r="F26" s="404">
        <v>65919.247000000003</v>
      </c>
      <c r="G26" s="404">
        <v>34622.629999999997</v>
      </c>
      <c r="H26" s="404">
        <v>48015.74</v>
      </c>
      <c r="I26" s="404">
        <v>67053.240000000005</v>
      </c>
      <c r="J26" s="404">
        <v>65779.199999999997</v>
      </c>
      <c r="K26" s="404">
        <v>74044.19</v>
      </c>
      <c r="L26" s="404">
        <v>70742.36</v>
      </c>
      <c r="M26" s="404">
        <v>63107.13</v>
      </c>
      <c r="N26" s="404">
        <v>54091.8</v>
      </c>
      <c r="O26" s="404">
        <v>62989.86</v>
      </c>
      <c r="P26" s="404">
        <v>72073.342000000004</v>
      </c>
      <c r="Q26" s="404">
        <v>72902.240000000005</v>
      </c>
      <c r="R26" s="404">
        <v>88796.94</v>
      </c>
      <c r="S26" s="404">
        <v>85756.76</v>
      </c>
      <c r="T26" s="404">
        <v>84081</v>
      </c>
      <c r="U26" s="404">
        <v>85182</v>
      </c>
      <c r="V26" s="404">
        <v>92854</v>
      </c>
      <c r="W26" s="404">
        <v>66915</v>
      </c>
      <c r="X26" s="404">
        <v>74976</v>
      </c>
      <c r="Y26" s="404">
        <v>70163</v>
      </c>
      <c r="Z26" s="404">
        <v>86680</v>
      </c>
      <c r="AA26" s="404">
        <v>98609.9</v>
      </c>
      <c r="AB26" s="404">
        <v>95426.14</v>
      </c>
      <c r="AC26" s="404">
        <v>87937</v>
      </c>
      <c r="AD26" s="404">
        <v>78875</v>
      </c>
      <c r="AE26" s="404">
        <v>34969</v>
      </c>
      <c r="AF26" s="404">
        <v>51949</v>
      </c>
      <c r="AG26" s="404">
        <v>79130</v>
      </c>
      <c r="AH26" s="404">
        <v>96432</v>
      </c>
      <c r="AI26" s="404">
        <v>92929.02</v>
      </c>
      <c r="AJ26" s="404">
        <v>88036.82</v>
      </c>
      <c r="AK26" s="404">
        <v>91118.51</v>
      </c>
      <c r="AL26" s="404">
        <v>90135.27</v>
      </c>
      <c r="AM26" s="404">
        <v>73083.929999999993</v>
      </c>
      <c r="AN26" s="404">
        <v>90574.5</v>
      </c>
      <c r="AO26" s="404">
        <v>84312.5</v>
      </c>
      <c r="AP26" s="404">
        <v>101478.07</v>
      </c>
      <c r="AQ26" s="404">
        <v>86143.58</v>
      </c>
      <c r="AR26" s="404">
        <v>74580.561810412168</v>
      </c>
      <c r="AS26" s="404">
        <v>88314.981495050743</v>
      </c>
      <c r="AT26" s="404">
        <v>75907.87</v>
      </c>
      <c r="AU26" s="404">
        <v>89508.39</v>
      </c>
      <c r="AV26" s="404">
        <v>94324.09</v>
      </c>
      <c r="AW26" s="404">
        <f t="shared" si="6"/>
        <v>76291.223606788044</v>
      </c>
      <c r="AX26" s="350"/>
      <c r="BD26" s="364" t="str">
        <f t="shared" si="4"/>
        <v>Ethylene</v>
      </c>
      <c r="BE26" s="611">
        <f>BE22*'DFCU Yields as per PwC'!$B$20+'DFCU Yields as per PwC'!$C$20*'Prices and COP model'!BE23+'Prices and COP model'!BE24*'DFCU Yields as per PwC'!$D$20+'DFCU Yields as per PwC'!$E$20*'Prices and COP model'!BE25</f>
        <v>76362.244469777783</v>
      </c>
      <c r="BF26" s="351"/>
      <c r="BG26" s="615">
        <f>BG22*'DFCU Yields as per PwC'!$B$20+'DFCU Yields as per PwC'!$C$20*'Prices and COP model'!BG23+'Prices and COP model'!BG24*'DFCU Yields as per PwC'!$D$20+'DFCU Yields as per PwC'!$E$20*'Prices and COP model'!BG25</f>
        <v>76362.244469777783</v>
      </c>
    </row>
    <row r="27" spans="3:59" s="361" customFormat="1" x14ac:dyDescent="0.25">
      <c r="C27" s="168" t="s">
        <v>126</v>
      </c>
      <c r="D27" s="404">
        <v>22030</v>
      </c>
      <c r="E27" s="404">
        <v>21936.330999999998</v>
      </c>
      <c r="F27" s="404">
        <v>23416.42</v>
      </c>
      <c r="G27" s="404">
        <v>16977.759999999998</v>
      </c>
      <c r="H27" s="404">
        <v>21718.51</v>
      </c>
      <c r="I27" s="404">
        <v>22324.95</v>
      </c>
      <c r="J27" s="404">
        <v>21364.45</v>
      </c>
      <c r="K27" s="404">
        <v>25382.14</v>
      </c>
      <c r="L27" s="404">
        <v>21445</v>
      </c>
      <c r="M27" s="404">
        <v>21636.89</v>
      </c>
      <c r="N27" s="404">
        <v>19075.793000000001</v>
      </c>
      <c r="O27" s="404">
        <v>19312.111000000001</v>
      </c>
      <c r="P27" s="404">
        <v>25051.735000000001</v>
      </c>
      <c r="Q27" s="404">
        <v>24768.079000000002</v>
      </c>
      <c r="R27" s="404">
        <v>29516.187000000002</v>
      </c>
      <c r="S27" s="404">
        <v>26614.23</v>
      </c>
      <c r="T27" s="404">
        <v>25667</v>
      </c>
      <c r="U27" s="404">
        <v>26694</v>
      </c>
      <c r="V27" s="404">
        <v>32013</v>
      </c>
      <c r="W27" s="404">
        <v>22985</v>
      </c>
      <c r="X27" s="404">
        <v>27249</v>
      </c>
      <c r="Y27" s="404">
        <v>22097</v>
      </c>
      <c r="Z27" s="404">
        <v>31429</v>
      </c>
      <c r="AA27" s="404">
        <v>34826.088000000003</v>
      </c>
      <c r="AB27" s="404">
        <v>34737</v>
      </c>
      <c r="AC27" s="404">
        <v>29810</v>
      </c>
      <c r="AD27" s="404">
        <v>28810</v>
      </c>
      <c r="AE27" s="404">
        <v>13222</v>
      </c>
      <c r="AF27" s="404">
        <v>21880</v>
      </c>
      <c r="AG27" s="404">
        <v>28622</v>
      </c>
      <c r="AH27" s="404">
        <v>35924</v>
      </c>
      <c r="AI27" s="404">
        <v>34676.300000000003</v>
      </c>
      <c r="AJ27" s="404">
        <v>31682.02</v>
      </c>
      <c r="AK27" s="404">
        <v>36641.25</v>
      </c>
      <c r="AL27" s="404">
        <v>31566.42</v>
      </c>
      <c r="AM27" s="404">
        <v>23445.39</v>
      </c>
      <c r="AN27" s="404">
        <v>34923.97</v>
      </c>
      <c r="AO27" s="404">
        <v>31332.57</v>
      </c>
      <c r="AP27" s="404">
        <v>38430.959999999999</v>
      </c>
      <c r="AQ27" s="404">
        <v>30936.880000000001</v>
      </c>
      <c r="AR27" s="404">
        <v>23936.43</v>
      </c>
      <c r="AS27" s="404">
        <v>32251.64</v>
      </c>
      <c r="AT27" s="404">
        <v>26003.07</v>
      </c>
      <c r="AU27" s="404">
        <v>32838.07</v>
      </c>
      <c r="AV27" s="404">
        <v>36896</v>
      </c>
      <c r="AW27" s="404">
        <f t="shared" si="6"/>
        <v>27202.147644444442</v>
      </c>
      <c r="AX27" s="350"/>
      <c r="BD27" s="364" t="str">
        <f t="shared" si="4"/>
        <v>Propylene</v>
      </c>
      <c r="BE27" s="611">
        <f>BE22*'DFCU Yields as per PwC'!$B$21+'DFCU Yields as per PwC'!$C$21*'Prices and COP model'!BE23+'Prices and COP model'!BE24*'DFCU Yields as per PwC'!$D$21+'DFCU Yields as per PwC'!$E$21*'Prices and COP model'!BE25</f>
        <v>25155.504647155554</v>
      </c>
      <c r="BF27" s="351"/>
      <c r="BG27" s="615">
        <f>BG22*'DFCU Yields as per PwC'!$B$21+'DFCU Yields as per PwC'!$C$21*'Prices and COP model'!BG23+'Prices and COP model'!BG24*'DFCU Yields as per PwC'!$D$21+'DFCU Yields as per PwC'!$E$21*'Prices and COP model'!BG25</f>
        <v>25155.504647155554</v>
      </c>
    </row>
    <row r="28" spans="3:59" s="361" customFormat="1" x14ac:dyDescent="0.25">
      <c r="C28" s="168" t="str">
        <f>C14</f>
        <v xml:space="preserve">Benzene </v>
      </c>
      <c r="D28" s="404">
        <v>5738.73</v>
      </c>
      <c r="E28" s="404">
        <v>5546.23</v>
      </c>
      <c r="F28" s="404">
        <v>5553.58</v>
      </c>
      <c r="G28" s="404">
        <v>6388.57</v>
      </c>
      <c r="H28" s="404">
        <v>5088.51</v>
      </c>
      <c r="I28" s="404">
        <v>7207.11</v>
      </c>
      <c r="J28" s="404">
        <v>4960.7700000000004</v>
      </c>
      <c r="K28" s="404">
        <v>8255.3799999999992</v>
      </c>
      <c r="L28" s="404">
        <v>5650.77</v>
      </c>
      <c r="M28" s="404">
        <v>4951.7299999999996</v>
      </c>
      <c r="N28" s="404">
        <v>6463.37</v>
      </c>
      <c r="O28" s="404">
        <v>5602.18</v>
      </c>
      <c r="P28" s="404">
        <v>7519.01</v>
      </c>
      <c r="Q28" s="404">
        <v>7910.32</v>
      </c>
      <c r="R28" s="404">
        <v>9453.0400000000009</v>
      </c>
      <c r="S28" s="404">
        <v>7091.68</v>
      </c>
      <c r="T28" s="404">
        <v>8146</v>
      </c>
      <c r="U28" s="404">
        <v>8319</v>
      </c>
      <c r="V28" s="404">
        <v>10924</v>
      </c>
      <c r="W28" s="404">
        <v>5906</v>
      </c>
      <c r="X28" s="404">
        <v>10349</v>
      </c>
      <c r="Y28" s="404">
        <v>6062</v>
      </c>
      <c r="Z28" s="404">
        <v>10097</v>
      </c>
      <c r="AA28" s="404">
        <v>11747.16</v>
      </c>
      <c r="AB28" s="404">
        <v>13722.14</v>
      </c>
      <c r="AC28" s="404">
        <v>10402</v>
      </c>
      <c r="AD28" s="404">
        <v>9781</v>
      </c>
      <c r="AE28" s="404">
        <v>3128</v>
      </c>
      <c r="AF28" s="404">
        <v>8235.06</v>
      </c>
      <c r="AG28" s="404">
        <v>9599.3700000000008</v>
      </c>
      <c r="AH28" s="404">
        <v>11350.844999999999</v>
      </c>
      <c r="AI28" s="404">
        <v>13091.927</v>
      </c>
      <c r="AJ28" s="404">
        <v>10432.85</v>
      </c>
      <c r="AK28" s="404">
        <v>13142.431</v>
      </c>
      <c r="AL28" s="404">
        <v>12844.56</v>
      </c>
      <c r="AM28" s="404">
        <v>8019.9989999999998</v>
      </c>
      <c r="AN28" s="404">
        <v>12525.48</v>
      </c>
      <c r="AO28" s="404">
        <v>10450.965</v>
      </c>
      <c r="AP28" s="404">
        <v>12772.37</v>
      </c>
      <c r="AQ28" s="404">
        <v>10311.493</v>
      </c>
      <c r="AR28" s="404">
        <v>7345.4679999999998</v>
      </c>
      <c r="AS28" s="404">
        <v>10375.859999999999</v>
      </c>
      <c r="AT28" s="404">
        <v>8297.5470000000005</v>
      </c>
      <c r="AU28" s="404">
        <v>10690.93</v>
      </c>
      <c r="AV28" s="404">
        <v>12176.65</v>
      </c>
      <c r="AW28" s="404">
        <f>AVERAGE(D28:AV28)</f>
        <v>8747.2907777777764</v>
      </c>
      <c r="AX28" s="350"/>
      <c r="BD28" s="364" t="str">
        <f t="shared" si="4"/>
        <v xml:space="preserve">Benzene </v>
      </c>
      <c r="BE28" s="611">
        <f>BE22*'DFCU Yields as per PwC'!$B$23+'DFCU Yields as per PwC'!$C$23*'Prices and COP model'!BE23+'Prices and COP model'!BE24*'DFCU Yields as per PwC'!$D$23+'DFCU Yields as per PwC'!$E$23*'Prices and COP model'!BE25</f>
        <v>8377.8312201973313</v>
      </c>
      <c r="BF28" s="351"/>
      <c r="BG28" s="615">
        <f>BG22*'DFCU Yields as per PwC'!$B$23+'DFCU Yields as per PwC'!$C$23*'Prices and COP model'!BG23+'Prices and COP model'!BG24*'DFCU Yields as per PwC'!$D$23+'DFCU Yields as per PwC'!$E$23*'Prices and COP model'!BG25</f>
        <v>8377.8312201973313</v>
      </c>
    </row>
    <row r="29" spans="3:59" s="361" customFormat="1" x14ac:dyDescent="0.25">
      <c r="C29" s="168" t="str">
        <f>C15</f>
        <v xml:space="preserve"> 1,3Butadiene </v>
      </c>
      <c r="D29" s="404">
        <v>5035.09</v>
      </c>
      <c r="E29" s="404">
        <v>5318.95</v>
      </c>
      <c r="F29" s="404">
        <v>5868.35</v>
      </c>
      <c r="G29" s="404">
        <v>3840.68</v>
      </c>
      <c r="H29" s="404">
        <v>5402.43</v>
      </c>
      <c r="I29" s="404">
        <v>5254.61</v>
      </c>
      <c r="J29" s="404">
        <v>4959.13</v>
      </c>
      <c r="K29" s="404">
        <v>6711.33</v>
      </c>
      <c r="L29" s="404">
        <v>5427.42</v>
      </c>
      <c r="M29" s="404">
        <v>5758.21</v>
      </c>
      <c r="N29" s="404">
        <v>4917.04</v>
      </c>
      <c r="O29" s="404">
        <v>5195.62</v>
      </c>
      <c r="P29" s="404">
        <v>6549.94</v>
      </c>
      <c r="Q29" s="404">
        <v>6626.56</v>
      </c>
      <c r="R29" s="404">
        <v>8241.35</v>
      </c>
      <c r="S29" s="404">
        <v>6997.62</v>
      </c>
      <c r="T29" s="404">
        <v>7041</v>
      </c>
      <c r="U29" s="404">
        <v>7021</v>
      </c>
      <c r="V29" s="404">
        <v>8358</v>
      </c>
      <c r="W29" s="404">
        <v>6091.23</v>
      </c>
      <c r="X29" s="404">
        <v>7441</v>
      </c>
      <c r="Y29" s="404">
        <v>5606</v>
      </c>
      <c r="Z29" s="404">
        <v>8771</v>
      </c>
      <c r="AA29" s="404">
        <v>9507.3799999999992</v>
      </c>
      <c r="AB29" s="404">
        <v>10231.67</v>
      </c>
      <c r="AC29" s="404">
        <v>7833</v>
      </c>
      <c r="AD29" s="404">
        <v>8015</v>
      </c>
      <c r="AE29" s="404">
        <v>3453</v>
      </c>
      <c r="AF29" s="404">
        <v>6192.43</v>
      </c>
      <c r="AG29" s="404">
        <v>7316.27</v>
      </c>
      <c r="AH29" s="404">
        <v>9601.6319999999996</v>
      </c>
      <c r="AI29" s="404">
        <v>8942.84</v>
      </c>
      <c r="AJ29" s="404">
        <v>8863.77</v>
      </c>
      <c r="AK29" s="404">
        <v>9913.7080000000005</v>
      </c>
      <c r="AL29" s="404">
        <v>8774.1029999999992</v>
      </c>
      <c r="AM29" s="404">
        <v>6341.2259999999997</v>
      </c>
      <c r="AN29" s="404">
        <v>9528.61</v>
      </c>
      <c r="AO29" s="404">
        <v>8494.66</v>
      </c>
      <c r="AP29" s="404">
        <v>10493.012000000002</v>
      </c>
      <c r="AQ29" s="404">
        <v>8309.4509999999991</v>
      </c>
      <c r="AR29" s="404">
        <v>6425.7750000000005</v>
      </c>
      <c r="AS29" s="404">
        <v>8139.817</v>
      </c>
      <c r="AT29" s="404">
        <v>6525.7</v>
      </c>
      <c r="AU29" s="404">
        <v>8576.91</v>
      </c>
      <c r="AV29" s="404">
        <v>9442.6</v>
      </c>
      <c r="AW29" s="404">
        <f>AVERAGE(D29:AV29)</f>
        <v>7185.6916444444432</v>
      </c>
      <c r="AX29" s="350"/>
      <c r="BD29" s="364" t="str">
        <f t="shared" si="4"/>
        <v xml:space="preserve"> 1,3Butadiene </v>
      </c>
      <c r="BE29" s="611">
        <f>BE22*'DFCU Yields as per PwC'!$B$24+'DFCU Yields as per PwC'!$C$24*'Prices and COP model'!BE23+'Prices and COP model'!BE24*'DFCU Yields as per PwC'!$D$24+'DFCU Yields as per PwC'!$E$24*'Prices and COP model'!BE25</f>
        <v>7317.490972684911</v>
      </c>
      <c r="BF29" s="351"/>
      <c r="BG29" s="615">
        <f>BG22*'DFCU Yields as per PwC'!$B$24+'DFCU Yields as per PwC'!$C$24*'Prices and COP model'!BG23+'Prices and COP model'!BG24*'DFCU Yields as per PwC'!$D$24+'DFCU Yields as per PwC'!$E$24*'Prices and COP model'!BG25</f>
        <v>7317.490972684911</v>
      </c>
    </row>
    <row r="30" spans="3:59" s="361" customFormat="1" x14ac:dyDescent="0.25">
      <c r="C30" s="168" t="str">
        <f>C16</f>
        <v xml:space="preserve"> Hydrogenated Pygas (HPG) </v>
      </c>
      <c r="D30" s="404">
        <v>7003.26</v>
      </c>
      <c r="E30" s="404">
        <v>7167.32</v>
      </c>
      <c r="F30" s="404">
        <v>5434.38</v>
      </c>
      <c r="G30" s="404">
        <v>7311.89</v>
      </c>
      <c r="H30" s="404">
        <v>6381.84</v>
      </c>
      <c r="I30" s="404">
        <v>6988.31</v>
      </c>
      <c r="J30" s="404">
        <v>6327.63</v>
      </c>
      <c r="K30" s="404">
        <v>8450.15</v>
      </c>
      <c r="L30" s="404">
        <v>6385.12</v>
      </c>
      <c r="M30" s="404">
        <v>5925.4</v>
      </c>
      <c r="N30" s="404">
        <v>7156.14</v>
      </c>
      <c r="O30" s="404">
        <v>6727.19</v>
      </c>
      <c r="P30" s="404">
        <v>9138.36</v>
      </c>
      <c r="Q30" s="404">
        <v>8492.11</v>
      </c>
      <c r="R30" s="404">
        <v>9850.5400000000009</v>
      </c>
      <c r="S30" s="404">
        <v>7936</v>
      </c>
      <c r="T30" s="404">
        <v>8416</v>
      </c>
      <c r="U30" s="404">
        <v>9125</v>
      </c>
      <c r="V30" s="404">
        <v>11478</v>
      </c>
      <c r="W30" s="404">
        <v>7130</v>
      </c>
      <c r="X30" s="404">
        <v>10779</v>
      </c>
      <c r="Y30" s="404">
        <v>6740</v>
      </c>
      <c r="Z30" s="404">
        <v>11310</v>
      </c>
      <c r="AA30" s="404">
        <v>12538.1</v>
      </c>
      <c r="AB30" s="404">
        <v>14581.54</v>
      </c>
      <c r="AC30" s="404">
        <v>9686</v>
      </c>
      <c r="AD30" s="404">
        <v>9226</v>
      </c>
      <c r="AE30" s="404">
        <v>3834</v>
      </c>
      <c r="AF30" s="404">
        <v>8534.58</v>
      </c>
      <c r="AG30" s="404">
        <v>8996.82</v>
      </c>
      <c r="AH30" s="404">
        <v>10406.323</v>
      </c>
      <c r="AI30" s="404">
        <v>12070.55</v>
      </c>
      <c r="AJ30" s="404">
        <v>12596.78</v>
      </c>
      <c r="AK30" s="404">
        <v>12632.834000000001</v>
      </c>
      <c r="AL30" s="404">
        <v>12131.97</v>
      </c>
      <c r="AM30" s="404">
        <v>8170.634</v>
      </c>
      <c r="AN30" s="404">
        <v>11747.32</v>
      </c>
      <c r="AO30" s="404">
        <v>10296.02</v>
      </c>
      <c r="AP30" s="404">
        <v>11820.69</v>
      </c>
      <c r="AQ30" s="404">
        <v>10496.224</v>
      </c>
      <c r="AR30" s="404">
        <v>8125.1449999999995</v>
      </c>
      <c r="AS30" s="404">
        <v>10128.516</v>
      </c>
      <c r="AT30" s="404">
        <v>7263.7079999999996</v>
      </c>
      <c r="AU30" s="404">
        <v>9459.25</v>
      </c>
      <c r="AV30" s="404">
        <v>11609.54</v>
      </c>
      <c r="AW30" s="404">
        <f>AVERAGE(D30:AV30)</f>
        <v>9066.80408888889</v>
      </c>
      <c r="AX30" s="350"/>
      <c r="BD30" s="364" t="str">
        <f t="shared" si="4"/>
        <v xml:space="preserve"> Hydrogenated Pygas (HPG) </v>
      </c>
      <c r="BE30" s="611">
        <f>BE22*'DFCU Yields as per PwC'!$B$25+'DFCU Yields as per PwC'!$C$25*'Prices and COP model'!BE23+'Prices and COP model'!BE24*'DFCU Yields as per PwC'!$D$25+'DFCU Yields as per PwC'!$E$25*'Prices and COP model'!BE25</f>
        <v>9425.0601227219995</v>
      </c>
      <c r="BF30" s="351"/>
      <c r="BG30" s="615">
        <f>BG22*'DFCU Yields as per PwC'!$B$25+'DFCU Yields as per PwC'!$C$25*'Prices and COP model'!BG23+'Prices and COP model'!BG24*'DFCU Yields as per PwC'!$D$25+'DFCU Yields as per PwC'!$E$25*'Prices and COP model'!BG25</f>
        <v>9425.0601227219995</v>
      </c>
    </row>
    <row r="31" spans="3:59" s="361" customFormat="1" x14ac:dyDescent="0.25">
      <c r="C31" s="168" t="str">
        <f>C17</f>
        <v xml:space="preserve"> CBFS </v>
      </c>
      <c r="D31" s="404">
        <v>2288</v>
      </c>
      <c r="E31" s="404">
        <v>2282</v>
      </c>
      <c r="F31" s="404">
        <v>2420.8200000000002</v>
      </c>
      <c r="G31" s="404">
        <v>1680</v>
      </c>
      <c r="H31" s="404">
        <v>2487</v>
      </c>
      <c r="I31" s="404">
        <v>2995.93</v>
      </c>
      <c r="J31" s="404">
        <v>2652.07</v>
      </c>
      <c r="K31" s="404">
        <v>3750.9</v>
      </c>
      <c r="L31" s="404">
        <v>2821.94</v>
      </c>
      <c r="M31" s="404">
        <v>2783.7</v>
      </c>
      <c r="N31" s="404">
        <v>2230.58</v>
      </c>
      <c r="O31" s="404">
        <v>2831.89</v>
      </c>
      <c r="P31" s="404">
        <v>3192.87</v>
      </c>
      <c r="Q31" s="404">
        <v>2790.34</v>
      </c>
      <c r="R31" s="404">
        <v>3892.67</v>
      </c>
      <c r="S31" s="404">
        <v>3005.33</v>
      </c>
      <c r="T31" s="404">
        <v>3607</v>
      </c>
      <c r="U31" s="404">
        <v>3567</v>
      </c>
      <c r="V31" s="404">
        <v>4318</v>
      </c>
      <c r="W31" s="404">
        <v>3040</v>
      </c>
      <c r="X31" s="404">
        <v>3121</v>
      </c>
      <c r="Y31" s="404">
        <v>2451</v>
      </c>
      <c r="Z31" s="404">
        <v>4111</v>
      </c>
      <c r="AA31" s="404">
        <v>4572</v>
      </c>
      <c r="AB31" s="404">
        <v>5091</v>
      </c>
      <c r="AC31" s="404">
        <v>3886</v>
      </c>
      <c r="AD31" s="404">
        <v>4080</v>
      </c>
      <c r="AE31" s="404">
        <v>1803</v>
      </c>
      <c r="AF31" s="404">
        <v>2864.77</v>
      </c>
      <c r="AG31" s="404">
        <v>3627</v>
      </c>
      <c r="AH31" s="404">
        <v>4737</v>
      </c>
      <c r="AI31" s="404">
        <v>4625.93</v>
      </c>
      <c r="AJ31" s="404">
        <v>5242.67</v>
      </c>
      <c r="AK31" s="404">
        <v>5385.41</v>
      </c>
      <c r="AL31" s="404">
        <v>4755.1000000000004</v>
      </c>
      <c r="AM31" s="404">
        <v>3512.55</v>
      </c>
      <c r="AN31" s="404">
        <v>4747.9799999999996</v>
      </c>
      <c r="AO31" s="404">
        <v>4479.76</v>
      </c>
      <c r="AP31" s="404">
        <v>5413.0480000000007</v>
      </c>
      <c r="AQ31" s="404">
        <v>3936.0899999999997</v>
      </c>
      <c r="AR31" s="404">
        <v>3079.6699999999996</v>
      </c>
      <c r="AS31" s="404">
        <v>3853.76</v>
      </c>
      <c r="AT31" s="404">
        <v>3747.31</v>
      </c>
      <c r="AU31" s="404">
        <v>4174.95</v>
      </c>
      <c r="AV31" s="404">
        <v>4934.9399999999996</v>
      </c>
      <c r="AW31" s="404">
        <f>AVERAGE(D31:AV31)</f>
        <v>3574.9106222222235</v>
      </c>
      <c r="AX31" s="350"/>
      <c r="BD31" s="364" t="str">
        <f t="shared" si="4"/>
        <v xml:space="preserve"> CBFS </v>
      </c>
      <c r="BE31" s="611">
        <f>BE22*'DFCU Yields as per PwC'!$B$22+'DFCU Yields as per PwC'!$C$22*'Prices and COP model'!BE23+'Prices and COP model'!BE24*'DFCU Yields as per PwC'!$D$22+'DFCU Yields as per PwC'!$E$22*'Prices and COP model'!BE25</f>
        <v>3789.9173146577768</v>
      </c>
      <c r="BF31" s="351"/>
      <c r="BG31" s="615">
        <f>BG22*'DFCU Yields as per PwC'!$B$22+'DFCU Yields as per PwC'!$C$22*'Prices and COP model'!BG23+'Prices and COP model'!BG24*'DFCU Yields as per PwC'!$D$22+'DFCU Yields as per PwC'!$E$22*'Prices and COP model'!BG25</f>
        <v>3789.9173146577768</v>
      </c>
    </row>
    <row r="32" spans="3:59" s="361" customFormat="1" x14ac:dyDescent="0.25">
      <c r="C32" s="168" t="str">
        <f>C18</f>
        <v xml:space="preserve"> C9+   </v>
      </c>
      <c r="D32" s="404">
        <v>3038.98</v>
      </c>
      <c r="E32" s="404">
        <v>2796.45</v>
      </c>
      <c r="F32" s="404">
        <v>2449.16</v>
      </c>
      <c r="G32" s="404">
        <v>3740.97</v>
      </c>
      <c r="H32" s="404">
        <v>2915</v>
      </c>
      <c r="I32" s="404">
        <v>3313.31</v>
      </c>
      <c r="J32" s="404">
        <v>2909.14</v>
      </c>
      <c r="K32" s="404">
        <v>3347.57</v>
      </c>
      <c r="L32" s="404">
        <v>2754.97</v>
      </c>
      <c r="M32" s="404">
        <v>2411.13</v>
      </c>
      <c r="N32" s="404">
        <v>2954.2</v>
      </c>
      <c r="O32" s="404">
        <v>2424</v>
      </c>
      <c r="P32" s="404">
        <v>3406.96</v>
      </c>
      <c r="Q32" s="404">
        <v>3337.5</v>
      </c>
      <c r="R32" s="404">
        <v>4029.99</v>
      </c>
      <c r="S32" s="404">
        <v>3508</v>
      </c>
      <c r="T32" s="404">
        <v>3465</v>
      </c>
      <c r="U32" s="404">
        <v>3330</v>
      </c>
      <c r="V32" s="404">
        <v>3846</v>
      </c>
      <c r="W32" s="404">
        <v>2811</v>
      </c>
      <c r="X32" s="404">
        <v>4116</v>
      </c>
      <c r="Y32" s="404">
        <v>2590</v>
      </c>
      <c r="Z32" s="404">
        <v>3718</v>
      </c>
      <c r="AA32" s="404">
        <v>4782</v>
      </c>
      <c r="AB32" s="404">
        <v>4613</v>
      </c>
      <c r="AC32" s="404">
        <v>3371</v>
      </c>
      <c r="AD32" s="404">
        <v>3548</v>
      </c>
      <c r="AE32" s="404">
        <v>1377</v>
      </c>
      <c r="AF32" s="404">
        <v>3163.48</v>
      </c>
      <c r="AG32" s="404">
        <v>3551.82</v>
      </c>
      <c r="AH32" s="404">
        <v>4656.0969999999998</v>
      </c>
      <c r="AI32" s="404">
        <v>4523.5879999999997</v>
      </c>
      <c r="AJ32" s="404">
        <v>4271.93</v>
      </c>
      <c r="AK32" s="404">
        <v>5041.34</v>
      </c>
      <c r="AL32" s="404">
        <v>4371.9129999999996</v>
      </c>
      <c r="AM32" s="404">
        <v>2556.2040000000002</v>
      </c>
      <c r="AN32" s="404">
        <v>3435.15</v>
      </c>
      <c r="AO32" s="404">
        <v>2901.2959999999998</v>
      </c>
      <c r="AP32" s="404">
        <v>3775.0142590775276</v>
      </c>
      <c r="AQ32" s="404">
        <v>3725.9984215727795</v>
      </c>
      <c r="AR32" s="404">
        <v>2772.6679999999997</v>
      </c>
      <c r="AS32" s="404">
        <v>3491.4396294150079</v>
      </c>
      <c r="AT32" s="404">
        <v>2706.4340000000002</v>
      </c>
      <c r="AU32" s="404">
        <v>3359.25</v>
      </c>
      <c r="AV32" s="404">
        <v>3871.83</v>
      </c>
      <c r="AW32" s="404">
        <f>AVERAGE(D32:AV32)</f>
        <v>3401.7729402236737</v>
      </c>
      <c r="AX32" s="350"/>
      <c r="BD32" s="364" t="str">
        <f t="shared" si="4"/>
        <v xml:space="preserve"> C9+   </v>
      </c>
      <c r="BE32" s="611">
        <f>BE22*'DFCU Yields as per PwC'!$B$28+'DFCU Yields as per PwC'!$C$28*'Prices and COP model'!BE23+'Prices and COP model'!BE24*'DFCU Yields as per PwC'!$D$28+'DFCU Yields as per PwC'!$E$28*'Prices and COP model'!BE25</f>
        <v>2827.5180368165998</v>
      </c>
      <c r="BF32" s="351"/>
      <c r="BG32" s="615">
        <f>BG22*'DFCU Yields as per PwC'!$B$28+'DFCU Yields as per PwC'!$C$28*'Prices and COP model'!BG23+'Prices and COP model'!BG24*'DFCU Yields as per PwC'!$D$28+'DFCU Yields as per PwC'!$E$28*'Prices and COP model'!BG25</f>
        <v>2827.5180368165998</v>
      </c>
    </row>
    <row r="33" spans="3:59" s="361" customFormat="1" x14ac:dyDescent="0.25">
      <c r="C33" s="400"/>
      <c r="D33" s="626"/>
      <c r="E33" s="626"/>
      <c r="F33" s="626"/>
      <c r="G33" s="626"/>
      <c r="H33" s="626"/>
      <c r="I33" s="626"/>
      <c r="J33" s="626"/>
      <c r="K33" s="626"/>
      <c r="L33" s="626"/>
      <c r="M33" s="626"/>
      <c r="N33" s="626"/>
      <c r="O33" s="626"/>
      <c r="P33" s="626"/>
      <c r="Q33" s="626"/>
      <c r="R33" s="626"/>
      <c r="S33" s="626"/>
      <c r="T33" s="626"/>
      <c r="U33" s="626"/>
      <c r="V33" s="626"/>
      <c r="W33" s="626"/>
      <c r="X33" s="626"/>
      <c r="Y33" s="626"/>
      <c r="Z33" s="626"/>
      <c r="AA33" s="626"/>
      <c r="AB33" s="626"/>
      <c r="AC33" s="626"/>
      <c r="AD33" s="626"/>
      <c r="AE33" s="626"/>
      <c r="AF33" s="626"/>
      <c r="AG33" s="626"/>
      <c r="AH33" s="626"/>
      <c r="AI33" s="626"/>
      <c r="AJ33" s="626"/>
      <c r="AK33" s="626"/>
      <c r="AL33" s="626"/>
      <c r="AM33" s="626"/>
      <c r="AN33" s="626"/>
      <c r="AO33" s="626"/>
      <c r="AP33" s="626"/>
      <c r="AQ33" s="626"/>
      <c r="AR33" s="626"/>
      <c r="AS33" s="626"/>
      <c r="AT33" s="626"/>
      <c r="AU33" s="626"/>
      <c r="AV33" s="626"/>
      <c r="AW33" s="626"/>
      <c r="AX33" s="350"/>
      <c r="BD33" s="364"/>
      <c r="BE33" s="627"/>
      <c r="BF33" s="351"/>
      <c r="BG33" s="627"/>
    </row>
    <row r="34" spans="3:59" s="361" customFormat="1" x14ac:dyDescent="0.25">
      <c r="C34" s="623" t="s">
        <v>604</v>
      </c>
      <c r="D34" s="392">
        <f>D21</f>
        <v>43101</v>
      </c>
      <c r="E34" s="392">
        <f t="shared" ref="E34:AW34" si="7">E21</f>
        <v>43132</v>
      </c>
      <c r="F34" s="392">
        <f t="shared" si="7"/>
        <v>43160</v>
      </c>
      <c r="G34" s="392">
        <f t="shared" si="7"/>
        <v>43191</v>
      </c>
      <c r="H34" s="392">
        <f t="shared" si="7"/>
        <v>43221</v>
      </c>
      <c r="I34" s="392">
        <f t="shared" si="7"/>
        <v>43252</v>
      </c>
      <c r="J34" s="392">
        <f t="shared" si="7"/>
        <v>43282</v>
      </c>
      <c r="K34" s="392">
        <f t="shared" si="7"/>
        <v>43313</v>
      </c>
      <c r="L34" s="392">
        <f t="shared" si="7"/>
        <v>43344</v>
      </c>
      <c r="M34" s="392">
        <f t="shared" si="7"/>
        <v>43374</v>
      </c>
      <c r="N34" s="392">
        <f t="shared" si="7"/>
        <v>43405</v>
      </c>
      <c r="O34" s="392">
        <f t="shared" si="7"/>
        <v>43435</v>
      </c>
      <c r="P34" s="392">
        <f t="shared" si="7"/>
        <v>43466</v>
      </c>
      <c r="Q34" s="392">
        <f t="shared" si="7"/>
        <v>43497</v>
      </c>
      <c r="R34" s="392">
        <f t="shared" si="7"/>
        <v>43525</v>
      </c>
      <c r="S34" s="392">
        <f t="shared" si="7"/>
        <v>43556</v>
      </c>
      <c r="T34" s="392">
        <f t="shared" si="7"/>
        <v>43586</v>
      </c>
      <c r="U34" s="392">
        <f t="shared" si="7"/>
        <v>43617</v>
      </c>
      <c r="V34" s="392">
        <f t="shared" si="7"/>
        <v>43647</v>
      </c>
      <c r="W34" s="392">
        <f t="shared" si="7"/>
        <v>43678</v>
      </c>
      <c r="X34" s="392">
        <f t="shared" si="7"/>
        <v>43709</v>
      </c>
      <c r="Y34" s="392">
        <f t="shared" si="7"/>
        <v>43739</v>
      </c>
      <c r="Z34" s="392">
        <f t="shared" si="7"/>
        <v>43770</v>
      </c>
      <c r="AA34" s="392">
        <f t="shared" si="7"/>
        <v>43800</v>
      </c>
      <c r="AB34" s="392">
        <f t="shared" si="7"/>
        <v>43831</v>
      </c>
      <c r="AC34" s="392">
        <f t="shared" si="7"/>
        <v>43862</v>
      </c>
      <c r="AD34" s="392">
        <f t="shared" si="7"/>
        <v>43891</v>
      </c>
      <c r="AE34" s="392">
        <f t="shared" si="7"/>
        <v>43922</v>
      </c>
      <c r="AF34" s="392">
        <f t="shared" si="7"/>
        <v>43952</v>
      </c>
      <c r="AG34" s="392">
        <f t="shared" si="7"/>
        <v>43983</v>
      </c>
      <c r="AH34" s="392">
        <f t="shared" si="7"/>
        <v>44013</v>
      </c>
      <c r="AI34" s="392">
        <f t="shared" si="7"/>
        <v>44044</v>
      </c>
      <c r="AJ34" s="392">
        <f t="shared" si="7"/>
        <v>44075</v>
      </c>
      <c r="AK34" s="392">
        <f t="shared" si="7"/>
        <v>44105</v>
      </c>
      <c r="AL34" s="392">
        <f t="shared" si="7"/>
        <v>44136</v>
      </c>
      <c r="AM34" s="392">
        <f t="shared" si="7"/>
        <v>44166</v>
      </c>
      <c r="AN34" s="392">
        <f t="shared" si="7"/>
        <v>44197</v>
      </c>
      <c r="AO34" s="392">
        <f t="shared" si="7"/>
        <v>44228</v>
      </c>
      <c r="AP34" s="392">
        <f t="shared" si="7"/>
        <v>44256</v>
      </c>
      <c r="AQ34" s="392">
        <f t="shared" si="7"/>
        <v>44287</v>
      </c>
      <c r="AR34" s="392">
        <f t="shared" si="7"/>
        <v>44317</v>
      </c>
      <c r="AS34" s="392">
        <f t="shared" si="7"/>
        <v>44348</v>
      </c>
      <c r="AT34" s="392">
        <f t="shared" si="7"/>
        <v>44378</v>
      </c>
      <c r="AU34" s="392">
        <f t="shared" si="7"/>
        <v>44409</v>
      </c>
      <c r="AV34" s="392">
        <f t="shared" si="7"/>
        <v>44440</v>
      </c>
      <c r="AW34" s="392" t="str">
        <f t="shared" si="7"/>
        <v>Average</v>
      </c>
      <c r="BD34" s="364"/>
      <c r="BE34" s="607"/>
      <c r="BG34" s="607"/>
    </row>
    <row r="35" spans="3:59" s="361" customFormat="1" x14ac:dyDescent="0.25">
      <c r="C35" s="168" t="s">
        <v>177</v>
      </c>
      <c r="D35" s="404">
        <f>27.86*D26/1000</f>
        <v>1391.4838588</v>
      </c>
      <c r="E35" s="404">
        <f t="shared" ref="E35:AV35" si="8">27.86*E26/1000</f>
        <v>1466.4854862</v>
      </c>
      <c r="F35" s="404">
        <f t="shared" si="8"/>
        <v>1836.5102214200001</v>
      </c>
      <c r="G35" s="404">
        <f t="shared" si="8"/>
        <v>964.58647179999991</v>
      </c>
      <c r="H35" s="404">
        <f t="shared" si="8"/>
        <v>1337.7185163999998</v>
      </c>
      <c r="I35" s="404">
        <f t="shared" si="8"/>
        <v>1868.1032664000002</v>
      </c>
      <c r="J35" s="404">
        <f t="shared" si="8"/>
        <v>1832.6085119999998</v>
      </c>
      <c r="K35" s="404">
        <f t="shared" si="8"/>
        <v>2062.8711334</v>
      </c>
      <c r="L35" s="404">
        <f t="shared" si="8"/>
        <v>1970.8821495999998</v>
      </c>
      <c r="M35" s="404">
        <f t="shared" si="8"/>
        <v>1758.1646417999998</v>
      </c>
      <c r="N35" s="404">
        <f t="shared" si="8"/>
        <v>1506.9975480000001</v>
      </c>
      <c r="O35" s="404">
        <f t="shared" si="8"/>
        <v>1754.8974995999999</v>
      </c>
      <c r="P35" s="404">
        <f t="shared" si="8"/>
        <v>2007.9633081200002</v>
      </c>
      <c r="Q35" s="404">
        <f t="shared" si="8"/>
        <v>2031.0564064000002</v>
      </c>
      <c r="R35" s="404">
        <f t="shared" si="8"/>
        <v>2473.8827483999999</v>
      </c>
      <c r="S35" s="404">
        <f t="shared" si="8"/>
        <v>2389.1833336</v>
      </c>
      <c r="T35" s="404">
        <f t="shared" si="8"/>
        <v>2342.4966600000002</v>
      </c>
      <c r="U35" s="404">
        <f t="shared" si="8"/>
        <v>2373.1705200000001</v>
      </c>
      <c r="V35" s="404">
        <f t="shared" si="8"/>
        <v>2586.9124400000001</v>
      </c>
      <c r="W35" s="404">
        <f t="shared" si="8"/>
        <v>1864.2519</v>
      </c>
      <c r="X35" s="404">
        <f t="shared" si="8"/>
        <v>2088.8313599999997</v>
      </c>
      <c r="Y35" s="404">
        <f t="shared" si="8"/>
        <v>1954.74118</v>
      </c>
      <c r="Z35" s="404">
        <f t="shared" si="8"/>
        <v>2414.9047999999998</v>
      </c>
      <c r="AA35" s="404">
        <f t="shared" si="8"/>
        <v>2747.2718139999997</v>
      </c>
      <c r="AB35" s="404">
        <f t="shared" si="8"/>
        <v>2658.5722604000002</v>
      </c>
      <c r="AC35" s="404">
        <f t="shared" si="8"/>
        <v>2449.9248199999997</v>
      </c>
      <c r="AD35" s="404">
        <f t="shared" si="8"/>
        <v>2197.4575</v>
      </c>
      <c r="AE35" s="404">
        <f t="shared" si="8"/>
        <v>974.23633999999993</v>
      </c>
      <c r="AF35" s="404">
        <f t="shared" si="8"/>
        <v>1447.2991399999999</v>
      </c>
      <c r="AG35" s="404">
        <f t="shared" si="8"/>
        <v>2204.5617999999999</v>
      </c>
      <c r="AH35" s="404">
        <f t="shared" si="8"/>
        <v>2686.5955199999999</v>
      </c>
      <c r="AI35" s="404">
        <f t="shared" si="8"/>
        <v>2589.0024972000001</v>
      </c>
      <c r="AJ35" s="404">
        <f t="shared" si="8"/>
        <v>2452.7058052000002</v>
      </c>
      <c r="AK35" s="404">
        <f t="shared" si="8"/>
        <v>2538.5616885999998</v>
      </c>
      <c r="AL35" s="404">
        <f t="shared" si="8"/>
        <v>2511.1686222000003</v>
      </c>
      <c r="AM35" s="404">
        <f t="shared" si="8"/>
        <v>2036.1182897999997</v>
      </c>
      <c r="AN35" s="404">
        <f t="shared" si="8"/>
        <v>2523.4055699999999</v>
      </c>
      <c r="AO35" s="404">
        <f t="shared" si="8"/>
        <v>2348.94625</v>
      </c>
      <c r="AP35" s="404">
        <f t="shared" si="8"/>
        <v>2827.1790301999999</v>
      </c>
      <c r="AQ35" s="404">
        <f t="shared" si="8"/>
        <v>2399.9601387999996</v>
      </c>
      <c r="AR35" s="404">
        <f t="shared" si="8"/>
        <v>2077.8144520380829</v>
      </c>
      <c r="AS35" s="404">
        <f t="shared" si="8"/>
        <v>2460.4553844521133</v>
      </c>
      <c r="AT35" s="404">
        <f t="shared" si="8"/>
        <v>2114.7932581999999</v>
      </c>
      <c r="AU35" s="404">
        <f t="shared" si="8"/>
        <v>2493.7037454000001</v>
      </c>
      <c r="AV35" s="404">
        <f t="shared" si="8"/>
        <v>2627.8691473999997</v>
      </c>
      <c r="AW35" s="404">
        <f>AVERAGE(D35:AV35)</f>
        <v>2125.4734896851155</v>
      </c>
      <c r="AX35" s="350"/>
      <c r="BD35" s="364"/>
      <c r="BE35" s="611"/>
      <c r="BF35" s="351"/>
      <c r="BG35" s="615"/>
    </row>
    <row r="36" spans="3:59" s="361" customFormat="1" x14ac:dyDescent="0.25">
      <c r="C36" s="168" t="s">
        <v>605</v>
      </c>
      <c r="D36" s="404">
        <f>1242.424*D26/1000</f>
        <v>62053.587285920003</v>
      </c>
      <c r="E36" s="404">
        <f t="shared" ref="E36:AV36" si="9">1242.424*E26/1000</f>
        <v>65398.304512080002</v>
      </c>
      <c r="F36" s="404">
        <f t="shared" si="9"/>
        <v>81899.654534728004</v>
      </c>
      <c r="G36" s="404">
        <f t="shared" si="9"/>
        <v>43015.986455120001</v>
      </c>
      <c r="H36" s="404">
        <f t="shared" si="9"/>
        <v>59655.907753759995</v>
      </c>
      <c r="I36" s="404">
        <f t="shared" si="9"/>
        <v>83308.554653760002</v>
      </c>
      <c r="J36" s="404">
        <f t="shared" si="9"/>
        <v>81725.656780799996</v>
      </c>
      <c r="K36" s="404">
        <f t="shared" si="9"/>
        <v>91994.278716560002</v>
      </c>
      <c r="L36" s="404">
        <f t="shared" si="9"/>
        <v>87892.005880640005</v>
      </c>
      <c r="M36" s="404">
        <f t="shared" si="9"/>
        <v>78405.812883120001</v>
      </c>
      <c r="N36" s="404">
        <f t="shared" si="9"/>
        <v>67204.950523200008</v>
      </c>
      <c r="O36" s="404">
        <f t="shared" si="9"/>
        <v>78260.113820639992</v>
      </c>
      <c r="P36" s="404">
        <f t="shared" si="9"/>
        <v>89545.649861008002</v>
      </c>
      <c r="Q36" s="404">
        <f t="shared" si="9"/>
        <v>90575.492629760018</v>
      </c>
      <c r="R36" s="404">
        <f t="shared" si="9"/>
        <v>110323.44938255999</v>
      </c>
      <c r="S36" s="404">
        <f t="shared" si="9"/>
        <v>106546.25678624</v>
      </c>
      <c r="T36" s="404">
        <f t="shared" si="9"/>
        <v>104464.25234399999</v>
      </c>
      <c r="U36" s="404">
        <f t="shared" si="9"/>
        <v>105832.16116799999</v>
      </c>
      <c r="V36" s="404">
        <f t="shared" si="9"/>
        <v>115364.038096</v>
      </c>
      <c r="W36" s="404">
        <f t="shared" si="9"/>
        <v>83136.801959999997</v>
      </c>
      <c r="X36" s="404">
        <f t="shared" si="9"/>
        <v>93151.981824000002</v>
      </c>
      <c r="Y36" s="404">
        <f t="shared" si="9"/>
        <v>87172.195112000001</v>
      </c>
      <c r="Z36" s="404">
        <f t="shared" si="9"/>
        <v>107693.31232</v>
      </c>
      <c r="AA36" s="404">
        <f t="shared" si="9"/>
        <v>122515.3063976</v>
      </c>
      <c r="AB36" s="404">
        <f t="shared" si="9"/>
        <v>118559.72656335999</v>
      </c>
      <c r="AC36" s="404">
        <f t="shared" si="9"/>
        <v>109255.039288</v>
      </c>
      <c r="AD36" s="404">
        <f t="shared" si="9"/>
        <v>97996.192999999999</v>
      </c>
      <c r="AE36" s="404">
        <f t="shared" si="9"/>
        <v>43446.324855999999</v>
      </c>
      <c r="AF36" s="404">
        <f t="shared" si="9"/>
        <v>64542.684376000005</v>
      </c>
      <c r="AG36" s="404">
        <f t="shared" si="9"/>
        <v>98313.01112000001</v>
      </c>
      <c r="AH36" s="404">
        <f t="shared" si="9"/>
        <v>119809.431168</v>
      </c>
      <c r="AI36" s="404">
        <f t="shared" si="9"/>
        <v>115457.24474448001</v>
      </c>
      <c r="AJ36" s="404">
        <f t="shared" si="9"/>
        <v>109379.05805168001</v>
      </c>
      <c r="AK36" s="404">
        <f t="shared" si="9"/>
        <v>113207.82366824</v>
      </c>
      <c r="AL36" s="404">
        <f t="shared" si="9"/>
        <v>111986.22269448001</v>
      </c>
      <c r="AM36" s="404">
        <f t="shared" si="9"/>
        <v>90801.228646319985</v>
      </c>
      <c r="AN36" s="404">
        <f t="shared" si="9"/>
        <v>112531.932588</v>
      </c>
      <c r="AO36" s="404">
        <f t="shared" si="9"/>
        <v>104751.8735</v>
      </c>
      <c r="AP36" s="404">
        <f t="shared" si="9"/>
        <v>126078.78964168001</v>
      </c>
      <c r="AQ36" s="404">
        <f t="shared" si="9"/>
        <v>107026.85123792</v>
      </c>
      <c r="AR36" s="404">
        <f t="shared" si="9"/>
        <v>92660.679926739525</v>
      </c>
      <c r="AS36" s="404">
        <f t="shared" si="9"/>
        <v>109724.65256900692</v>
      </c>
      <c r="AT36" s="404">
        <f t="shared" si="9"/>
        <v>94309.759476880005</v>
      </c>
      <c r="AU36" s="404">
        <f t="shared" si="9"/>
        <v>111207.37193736</v>
      </c>
      <c r="AV36" s="404">
        <f t="shared" si="9"/>
        <v>117190.51319416</v>
      </c>
      <c r="AW36" s="404">
        <f>AVERAGE(D36:AV36)</f>
        <v>94786.047198440079</v>
      </c>
      <c r="AX36" s="350"/>
      <c r="BD36" s="364" t="str">
        <f t="shared" si="4"/>
        <v>Condensate Export</v>
      </c>
      <c r="BE36" s="611"/>
      <c r="BF36" s="351"/>
      <c r="BG36" s="615"/>
    </row>
    <row r="37" spans="3:59" s="361" customFormat="1" x14ac:dyDescent="0.25">
      <c r="C37" s="168" t="s">
        <v>606</v>
      </c>
      <c r="D37" s="404">
        <f>0.789288*D26/1000</f>
        <v>39.421446947040003</v>
      </c>
      <c r="E37" s="404">
        <f t="shared" ref="E37:AV37" si="10">0.789288*E26/1000</f>
        <v>41.546281278960002</v>
      </c>
      <c r="F37" s="404">
        <f t="shared" si="10"/>
        <v>52.029270626135997</v>
      </c>
      <c r="G37" s="404">
        <f t="shared" si="10"/>
        <v>27.327226387439996</v>
      </c>
      <c r="H37" s="404">
        <f t="shared" si="10"/>
        <v>37.898247393120002</v>
      </c>
      <c r="I37" s="404">
        <f t="shared" si="10"/>
        <v>52.92431769312001</v>
      </c>
      <c r="J37" s="404">
        <f t="shared" si="10"/>
        <v>51.918733209599992</v>
      </c>
      <c r="K37" s="404">
        <f t="shared" si="10"/>
        <v>58.442190636719999</v>
      </c>
      <c r="L37" s="404">
        <f t="shared" si="10"/>
        <v>55.836095839679999</v>
      </c>
      <c r="M37" s="404">
        <f t="shared" si="10"/>
        <v>49.809700423439992</v>
      </c>
      <c r="N37" s="404">
        <f t="shared" si="10"/>
        <v>42.6940086384</v>
      </c>
      <c r="O37" s="404">
        <f t="shared" si="10"/>
        <v>49.717140619680002</v>
      </c>
      <c r="P37" s="404">
        <f t="shared" si="10"/>
        <v>56.886623960495996</v>
      </c>
      <c r="Q37" s="404">
        <f t="shared" si="10"/>
        <v>57.540863205120004</v>
      </c>
      <c r="R37" s="404">
        <f t="shared" si="10"/>
        <v>70.086359178720002</v>
      </c>
      <c r="S37" s="404">
        <f t="shared" si="10"/>
        <v>67.686781586880002</v>
      </c>
      <c r="T37" s="404">
        <f t="shared" si="10"/>
        <v>66.364124328000003</v>
      </c>
      <c r="U37" s="404">
        <f t="shared" si="10"/>
        <v>67.233130415999995</v>
      </c>
      <c r="V37" s="404">
        <f t="shared" si="10"/>
        <v>73.288547951999988</v>
      </c>
      <c r="W37" s="404">
        <f t="shared" si="10"/>
        <v>52.815206519999997</v>
      </c>
      <c r="X37" s="404">
        <f t="shared" si="10"/>
        <v>59.177657087999997</v>
      </c>
      <c r="Y37" s="404">
        <f t="shared" si="10"/>
        <v>55.378813944000001</v>
      </c>
      <c r="Z37" s="404">
        <f t="shared" si="10"/>
        <v>68.415483840000007</v>
      </c>
      <c r="AA37" s="404">
        <f t="shared" si="10"/>
        <v>77.831610751199989</v>
      </c>
      <c r="AB37" s="404">
        <f t="shared" si="10"/>
        <v>75.318707188319991</v>
      </c>
      <c r="AC37" s="404">
        <f t="shared" si="10"/>
        <v>69.407618855999999</v>
      </c>
      <c r="AD37" s="404">
        <f t="shared" si="10"/>
        <v>62.255091</v>
      </c>
      <c r="AE37" s="404">
        <f t="shared" si="10"/>
        <v>27.600612072000001</v>
      </c>
      <c r="AF37" s="404">
        <f t="shared" si="10"/>
        <v>41.002722311999996</v>
      </c>
      <c r="AG37" s="404">
        <f t="shared" si="10"/>
        <v>62.45635944</v>
      </c>
      <c r="AH37" s="404">
        <f t="shared" si="10"/>
        <v>76.112620415999999</v>
      </c>
      <c r="AI37" s="404">
        <f t="shared" si="10"/>
        <v>73.347760337760008</v>
      </c>
      <c r="AJ37" s="404">
        <f t="shared" si="10"/>
        <v>69.486405584160011</v>
      </c>
      <c r="AK37" s="404">
        <f t="shared" si="10"/>
        <v>71.918746520879992</v>
      </c>
      <c r="AL37" s="404">
        <f t="shared" si="10"/>
        <v>71.142686987760001</v>
      </c>
      <c r="AM37" s="404">
        <f t="shared" si="10"/>
        <v>57.684268941839996</v>
      </c>
      <c r="AN37" s="404">
        <f t="shared" si="10"/>
        <v>71.489365956</v>
      </c>
      <c r="AO37" s="404">
        <f t="shared" si="10"/>
        <v>66.546844499999992</v>
      </c>
      <c r="AP37" s="404">
        <f t="shared" si="10"/>
        <v>80.095422914160011</v>
      </c>
      <c r="AQ37" s="404">
        <f t="shared" si="10"/>
        <v>67.992093971039992</v>
      </c>
      <c r="AR37" s="404">
        <f t="shared" si="10"/>
        <v>58.865542470216596</v>
      </c>
      <c r="AS37" s="404">
        <f t="shared" si="10"/>
        <v>69.705955114265606</v>
      </c>
      <c r="AT37" s="404">
        <f t="shared" si="10"/>
        <v>59.913170896559997</v>
      </c>
      <c r="AU37" s="404">
        <f t="shared" si="10"/>
        <v>70.647898126320001</v>
      </c>
      <c r="AV37" s="404">
        <f t="shared" si="10"/>
        <v>74.448872347920002</v>
      </c>
      <c r="AW37" s="404">
        <f>AVERAGE(D37:AV37)</f>
        <v>60.215747298154525</v>
      </c>
      <c r="AX37" s="350"/>
      <c r="BD37" s="364"/>
      <c r="BE37" s="611"/>
      <c r="BF37" s="351"/>
      <c r="BG37" s="615"/>
    </row>
    <row r="38" spans="3:59" s="361" customFormat="1" x14ac:dyDescent="0.25">
      <c r="C38" s="629"/>
      <c r="D38" s="630"/>
      <c r="E38" s="630"/>
      <c r="F38" s="630"/>
      <c r="G38" s="630"/>
      <c r="H38" s="630"/>
      <c r="I38" s="630"/>
      <c r="J38" s="630"/>
      <c r="K38" s="630"/>
      <c r="L38" s="630"/>
      <c r="M38" s="630"/>
      <c r="N38" s="630"/>
      <c r="O38" s="630"/>
      <c r="P38" s="630"/>
      <c r="Q38" s="630"/>
      <c r="R38" s="630"/>
      <c r="S38" s="630"/>
      <c r="T38" s="630"/>
      <c r="U38" s="630"/>
      <c r="V38" s="630"/>
      <c r="W38" s="630"/>
      <c r="X38" s="630"/>
      <c r="Y38" s="630"/>
      <c r="Z38" s="630"/>
      <c r="AA38" s="630"/>
      <c r="AB38" s="630"/>
      <c r="AC38" s="630"/>
      <c r="AD38" s="630"/>
      <c r="AE38" s="630"/>
      <c r="AF38" s="626"/>
      <c r="AG38" s="626"/>
      <c r="AH38" s="626"/>
      <c r="AI38" s="626"/>
      <c r="AJ38" s="626"/>
      <c r="AK38" s="626"/>
      <c r="AL38" s="626"/>
      <c r="AM38" s="626"/>
      <c r="AN38" s="626"/>
      <c r="AO38" s="626"/>
      <c r="AP38" s="626"/>
      <c r="AQ38" s="626"/>
      <c r="AR38" s="626"/>
      <c r="AS38" s="626"/>
      <c r="AT38" s="626"/>
      <c r="AU38" s="626"/>
      <c r="AV38" s="626"/>
      <c r="AW38" s="626"/>
      <c r="AX38" s="350"/>
      <c r="BD38" s="628"/>
      <c r="BE38" s="627"/>
      <c r="BF38" s="351"/>
      <c r="BG38" s="627"/>
    </row>
    <row r="39" spans="3:59" ht="21" x14ac:dyDescent="0.25">
      <c r="C39" s="971" t="s">
        <v>371</v>
      </c>
      <c r="D39" s="972"/>
      <c r="E39" s="972"/>
      <c r="F39" s="972"/>
      <c r="G39" s="972"/>
      <c r="H39" s="972"/>
      <c r="I39" s="972"/>
      <c r="J39" s="972"/>
      <c r="K39" s="972"/>
      <c r="L39" s="972"/>
      <c r="M39" s="972"/>
      <c r="N39" s="972"/>
      <c r="O39" s="972"/>
      <c r="P39" s="972"/>
      <c r="Q39" s="972"/>
      <c r="R39" s="972"/>
      <c r="S39" s="972"/>
      <c r="T39" s="972"/>
      <c r="U39" s="972"/>
      <c r="V39" s="972"/>
      <c r="W39" s="972"/>
      <c r="X39" s="972"/>
      <c r="Y39" s="972"/>
      <c r="Z39" s="972"/>
      <c r="AA39" s="972"/>
      <c r="AB39" s="972"/>
      <c r="AC39" s="972"/>
      <c r="AD39" s="972"/>
      <c r="AE39" s="972"/>
      <c r="AX39" s="350"/>
      <c r="BD39" s="1003" t="str">
        <f t="shared" si="4"/>
        <v>OPaL Cost of Production as per SAP</v>
      </c>
      <c r="BE39" s="1004"/>
      <c r="BF39" s="1004"/>
      <c r="BG39" s="1004"/>
    </row>
    <row r="40" spans="3:59" x14ac:dyDescent="0.25">
      <c r="C40" s="411" t="s">
        <v>11</v>
      </c>
      <c r="D40" s="404">
        <v>57975.54</v>
      </c>
      <c r="E40" s="404">
        <v>59855.96</v>
      </c>
      <c r="F40" s="404">
        <v>53322.6</v>
      </c>
      <c r="G40" s="404">
        <v>61600.95</v>
      </c>
      <c r="H40" s="404">
        <v>70185.73</v>
      </c>
      <c r="I40" s="404">
        <v>64065.57</v>
      </c>
      <c r="J40" s="404">
        <v>64995.4</v>
      </c>
      <c r="K40" s="404">
        <v>67284.710000000006</v>
      </c>
      <c r="L40" s="404">
        <v>65345.29</v>
      </c>
      <c r="M40" s="404">
        <v>69143.149999999994</v>
      </c>
      <c r="N40" s="404">
        <v>66867.47</v>
      </c>
      <c r="O40" s="404">
        <v>59182.01</v>
      </c>
      <c r="P40" s="404">
        <v>54335.5</v>
      </c>
      <c r="Q40" s="404">
        <v>52472.55</v>
      </c>
      <c r="R40" s="404">
        <v>53871.1</v>
      </c>
      <c r="S40" s="404">
        <v>52175.18</v>
      </c>
      <c r="T40" s="404">
        <v>54372.01</v>
      </c>
      <c r="U40" s="404">
        <v>51492.22</v>
      </c>
      <c r="V40" s="404">
        <v>53626.02</v>
      </c>
      <c r="W40" s="404">
        <v>52370.95</v>
      </c>
      <c r="X40" s="404">
        <v>51693.2</v>
      </c>
      <c r="Y40" s="404">
        <v>50624.62</v>
      </c>
      <c r="Z40" s="404">
        <v>54559.95</v>
      </c>
      <c r="AA40" s="404">
        <v>52938.07</v>
      </c>
      <c r="AB40" s="404">
        <v>57867.14</v>
      </c>
      <c r="AC40" s="404">
        <v>54667.41</v>
      </c>
      <c r="AD40" s="404">
        <v>49018.48</v>
      </c>
      <c r="AE40" s="404">
        <v>49307.56</v>
      </c>
      <c r="AF40" s="404">
        <v>45332.58</v>
      </c>
      <c r="AG40" s="404">
        <v>40236.79</v>
      </c>
      <c r="AH40" s="404">
        <v>46145.86</v>
      </c>
      <c r="AI40" s="404">
        <v>45753.52</v>
      </c>
      <c r="AJ40" s="404">
        <v>46532.99</v>
      </c>
      <c r="AK40" s="404">
        <v>49421.82</v>
      </c>
      <c r="AL40" s="404">
        <v>46103.79</v>
      </c>
      <c r="AM40" s="404">
        <v>47866.66</v>
      </c>
      <c r="AN40" s="404">
        <v>52586.49</v>
      </c>
      <c r="AO40" s="404">
        <v>56088.3</v>
      </c>
      <c r="AP40" s="404">
        <v>59665.62</v>
      </c>
      <c r="AQ40" s="404">
        <v>56979.75</v>
      </c>
      <c r="AR40" s="404">
        <v>54416.57</v>
      </c>
      <c r="AS40" s="404">
        <v>58024.26</v>
      </c>
      <c r="AT40" s="404">
        <v>63414.63</v>
      </c>
      <c r="AU40" s="404">
        <v>64797.17</v>
      </c>
      <c r="AV40" s="404">
        <v>68335.34</v>
      </c>
      <c r="AW40" s="412">
        <f t="shared" ref="AW40:AW69" si="11">AVERAGE(D40:AV40)</f>
        <v>55709.299555555546</v>
      </c>
      <c r="AX40" s="350"/>
      <c r="BD40" s="364" t="str">
        <f t="shared" si="4"/>
        <v>Ethylene</v>
      </c>
      <c r="BE40" s="412">
        <f>AW40</f>
        <v>55709.299555555546</v>
      </c>
      <c r="BF40" s="351"/>
      <c r="BG40" s="412">
        <f>BE40</f>
        <v>55709.299555555546</v>
      </c>
    </row>
    <row r="41" spans="3:59" x14ac:dyDescent="0.25">
      <c r="C41" s="411" t="s">
        <v>126</v>
      </c>
      <c r="D41" s="404">
        <v>49284.87</v>
      </c>
      <c r="E41" s="404">
        <v>49707.71</v>
      </c>
      <c r="F41" s="404">
        <v>46172.85</v>
      </c>
      <c r="G41" s="404">
        <v>54399.13</v>
      </c>
      <c r="H41" s="404">
        <v>58085.43</v>
      </c>
      <c r="I41" s="404">
        <v>64854.25</v>
      </c>
      <c r="J41" s="404">
        <v>67626.55</v>
      </c>
      <c r="K41" s="404">
        <v>69343.350000000006</v>
      </c>
      <c r="L41" s="404">
        <v>73852.59</v>
      </c>
      <c r="M41" s="404">
        <v>72452.41</v>
      </c>
      <c r="N41" s="404">
        <v>66703.289999999994</v>
      </c>
      <c r="O41" s="404">
        <v>64358.83</v>
      </c>
      <c r="P41" s="404">
        <v>54713.26</v>
      </c>
      <c r="Q41" s="404">
        <v>53604.92</v>
      </c>
      <c r="R41" s="404">
        <v>56839.95</v>
      </c>
      <c r="S41" s="404">
        <v>58339.29</v>
      </c>
      <c r="T41" s="404">
        <v>62580.98</v>
      </c>
      <c r="U41" s="404">
        <v>58286.400000000001</v>
      </c>
      <c r="V41" s="404">
        <v>55298.559999999998</v>
      </c>
      <c r="W41" s="404">
        <v>53278.63</v>
      </c>
      <c r="X41" s="404">
        <v>49939.519999999997</v>
      </c>
      <c r="Y41" s="404">
        <v>55462.91</v>
      </c>
      <c r="Z41" s="404">
        <v>50457.59</v>
      </c>
      <c r="AA41" s="404">
        <v>54987.199999999997</v>
      </c>
      <c r="AB41" s="404">
        <v>56740.34</v>
      </c>
      <c r="AC41" s="404">
        <v>56074.76</v>
      </c>
      <c r="AD41" s="404">
        <v>46479.11</v>
      </c>
      <c r="AE41" s="404">
        <v>46105.83</v>
      </c>
      <c r="AF41" s="404">
        <v>38686.269999999997</v>
      </c>
      <c r="AG41" s="404">
        <v>37999.99</v>
      </c>
      <c r="AH41" s="404">
        <v>43879.839999999997</v>
      </c>
      <c r="AI41" s="404">
        <v>43032.66</v>
      </c>
      <c r="AJ41" s="404">
        <v>45101.599999999999</v>
      </c>
      <c r="AK41" s="404">
        <v>43898.66</v>
      </c>
      <c r="AL41" s="404">
        <v>45276.06</v>
      </c>
      <c r="AM41" s="404">
        <v>51824.29</v>
      </c>
      <c r="AN41" s="404">
        <v>49001.73</v>
      </c>
      <c r="AO41" s="404">
        <v>53184.12</v>
      </c>
      <c r="AP41" s="404">
        <v>55609.11</v>
      </c>
      <c r="AQ41" s="404">
        <v>55150.82</v>
      </c>
      <c r="AR41" s="404">
        <v>58279.25</v>
      </c>
      <c r="AS41" s="404">
        <v>56962.81</v>
      </c>
      <c r="AT41" s="404">
        <v>64084.66</v>
      </c>
      <c r="AU41" s="404">
        <v>62567.35</v>
      </c>
      <c r="AV41" s="404">
        <v>62155.360000000001</v>
      </c>
      <c r="AW41" s="412">
        <f t="shared" si="11"/>
        <v>54949.446444444453</v>
      </c>
      <c r="AX41" s="350"/>
      <c r="BD41" s="364" t="str">
        <f t="shared" si="4"/>
        <v>Propylene</v>
      </c>
      <c r="BE41" s="412">
        <f t="shared" ref="BE41:BE50" si="12">AW41</f>
        <v>54949.446444444453</v>
      </c>
      <c r="BF41" s="351"/>
      <c r="BG41" s="412">
        <f t="shared" ref="BG41:BG50" si="13">BE41</f>
        <v>54949.446444444453</v>
      </c>
    </row>
    <row r="42" spans="3:59" s="361" customFormat="1" x14ac:dyDescent="0.25">
      <c r="C42" s="406" t="s">
        <v>139</v>
      </c>
      <c r="D42" s="404">
        <v>58264.4</v>
      </c>
      <c r="E42" s="404">
        <v>58560.65</v>
      </c>
      <c r="F42" s="404">
        <v>58336.34</v>
      </c>
      <c r="G42" s="404">
        <v>62151.15</v>
      </c>
      <c r="H42" s="404">
        <v>64874.92</v>
      </c>
      <c r="I42" s="404">
        <v>66958.78</v>
      </c>
      <c r="J42" s="404">
        <v>67253.98</v>
      </c>
      <c r="K42" s="404">
        <v>66653.31</v>
      </c>
      <c r="L42" s="404">
        <v>66474.97</v>
      </c>
      <c r="M42" s="404">
        <v>66907.41</v>
      </c>
      <c r="N42" s="404">
        <v>68677.600000000006</v>
      </c>
      <c r="O42" s="404">
        <v>68696.320000000007</v>
      </c>
      <c r="P42" s="404">
        <v>67530.240000000005</v>
      </c>
      <c r="Q42" s="404">
        <v>67925.61</v>
      </c>
      <c r="R42" s="404">
        <v>67504.14</v>
      </c>
      <c r="S42" s="404">
        <v>67216.100000000006</v>
      </c>
      <c r="T42" s="404">
        <v>62293.21</v>
      </c>
      <c r="U42" s="404">
        <v>60448.24</v>
      </c>
      <c r="V42" s="404">
        <v>60640.84</v>
      </c>
      <c r="W42" s="404">
        <v>60748.33</v>
      </c>
      <c r="X42" s="404">
        <v>61281.72</v>
      </c>
      <c r="Y42" s="404">
        <v>62817.59</v>
      </c>
      <c r="Z42" s="404">
        <v>61899.38</v>
      </c>
      <c r="AA42" s="404">
        <v>36144.03</v>
      </c>
      <c r="AB42" s="404">
        <v>32531.16</v>
      </c>
      <c r="AC42" s="404">
        <v>33403.71</v>
      </c>
      <c r="AD42" s="404">
        <v>27968.57</v>
      </c>
      <c r="AE42" s="404">
        <v>27412.61</v>
      </c>
      <c r="AF42" s="404">
        <v>18709.259999999998</v>
      </c>
      <c r="AG42" s="404">
        <v>12180.63</v>
      </c>
      <c r="AH42" s="404">
        <v>20308.5</v>
      </c>
      <c r="AI42" s="404">
        <v>18767.87</v>
      </c>
      <c r="AJ42" s="404">
        <v>22406.28</v>
      </c>
      <c r="AK42" s="404">
        <v>22342.11</v>
      </c>
      <c r="AL42" s="404">
        <v>23822.43</v>
      </c>
      <c r="AM42" s="404">
        <v>29022.11</v>
      </c>
      <c r="AN42" s="404">
        <v>27770.21</v>
      </c>
      <c r="AO42" s="404">
        <v>32780.94</v>
      </c>
      <c r="AP42" s="404">
        <v>37987.550000000003</v>
      </c>
      <c r="AQ42" s="404">
        <v>42160.89</v>
      </c>
      <c r="AR42" s="404">
        <v>45566.79</v>
      </c>
      <c r="AS42" s="404">
        <v>44240.09</v>
      </c>
      <c r="AT42" s="404">
        <v>59857.75</v>
      </c>
      <c r="AU42" s="404">
        <v>56517.42</v>
      </c>
      <c r="AV42" s="404">
        <v>54271.14</v>
      </c>
      <c r="AW42" s="412">
        <f t="shared" si="11"/>
        <v>48895.272888888903</v>
      </c>
      <c r="AX42" s="350"/>
      <c r="BD42" s="364" t="str">
        <f t="shared" si="4"/>
        <v xml:space="preserve">Benzene </v>
      </c>
      <c r="BE42" s="412">
        <f t="shared" si="12"/>
        <v>48895.272888888903</v>
      </c>
      <c r="BF42" s="351"/>
      <c r="BG42" s="412">
        <f t="shared" si="13"/>
        <v>48895.272888888903</v>
      </c>
    </row>
    <row r="43" spans="3:59" s="361" customFormat="1" x14ac:dyDescent="0.25">
      <c r="C43" s="406" t="s">
        <v>140</v>
      </c>
      <c r="D43" s="404">
        <v>16025.43</v>
      </c>
      <c r="E43" s="404">
        <v>16562</v>
      </c>
      <c r="F43" s="404">
        <v>18738.77</v>
      </c>
      <c r="G43" s="404">
        <v>23070.44</v>
      </c>
      <c r="H43" s="404">
        <v>25065.75</v>
      </c>
      <c r="I43" s="404">
        <v>47065.49</v>
      </c>
      <c r="J43" s="404">
        <v>53129.9</v>
      </c>
      <c r="K43" s="404">
        <v>53962.43</v>
      </c>
      <c r="L43" s="404">
        <v>55454.6</v>
      </c>
      <c r="M43" s="404">
        <v>53051.199999999997</v>
      </c>
      <c r="N43" s="404">
        <v>44582.19</v>
      </c>
      <c r="O43" s="404">
        <v>37845.24</v>
      </c>
      <c r="P43" s="404">
        <v>26526.46</v>
      </c>
      <c r="Q43" s="404">
        <v>23690.35</v>
      </c>
      <c r="R43" s="404">
        <v>28531.35</v>
      </c>
      <c r="S43" s="404">
        <v>31135.97</v>
      </c>
      <c r="T43" s="404">
        <v>36239.620000000003</v>
      </c>
      <c r="U43" s="404">
        <v>34709.85</v>
      </c>
      <c r="V43" s="404">
        <v>30788.39</v>
      </c>
      <c r="W43" s="404">
        <v>27009.9</v>
      </c>
      <c r="X43" s="404">
        <v>20733.62</v>
      </c>
      <c r="Y43" s="404">
        <v>28160.21</v>
      </c>
      <c r="Z43" s="404">
        <v>37540.959999999999</v>
      </c>
      <c r="AA43" s="404">
        <v>22159.68</v>
      </c>
      <c r="AB43" s="404">
        <v>34983.18</v>
      </c>
      <c r="AC43" s="404">
        <v>39533.07</v>
      </c>
      <c r="AD43" s="404">
        <v>29302.94</v>
      </c>
      <c r="AE43" s="404">
        <v>27259.79</v>
      </c>
      <c r="AF43" s="404">
        <v>13639.18</v>
      </c>
      <c r="AG43" s="404">
        <v>10790.53</v>
      </c>
      <c r="AH43" s="404">
        <v>19436.02</v>
      </c>
      <c r="AI43" s="404">
        <v>21546.69</v>
      </c>
      <c r="AJ43" s="404">
        <v>24906.09</v>
      </c>
      <c r="AK43" s="404">
        <v>23942.560000000001</v>
      </c>
      <c r="AL43" s="404">
        <v>27193.599999999999</v>
      </c>
      <c r="AM43" s="404">
        <v>37575.69</v>
      </c>
      <c r="AN43" s="404">
        <v>32693.69</v>
      </c>
      <c r="AO43" s="404">
        <v>38732.379999999997</v>
      </c>
      <c r="AP43" s="404">
        <v>42335.48</v>
      </c>
      <c r="AQ43" s="404">
        <v>46712.75</v>
      </c>
      <c r="AR43" s="404">
        <v>50023.41</v>
      </c>
      <c r="AS43" s="404">
        <v>51356.68</v>
      </c>
      <c r="AT43" s="404">
        <v>69976.09</v>
      </c>
      <c r="AU43" s="404">
        <v>60706.41</v>
      </c>
      <c r="AV43" s="404">
        <v>60266.25</v>
      </c>
      <c r="AW43" s="412">
        <f t="shared" si="11"/>
        <v>34548.717333333327</v>
      </c>
      <c r="AX43" s="350"/>
      <c r="BD43" s="364" t="str">
        <f t="shared" si="4"/>
        <v xml:space="preserve"> 1,3Butadiene </v>
      </c>
      <c r="BE43" s="412">
        <f t="shared" si="12"/>
        <v>34548.717333333327</v>
      </c>
      <c r="BF43" s="351"/>
      <c r="BG43" s="412">
        <f t="shared" si="13"/>
        <v>34548.717333333327</v>
      </c>
    </row>
    <row r="44" spans="3:59" s="361" customFormat="1" x14ac:dyDescent="0.25">
      <c r="C44" s="406" t="s">
        <v>141</v>
      </c>
      <c r="D44" s="404">
        <v>26560.11</v>
      </c>
      <c r="E44" s="404">
        <v>24625.34</v>
      </c>
      <c r="F44" s="404">
        <v>26769.08</v>
      </c>
      <c r="G44" s="404">
        <v>26018.62</v>
      </c>
      <c r="H44" s="404">
        <v>27257.24</v>
      </c>
      <c r="I44" s="404">
        <v>38650.550000000003</v>
      </c>
      <c r="J44" s="404">
        <v>51045.1</v>
      </c>
      <c r="K44" s="404">
        <v>55167.7</v>
      </c>
      <c r="L44" s="404">
        <v>61825.64</v>
      </c>
      <c r="M44" s="404">
        <v>63044.37</v>
      </c>
      <c r="N44" s="404">
        <v>55712.49</v>
      </c>
      <c r="O44" s="404">
        <v>45778.89</v>
      </c>
      <c r="P44" s="404">
        <v>30340.59</v>
      </c>
      <c r="Q44" s="404">
        <v>25301.68</v>
      </c>
      <c r="R44" s="404">
        <v>25735.08</v>
      </c>
      <c r="S44" s="404">
        <v>31078.89</v>
      </c>
      <c r="T44" s="404">
        <v>37704.910000000003</v>
      </c>
      <c r="U44" s="404">
        <v>34974.14</v>
      </c>
      <c r="V44" s="404">
        <v>28709.599999999999</v>
      </c>
      <c r="W44" s="404">
        <v>23646.74</v>
      </c>
      <c r="X44" s="404">
        <v>13671.4</v>
      </c>
      <c r="Y44" s="404">
        <v>21845.86</v>
      </c>
      <c r="Z44" s="404">
        <v>18611.46</v>
      </c>
      <c r="AA44" s="404">
        <v>26228.7</v>
      </c>
      <c r="AB44" s="404">
        <v>28201.47</v>
      </c>
      <c r="AC44" s="404">
        <v>30851.84</v>
      </c>
      <c r="AD44" s="404">
        <v>28968.33</v>
      </c>
      <c r="AE44" s="404">
        <v>28141.74</v>
      </c>
      <c r="AF44" s="404">
        <v>21986.12</v>
      </c>
      <c r="AG44" s="404">
        <v>20497.79</v>
      </c>
      <c r="AH44" s="404">
        <v>24724.79</v>
      </c>
      <c r="AI44" s="404">
        <v>24614.35</v>
      </c>
      <c r="AJ44" s="404">
        <v>22711.51</v>
      </c>
      <c r="AK44" s="404">
        <v>23563.24</v>
      </c>
      <c r="AL44" s="404">
        <v>24533.55</v>
      </c>
      <c r="AM44" s="404">
        <v>26533.17</v>
      </c>
      <c r="AN44" s="404">
        <v>29041.58</v>
      </c>
      <c r="AO44" s="404">
        <v>31356.86</v>
      </c>
      <c r="AP44" s="404">
        <v>34905.199999999997</v>
      </c>
      <c r="AQ44" s="404">
        <v>35307.47</v>
      </c>
      <c r="AR44" s="404">
        <v>36318.519999999997</v>
      </c>
      <c r="AS44" s="404">
        <v>37455.269999999997</v>
      </c>
      <c r="AT44" s="404">
        <v>48711.9</v>
      </c>
      <c r="AU44" s="404">
        <v>47032.92</v>
      </c>
      <c r="AV44" s="404">
        <v>44192.81</v>
      </c>
      <c r="AW44" s="412">
        <f t="shared" si="11"/>
        <v>32665.657999999996</v>
      </c>
      <c r="AX44" s="350"/>
      <c r="BD44" s="364" t="str">
        <f t="shared" si="4"/>
        <v xml:space="preserve"> Hydrogenated Pygas (HPG) </v>
      </c>
      <c r="BE44" s="412">
        <f t="shared" si="12"/>
        <v>32665.657999999996</v>
      </c>
      <c r="BF44" s="351"/>
      <c r="BG44" s="412">
        <f t="shared" si="13"/>
        <v>32665.657999999996</v>
      </c>
    </row>
    <row r="45" spans="3:59" s="361" customFormat="1" x14ac:dyDescent="0.25">
      <c r="C45" s="406" t="s">
        <v>142</v>
      </c>
      <c r="D45" s="404">
        <v>22135.279999999999</v>
      </c>
      <c r="E45" s="404">
        <v>22512.55</v>
      </c>
      <c r="F45" s="404">
        <v>21168.39</v>
      </c>
      <c r="G45" s="404">
        <v>25354.81</v>
      </c>
      <c r="H45" s="404">
        <v>25439.360000000001</v>
      </c>
      <c r="I45" s="404">
        <v>24719.38</v>
      </c>
      <c r="J45" s="404">
        <v>26204.560000000001</v>
      </c>
      <c r="K45" s="404">
        <v>24079.99</v>
      </c>
      <c r="L45" s="404">
        <v>26981.95</v>
      </c>
      <c r="M45" s="404">
        <v>27804.18</v>
      </c>
      <c r="N45" s="404">
        <v>27903.06</v>
      </c>
      <c r="O45" s="404">
        <v>23602.26</v>
      </c>
      <c r="P45" s="404">
        <v>21818.04</v>
      </c>
      <c r="Q45" s="404">
        <v>23202.86</v>
      </c>
      <c r="R45" s="404">
        <v>21906.46</v>
      </c>
      <c r="S45" s="404">
        <v>24795.4</v>
      </c>
      <c r="T45" s="404">
        <v>22889.19</v>
      </c>
      <c r="U45" s="404">
        <v>21837.67</v>
      </c>
      <c r="V45" s="404">
        <v>20710.060000000001</v>
      </c>
      <c r="W45" s="404">
        <v>20220.88</v>
      </c>
      <c r="X45" s="404">
        <v>21364.78</v>
      </c>
      <c r="Y45" s="404">
        <v>24235.75</v>
      </c>
      <c r="Z45" s="404">
        <v>18254.169999999998</v>
      </c>
      <c r="AA45" s="404">
        <v>22808.97</v>
      </c>
      <c r="AB45" s="404">
        <v>20055.330000000002</v>
      </c>
      <c r="AC45" s="404">
        <v>21185.41</v>
      </c>
      <c r="AD45" s="404">
        <v>17162.53</v>
      </c>
      <c r="AE45" s="404">
        <v>17021.310000000001</v>
      </c>
      <c r="AF45" s="404">
        <v>15085</v>
      </c>
      <c r="AG45" s="404">
        <v>14986.76</v>
      </c>
      <c r="AH45" s="404">
        <v>16539.259999999998</v>
      </c>
      <c r="AI45" s="404">
        <v>16202.7</v>
      </c>
      <c r="AJ45" s="404">
        <v>14237.25</v>
      </c>
      <c r="AK45" s="404">
        <v>14759.22</v>
      </c>
      <c r="AL45" s="404">
        <v>15037.46</v>
      </c>
      <c r="AM45" s="404">
        <v>17052.439999999999</v>
      </c>
      <c r="AN45" s="404">
        <v>17758.98</v>
      </c>
      <c r="AO45" s="404">
        <v>18629.79</v>
      </c>
      <c r="AP45" s="404">
        <v>19608.060000000001</v>
      </c>
      <c r="AQ45" s="404">
        <v>21085.51</v>
      </c>
      <c r="AR45" s="404">
        <v>22310.67</v>
      </c>
      <c r="AS45" s="404">
        <v>23474.77</v>
      </c>
      <c r="AT45" s="404">
        <v>23133.35</v>
      </c>
      <c r="AU45" s="404">
        <v>24278.02</v>
      </c>
      <c r="AV45" s="404">
        <v>23432.880000000001</v>
      </c>
      <c r="AW45" s="412">
        <f t="shared" si="11"/>
        <v>21221.92666666667</v>
      </c>
      <c r="AX45" s="350"/>
      <c r="BD45" s="364" t="str">
        <f t="shared" si="4"/>
        <v xml:space="preserve"> CBFS </v>
      </c>
      <c r="BE45" s="412">
        <f t="shared" si="12"/>
        <v>21221.92666666667</v>
      </c>
      <c r="BF45" s="351"/>
      <c r="BG45" s="412">
        <f t="shared" si="13"/>
        <v>21221.92666666667</v>
      </c>
    </row>
    <row r="46" spans="3:59" s="361" customFormat="1" x14ac:dyDescent="0.25">
      <c r="C46" s="406" t="s">
        <v>143</v>
      </c>
      <c r="D46" s="404">
        <v>14931.43</v>
      </c>
      <c r="E46" s="404">
        <v>14069</v>
      </c>
      <c r="F46" s="404">
        <v>11660.9</v>
      </c>
      <c r="G46" s="404">
        <v>11450.91</v>
      </c>
      <c r="H46" s="404">
        <v>12356.8</v>
      </c>
      <c r="I46" s="404">
        <v>24272.99</v>
      </c>
      <c r="J46" s="404">
        <v>33543.480000000003</v>
      </c>
      <c r="K46" s="404">
        <v>34616.32</v>
      </c>
      <c r="L46" s="404">
        <v>37498.32</v>
      </c>
      <c r="M46" s="404">
        <v>37493.160000000003</v>
      </c>
      <c r="N46" s="404">
        <v>30363.48</v>
      </c>
      <c r="O46" s="404">
        <v>25531.11</v>
      </c>
      <c r="P46" s="404">
        <v>14881.03</v>
      </c>
      <c r="Q46" s="404">
        <v>12038.95</v>
      </c>
      <c r="R46" s="404">
        <v>14316.32</v>
      </c>
      <c r="S46" s="404">
        <v>18007.41</v>
      </c>
      <c r="T46" s="404">
        <v>22552.81</v>
      </c>
      <c r="U46" s="404">
        <v>21694.05</v>
      </c>
      <c r="V46" s="404">
        <v>18028.11</v>
      </c>
      <c r="W46" s="404">
        <v>12943.01</v>
      </c>
      <c r="X46" s="404">
        <v>7147.9</v>
      </c>
      <c r="Y46" s="404">
        <v>15832.13</v>
      </c>
      <c r="Z46" s="404">
        <v>13446.37</v>
      </c>
      <c r="AA46" s="404">
        <v>26669.119999999999</v>
      </c>
      <c r="AB46" s="404">
        <v>34545.620000000003</v>
      </c>
      <c r="AC46" s="404">
        <v>37790.730000000003</v>
      </c>
      <c r="AD46" s="404">
        <v>29719.26</v>
      </c>
      <c r="AE46" s="404">
        <v>28975.85</v>
      </c>
      <c r="AF46" s="404">
        <v>20953.759999999998</v>
      </c>
      <c r="AG46" s="404">
        <v>20003.18</v>
      </c>
      <c r="AH46" s="404">
        <v>22934.26</v>
      </c>
      <c r="AI46" s="404">
        <v>25223.43</v>
      </c>
      <c r="AJ46" s="404">
        <v>25382.52</v>
      </c>
      <c r="AK46" s="404">
        <v>24162.52</v>
      </c>
      <c r="AL46" s="404">
        <v>26853.81</v>
      </c>
      <c r="AM46" s="404">
        <v>35718.86</v>
      </c>
      <c r="AN46" s="404">
        <v>39917.089999999997</v>
      </c>
      <c r="AO46" s="404">
        <v>44360.67</v>
      </c>
      <c r="AP46" s="404">
        <v>45799.24</v>
      </c>
      <c r="AQ46" s="404">
        <v>41014.99</v>
      </c>
      <c r="AR46" s="404">
        <v>42330.82</v>
      </c>
      <c r="AS46" s="404">
        <v>43213.440000000002</v>
      </c>
      <c r="AT46" s="404">
        <v>55406</v>
      </c>
      <c r="AU46" s="404">
        <v>52547.9</v>
      </c>
      <c r="AV46" s="404">
        <v>51447.02</v>
      </c>
      <c r="AW46" s="412">
        <f t="shared" si="11"/>
        <v>27414.357333333333</v>
      </c>
      <c r="AX46" s="350"/>
      <c r="BD46" s="364" t="str">
        <f t="shared" si="4"/>
        <v xml:space="preserve"> C9+   </v>
      </c>
      <c r="BE46" s="412">
        <f t="shared" si="12"/>
        <v>27414.357333333333</v>
      </c>
      <c r="BF46" s="351"/>
      <c r="BG46" s="412">
        <f t="shared" si="13"/>
        <v>27414.357333333333</v>
      </c>
    </row>
    <row r="47" spans="3:59" x14ac:dyDescent="0.25">
      <c r="C47" s="411" t="s">
        <v>150</v>
      </c>
      <c r="D47" s="592">
        <v>5.2450000000000001</v>
      </c>
      <c r="E47" s="592">
        <v>7.48</v>
      </c>
      <c r="F47" s="593">
        <v>7.6002255138846202</v>
      </c>
      <c r="G47" s="593">
        <v>6.65</v>
      </c>
      <c r="H47" s="593">
        <v>6.77</v>
      </c>
      <c r="I47" s="593">
        <v>6.83</v>
      </c>
      <c r="J47" s="593">
        <v>8.23</v>
      </c>
      <c r="K47" s="593">
        <v>8.2200000000000006</v>
      </c>
      <c r="L47" s="593">
        <v>7.32</v>
      </c>
      <c r="M47" s="593">
        <v>8.18</v>
      </c>
      <c r="N47" s="593">
        <v>7.53</v>
      </c>
      <c r="O47" s="593">
        <v>7.13</v>
      </c>
      <c r="P47" s="593">
        <v>6.42</v>
      </c>
      <c r="Q47" s="593">
        <v>7.18</v>
      </c>
      <c r="R47" s="593">
        <v>6.07</v>
      </c>
      <c r="S47" s="593">
        <v>4.8415999999999997</v>
      </c>
      <c r="T47" s="593">
        <v>4.8899999999999997</v>
      </c>
      <c r="U47" s="593">
        <v>5.4</v>
      </c>
      <c r="V47" s="593">
        <v>5.84</v>
      </c>
      <c r="W47" s="593">
        <v>5.76</v>
      </c>
      <c r="X47" s="593">
        <v>5.46</v>
      </c>
      <c r="Y47" s="593">
        <v>6.36</v>
      </c>
      <c r="Z47" s="593">
        <v>6.17</v>
      </c>
      <c r="AA47" s="593">
        <v>6.84</v>
      </c>
      <c r="AB47" s="593">
        <v>5.67</v>
      </c>
      <c r="AC47" s="593">
        <v>5.33</v>
      </c>
      <c r="AD47" s="593">
        <v>3.69</v>
      </c>
      <c r="AE47" s="593">
        <v>4.9800000000000004</v>
      </c>
      <c r="AF47" s="593">
        <v>4.4800000000000004</v>
      </c>
      <c r="AG47" s="593">
        <v>3</v>
      </c>
      <c r="AH47" s="593">
        <v>2.6</v>
      </c>
      <c r="AI47" s="593">
        <v>3.43</v>
      </c>
      <c r="AJ47" s="593">
        <v>4.3499999999999996</v>
      </c>
      <c r="AK47" s="593">
        <v>4.68</v>
      </c>
      <c r="AL47" s="593">
        <v>5.0999999999999996</v>
      </c>
      <c r="AM47" s="593">
        <v>6.03</v>
      </c>
      <c r="AN47" s="593">
        <v>6.67</v>
      </c>
      <c r="AO47" s="593">
        <v>8.02</v>
      </c>
      <c r="AP47" s="593">
        <v>7.23</v>
      </c>
      <c r="AQ47" s="593">
        <v>5.36</v>
      </c>
      <c r="AR47" s="593">
        <v>5.15</v>
      </c>
      <c r="AS47" s="593">
        <v>5.64</v>
      </c>
      <c r="AT47" s="593">
        <v>6.42</v>
      </c>
      <c r="AU47" s="593">
        <v>7.17</v>
      </c>
      <c r="AV47" s="593">
        <v>7.47</v>
      </c>
      <c r="AW47" s="413">
        <f t="shared" si="11"/>
        <v>6.0197072336418813</v>
      </c>
      <c r="AX47" s="350"/>
      <c r="BD47" s="364" t="str">
        <f t="shared" si="4"/>
        <v>POWER</v>
      </c>
      <c r="BE47" s="413">
        <f t="shared" si="12"/>
        <v>6.0197072336418813</v>
      </c>
      <c r="BF47" s="351"/>
      <c r="BG47" s="412">
        <f t="shared" si="13"/>
        <v>6.0197072336418813</v>
      </c>
    </row>
    <row r="48" spans="3:59" x14ac:dyDescent="0.25">
      <c r="C48" s="411" t="s">
        <v>151</v>
      </c>
      <c r="D48" s="592">
        <v>1659</v>
      </c>
      <c r="E48" s="592">
        <v>2237</v>
      </c>
      <c r="F48" s="594">
        <v>2255.1410444563789</v>
      </c>
      <c r="G48" s="594">
        <v>2146.2487431145209</v>
      </c>
      <c r="H48" s="594">
        <v>2418.3910474276554</v>
      </c>
      <c r="I48" s="594">
        <v>2701.6199743644243</v>
      </c>
      <c r="J48" s="594">
        <v>2777.0407045596344</v>
      </c>
      <c r="K48" s="594">
        <v>2836.6205896021006</v>
      </c>
      <c r="L48" s="594">
        <v>2780.2581602607625</v>
      </c>
      <c r="M48" s="594">
        <v>3053.926570501239</v>
      </c>
      <c r="N48" s="594">
        <v>2836.1664048306907</v>
      </c>
      <c r="O48" s="594">
        <v>2611.932049598453</v>
      </c>
      <c r="P48" s="594">
        <v>2577.919484614094</v>
      </c>
      <c r="Q48" s="594">
        <v>2856.2006891112787</v>
      </c>
      <c r="R48" s="594">
        <v>2469.3423214225581</v>
      </c>
      <c r="S48" s="594">
        <v>2091.94</v>
      </c>
      <c r="T48" s="594">
        <v>2025.12</v>
      </c>
      <c r="U48" s="594">
        <v>2197.69</v>
      </c>
      <c r="V48" s="594">
        <v>2450.21</v>
      </c>
      <c r="W48" s="594">
        <v>2188.85</v>
      </c>
      <c r="X48" s="594">
        <v>2098.58</v>
      </c>
      <c r="Y48" s="594">
        <v>2650.93</v>
      </c>
      <c r="Z48" s="594">
        <v>2588.92</v>
      </c>
      <c r="AA48" s="594">
        <v>2922.37</v>
      </c>
      <c r="AB48" s="594">
        <v>2398.6999999999998</v>
      </c>
      <c r="AC48" s="594">
        <v>2269.4</v>
      </c>
      <c r="AD48" s="594">
        <v>1425.69</v>
      </c>
      <c r="AE48" s="594">
        <v>1908.42</v>
      </c>
      <c r="AF48" s="594">
        <v>1785.56</v>
      </c>
      <c r="AG48" s="594">
        <v>1111.8399999999999</v>
      </c>
      <c r="AH48" s="594">
        <v>1033.04</v>
      </c>
      <c r="AI48" s="594">
        <v>1321.01</v>
      </c>
      <c r="AJ48" s="594">
        <v>1668.98</v>
      </c>
      <c r="AK48" s="594">
        <v>1783.8</v>
      </c>
      <c r="AL48" s="594">
        <v>2035.2</v>
      </c>
      <c r="AM48" s="594">
        <v>2259.19</v>
      </c>
      <c r="AN48" s="594">
        <v>2699.1</v>
      </c>
      <c r="AO48" s="594">
        <v>3294.54</v>
      </c>
      <c r="AP48" s="594">
        <v>2840.46</v>
      </c>
      <c r="AQ48" s="594">
        <v>2266.15</v>
      </c>
      <c r="AR48" s="594">
        <v>2243.14</v>
      </c>
      <c r="AS48" s="594">
        <v>2506.4699999999998</v>
      </c>
      <c r="AT48" s="594">
        <v>2911.57</v>
      </c>
      <c r="AU48" s="594">
        <v>3467.2</v>
      </c>
      <c r="AV48" s="594">
        <v>3800.16</v>
      </c>
      <c r="AW48" s="412">
        <f t="shared" si="11"/>
        <v>2365.8008396414175</v>
      </c>
      <c r="AX48" s="350"/>
      <c r="BD48" s="364" t="str">
        <f t="shared" si="4"/>
        <v>STEAM</v>
      </c>
      <c r="BE48" s="412">
        <f t="shared" si="12"/>
        <v>2365.8008396414175</v>
      </c>
      <c r="BF48" s="351"/>
      <c r="BG48" s="412">
        <f t="shared" si="13"/>
        <v>2365.8008396414175</v>
      </c>
    </row>
    <row r="49" spans="3:61" x14ac:dyDescent="0.25">
      <c r="C49" s="411" t="s">
        <v>152</v>
      </c>
      <c r="D49" s="592">
        <v>56.1</v>
      </c>
      <c r="E49" s="592">
        <v>57.6</v>
      </c>
      <c r="F49" s="592">
        <v>55.7</v>
      </c>
      <c r="G49" s="592">
        <v>59.95</v>
      </c>
      <c r="H49" s="592">
        <v>68.569999999999993</v>
      </c>
      <c r="I49" s="592">
        <v>79.7</v>
      </c>
      <c r="J49" s="592">
        <v>85.01</v>
      </c>
      <c r="K49" s="592">
        <v>73.42</v>
      </c>
      <c r="L49" s="592">
        <v>68.25</v>
      </c>
      <c r="M49" s="592">
        <v>53.25</v>
      </c>
      <c r="N49" s="592">
        <v>65.459999999999994</v>
      </c>
      <c r="O49" s="592">
        <v>60.93</v>
      </c>
      <c r="P49" s="592">
        <v>59.7</v>
      </c>
      <c r="Q49" s="592">
        <v>58.94</v>
      </c>
      <c r="R49" s="592">
        <v>57.95</v>
      </c>
      <c r="S49" s="592">
        <v>78.48</v>
      </c>
      <c r="T49" s="592">
        <v>82.51</v>
      </c>
      <c r="U49" s="592">
        <v>83.6</v>
      </c>
      <c r="V49" s="592">
        <v>102.15</v>
      </c>
      <c r="W49" s="592">
        <v>74.58</v>
      </c>
      <c r="X49" s="592">
        <v>78.45</v>
      </c>
      <c r="Y49" s="592">
        <v>76.87</v>
      </c>
      <c r="Z49" s="592">
        <v>82.39</v>
      </c>
      <c r="AA49" s="592">
        <v>77.88</v>
      </c>
      <c r="AB49" s="592">
        <v>75.39</v>
      </c>
      <c r="AC49" s="592">
        <v>66.849999999999994</v>
      </c>
      <c r="AD49" s="592">
        <v>64.58</v>
      </c>
      <c r="AE49" s="592">
        <v>84.97</v>
      </c>
      <c r="AF49" s="592">
        <v>78.069999999999993</v>
      </c>
      <c r="AG49" s="592">
        <v>71.17</v>
      </c>
      <c r="AH49" s="592">
        <v>68.23</v>
      </c>
      <c r="AI49" s="592">
        <v>69.2</v>
      </c>
      <c r="AJ49" s="592">
        <v>71.16</v>
      </c>
      <c r="AK49" s="592">
        <v>82.9</v>
      </c>
      <c r="AL49" s="592">
        <v>88.88</v>
      </c>
      <c r="AM49" s="592">
        <v>80.14</v>
      </c>
      <c r="AN49" s="592">
        <v>89.43</v>
      </c>
      <c r="AO49" s="592">
        <v>102.78</v>
      </c>
      <c r="AP49" s="592">
        <v>102.25</v>
      </c>
      <c r="AQ49" s="592">
        <v>100.32</v>
      </c>
      <c r="AR49" s="592">
        <v>81.34</v>
      </c>
      <c r="AS49" s="592">
        <v>90.67</v>
      </c>
      <c r="AT49" s="592">
        <v>91.86</v>
      </c>
      <c r="AU49" s="592">
        <v>95.99</v>
      </c>
      <c r="AV49" s="592">
        <v>94.95</v>
      </c>
      <c r="AW49" s="413">
        <f t="shared" si="11"/>
        <v>76.634888888888895</v>
      </c>
      <c r="AX49" s="350"/>
      <c r="BD49" s="364" t="str">
        <f t="shared" si="4"/>
        <v>DM WATER</v>
      </c>
      <c r="BE49" s="413">
        <f t="shared" si="12"/>
        <v>76.634888888888895</v>
      </c>
      <c r="BF49" s="351"/>
      <c r="BG49" s="613">
        <f t="shared" si="13"/>
        <v>76.634888888888895</v>
      </c>
    </row>
    <row r="50" spans="3:61" s="16" customFormat="1" ht="19.5" customHeight="1" x14ac:dyDescent="0.25">
      <c r="C50" s="411" t="s">
        <v>162</v>
      </c>
      <c r="D50" s="592">
        <v>2.19</v>
      </c>
      <c r="E50" s="592">
        <v>3.16</v>
      </c>
      <c r="F50" s="592">
        <v>3.15</v>
      </c>
      <c r="G50" s="592">
        <v>2.71</v>
      </c>
      <c r="H50" s="592">
        <v>2.67</v>
      </c>
      <c r="I50" s="592">
        <v>2.98</v>
      </c>
      <c r="J50" s="592">
        <v>3.6</v>
      </c>
      <c r="K50" s="592">
        <v>3.3</v>
      </c>
      <c r="L50" s="592">
        <v>3.19</v>
      </c>
      <c r="M50" s="592">
        <v>3.54</v>
      </c>
      <c r="N50" s="592">
        <v>3.04</v>
      </c>
      <c r="O50" s="592">
        <v>2.95</v>
      </c>
      <c r="P50" s="592">
        <v>2.5499999999999998</v>
      </c>
      <c r="Q50" s="592">
        <v>3.17</v>
      </c>
      <c r="R50" s="592">
        <v>2.7</v>
      </c>
      <c r="S50" s="592">
        <v>2.14</v>
      </c>
      <c r="T50" s="592">
        <v>2.11</v>
      </c>
      <c r="U50" s="592">
        <v>2.31</v>
      </c>
      <c r="V50" s="592">
        <v>2.5499999999999998</v>
      </c>
      <c r="W50" s="592">
        <v>2.8</v>
      </c>
      <c r="X50" s="592">
        <v>2.42</v>
      </c>
      <c r="Y50" s="592">
        <v>2.8</v>
      </c>
      <c r="Z50" s="592">
        <v>2.73</v>
      </c>
      <c r="AA50" s="592">
        <v>2.99</v>
      </c>
      <c r="AB50" s="592">
        <v>2.38</v>
      </c>
      <c r="AC50" s="592">
        <v>2.4700000000000002</v>
      </c>
      <c r="AD50" s="592">
        <v>1.66</v>
      </c>
      <c r="AE50" s="592">
        <v>2.34</v>
      </c>
      <c r="AF50" s="592">
        <v>2.73</v>
      </c>
      <c r="AG50" s="592">
        <v>1.44</v>
      </c>
      <c r="AH50" s="592">
        <v>1.22</v>
      </c>
      <c r="AI50" s="592">
        <v>1.58</v>
      </c>
      <c r="AJ50" s="592">
        <v>2.04</v>
      </c>
      <c r="AK50" s="592">
        <v>2.15</v>
      </c>
      <c r="AL50" s="592">
        <v>2.37</v>
      </c>
      <c r="AM50" s="592">
        <v>2.61</v>
      </c>
      <c r="AN50" s="592">
        <v>2.96</v>
      </c>
      <c r="AO50" s="592">
        <v>3.52</v>
      </c>
      <c r="AP50" s="592">
        <v>3.35</v>
      </c>
      <c r="AQ50" s="592">
        <v>2.69</v>
      </c>
      <c r="AR50" s="592">
        <v>2.57</v>
      </c>
      <c r="AS50" s="592">
        <v>2.83</v>
      </c>
      <c r="AT50" s="592">
        <v>3.48</v>
      </c>
      <c r="AU50" s="592">
        <v>3.56</v>
      </c>
      <c r="AV50" s="592">
        <v>3.74</v>
      </c>
      <c r="AW50" s="413">
        <f t="shared" si="11"/>
        <v>2.6986666666666661</v>
      </c>
      <c r="AX50" s="350"/>
      <c r="BD50" s="364" t="str">
        <f t="shared" si="4"/>
        <v>Nitrogen-Rs./NM3 (Considered for Oxygen cost of Production)</v>
      </c>
      <c r="BE50" s="413">
        <f t="shared" si="12"/>
        <v>2.6986666666666661</v>
      </c>
      <c r="BF50" s="352"/>
      <c r="BG50" s="613">
        <f t="shared" si="13"/>
        <v>2.6986666666666661</v>
      </c>
    </row>
    <row r="51" spans="3:61" s="16" customFormat="1" x14ac:dyDescent="0.25">
      <c r="C51" s="419"/>
      <c r="D51" s="420"/>
      <c r="E51" s="420"/>
      <c r="F51" s="420"/>
      <c r="G51" s="420"/>
      <c r="H51" s="420"/>
      <c r="I51" s="420"/>
      <c r="J51" s="420"/>
      <c r="K51" s="420"/>
      <c r="L51" s="420"/>
      <c r="M51" s="420"/>
      <c r="N51" s="420"/>
      <c r="O51" s="420"/>
      <c r="P51" s="420"/>
      <c r="Q51" s="420"/>
      <c r="R51" s="420"/>
      <c r="S51" s="420"/>
      <c r="T51" s="420"/>
      <c r="U51" s="420"/>
      <c r="V51" s="420"/>
      <c r="W51" s="420"/>
      <c r="X51" s="420"/>
      <c r="Y51" s="420"/>
      <c r="Z51" s="420"/>
      <c r="AA51" s="420"/>
      <c r="AB51" s="420"/>
      <c r="AC51" s="420"/>
      <c r="AD51" s="420"/>
      <c r="AE51" s="420"/>
      <c r="AF51" s="420"/>
      <c r="AG51" s="420"/>
      <c r="AH51" s="420"/>
      <c r="AI51" s="420"/>
      <c r="AJ51" s="420"/>
      <c r="AK51" s="420"/>
      <c r="AL51" s="420"/>
      <c r="AM51" s="420"/>
      <c r="AN51" s="420"/>
      <c r="AO51" s="420"/>
      <c r="AP51" s="420"/>
      <c r="AQ51" s="420"/>
      <c r="AR51" s="420"/>
      <c r="AS51" s="420"/>
      <c r="AT51" s="420"/>
      <c r="AU51" s="420"/>
      <c r="AV51" s="420"/>
      <c r="AW51" s="421"/>
      <c r="BD51" s="364">
        <f t="shared" si="4"/>
        <v>0</v>
      </c>
      <c r="BE51" s="420"/>
      <c r="BG51" s="420"/>
    </row>
    <row r="52" spans="3:61" s="16" customFormat="1" x14ac:dyDescent="0.25">
      <c r="C52" s="411" t="s">
        <v>359</v>
      </c>
      <c r="D52" s="422">
        <f t="shared" ref="D52:AV52" si="14">D7*D22+D23*D8+D9*D24+D25*D10</f>
        <v>4239142866.2833729</v>
      </c>
      <c r="E52" s="422">
        <f t="shared" si="14"/>
        <v>4301159721.1825075</v>
      </c>
      <c r="F52" s="422">
        <f t="shared" si="14"/>
        <v>5021169917.4008446</v>
      </c>
      <c r="G52" s="422">
        <f t="shared" si="14"/>
        <v>3054801616.6979752</v>
      </c>
      <c r="H52" s="422">
        <f t="shared" si="14"/>
        <v>4633042460.0725937</v>
      </c>
      <c r="I52" s="422">
        <f t="shared" si="14"/>
        <v>5587072830.0543938</v>
      </c>
      <c r="J52" s="422">
        <f t="shared" si="14"/>
        <v>5875004335.3088274</v>
      </c>
      <c r="K52" s="422">
        <f t="shared" si="14"/>
        <v>6850701896.7432289</v>
      </c>
      <c r="L52" s="422">
        <f t="shared" si="14"/>
        <v>6515857455.243269</v>
      </c>
      <c r="M52" s="422">
        <f t="shared" si="14"/>
        <v>5763095622.1676836</v>
      </c>
      <c r="N52" s="422">
        <f t="shared" si="14"/>
        <v>3840898636.5795746</v>
      </c>
      <c r="O52" s="422">
        <f t="shared" si="14"/>
        <v>3890069037.237072</v>
      </c>
      <c r="P52" s="422">
        <f t="shared" si="14"/>
        <v>4625012709.1663952</v>
      </c>
      <c r="Q52" s="422">
        <f t="shared" si="14"/>
        <v>4757128404.0003777</v>
      </c>
      <c r="R52" s="422">
        <f t="shared" si="14"/>
        <v>6173658553.3944559</v>
      </c>
      <c r="S52" s="422">
        <f t="shared" si="14"/>
        <v>6009814715.3051853</v>
      </c>
      <c r="T52" s="422">
        <f t="shared" si="14"/>
        <v>5894784085.4166346</v>
      </c>
      <c r="U52" s="422">
        <f t="shared" si="14"/>
        <v>5125734178.0043755</v>
      </c>
      <c r="V52" s="422">
        <f t="shared" si="14"/>
        <v>6092172071.2914906</v>
      </c>
      <c r="W52" s="422">
        <f t="shared" si="14"/>
        <v>4506710916.0981083</v>
      </c>
      <c r="X52" s="422">
        <f t="shared" si="14"/>
        <v>4795498060.851367</v>
      </c>
      <c r="Y52" s="422">
        <f t="shared" si="14"/>
        <v>4365146507.882618</v>
      </c>
      <c r="Z52" s="422">
        <f t="shared" si="14"/>
        <v>6228512681.9770737</v>
      </c>
      <c r="AA52" s="422">
        <f t="shared" si="14"/>
        <v>7381398914.0333405</v>
      </c>
      <c r="AB52" s="422">
        <f t="shared" si="14"/>
        <v>7484515638.4229488</v>
      </c>
      <c r="AC52" s="422">
        <f t="shared" si="14"/>
        <v>5960231507.7505493</v>
      </c>
      <c r="AD52" s="422">
        <f t="shared" si="14"/>
        <v>4159272433.255105</v>
      </c>
      <c r="AE52" s="422">
        <f t="shared" si="14"/>
        <v>2688413052.4946795</v>
      </c>
      <c r="AF52" s="422">
        <f t="shared" si="14"/>
        <v>3826723475.9572582</v>
      </c>
      <c r="AG52" s="422">
        <f t="shared" si="14"/>
        <v>5907839714.7544708</v>
      </c>
      <c r="AH52" s="422">
        <f t="shared" si="14"/>
        <v>5727694253.3757019</v>
      </c>
      <c r="AI52" s="422">
        <f t="shared" si="14"/>
        <v>5429836383.9554672</v>
      </c>
      <c r="AJ52" s="422">
        <f t="shared" si="14"/>
        <v>5126117588.5345411</v>
      </c>
      <c r="AK52" s="422">
        <f t="shared" si="14"/>
        <v>4857741860.4496737</v>
      </c>
      <c r="AL52" s="422">
        <f t="shared" si="14"/>
        <v>5045252557.6456213</v>
      </c>
      <c r="AM52" s="422">
        <f t="shared" si="14"/>
        <v>4392136507.5925207</v>
      </c>
      <c r="AN52" s="422">
        <f t="shared" si="14"/>
        <v>6575503612.8208466</v>
      </c>
      <c r="AO52" s="422">
        <f t="shared" si="14"/>
        <v>6588989001.0217028</v>
      </c>
      <c r="AP52" s="422">
        <f t="shared" si="14"/>
        <v>8450847610.0387688</v>
      </c>
      <c r="AQ52" s="422">
        <f t="shared" si="14"/>
        <v>6511403874.0941448</v>
      </c>
      <c r="AR52" s="422">
        <f t="shared" si="14"/>
        <v>5264073995.9744415</v>
      </c>
      <c r="AS52" s="422">
        <f t="shared" si="14"/>
        <v>7322343978.4688549</v>
      </c>
      <c r="AT52" s="422">
        <f t="shared" si="14"/>
        <v>6512998037.2601337</v>
      </c>
      <c r="AU52" s="422">
        <f t="shared" si="14"/>
        <v>7971989811.2033796</v>
      </c>
      <c r="AV52" s="422">
        <f t="shared" si="14"/>
        <v>9104120978.3413754</v>
      </c>
      <c r="AW52" s="412">
        <f t="shared" si="11"/>
        <v>5565236312.5734425</v>
      </c>
      <c r="BD52" s="364" t="str">
        <f t="shared" si="4"/>
        <v>Total Feed cost</v>
      </c>
      <c r="BE52" s="412">
        <f>BE7*BE22+BE23*BE8+BE9*BE24+BE25*BE10</f>
        <v>5602425998.469203</v>
      </c>
      <c r="BG52" s="412">
        <f>BG7*BG22+BG23*BG8+BG9*BG24+BG25*BG10</f>
        <v>5602425998.469203</v>
      </c>
    </row>
    <row r="53" spans="3:61" s="16" customFormat="1" x14ac:dyDescent="0.25">
      <c r="C53" s="411" t="s">
        <v>361</v>
      </c>
      <c r="D53" s="422">
        <f t="shared" ref="D53:AV53" si="15">D22*D7</f>
        <v>682132570.65921235</v>
      </c>
      <c r="E53" s="422">
        <f t="shared" si="15"/>
        <v>830189591.02167332</v>
      </c>
      <c r="F53" s="422">
        <f t="shared" si="15"/>
        <v>1335991000.0487301</v>
      </c>
      <c r="G53" s="422">
        <f t="shared" si="15"/>
        <v>546561113.24481905</v>
      </c>
      <c r="H53" s="422">
        <f t="shared" si="15"/>
        <v>534738148.8251906</v>
      </c>
      <c r="I53" s="422">
        <f t="shared" si="15"/>
        <v>1555301846.6413567</v>
      </c>
      <c r="J53" s="422">
        <f t="shared" si="15"/>
        <v>1795366490.2890148</v>
      </c>
      <c r="K53" s="422">
        <f t="shared" si="15"/>
        <v>1778523752.7414637</v>
      </c>
      <c r="L53" s="422">
        <f t="shared" si="15"/>
        <v>1990351739.9826233</v>
      </c>
      <c r="M53" s="422">
        <f t="shared" si="15"/>
        <v>1015734297.8223163</v>
      </c>
      <c r="N53" s="422">
        <f t="shared" si="15"/>
        <v>749982228.34344077</v>
      </c>
      <c r="O53" s="422">
        <f t="shared" si="15"/>
        <v>1066704076.8284609</v>
      </c>
      <c r="P53" s="422">
        <f t="shared" si="15"/>
        <v>1081563292.8639059</v>
      </c>
      <c r="Q53" s="422">
        <f t="shared" si="15"/>
        <v>1051803135.7127048</v>
      </c>
      <c r="R53" s="422">
        <f t="shared" si="15"/>
        <v>1226240913.3124781</v>
      </c>
      <c r="S53" s="422">
        <f t="shared" si="15"/>
        <v>1394518041.1577291</v>
      </c>
      <c r="T53" s="422">
        <f t="shared" si="15"/>
        <v>1312398676.9283323</v>
      </c>
      <c r="U53" s="422">
        <f t="shared" si="15"/>
        <v>1329027434.9892976</v>
      </c>
      <c r="V53" s="422">
        <f t="shared" si="15"/>
        <v>1364894563.805609</v>
      </c>
      <c r="W53" s="422">
        <f t="shared" si="15"/>
        <v>1085752900.783196</v>
      </c>
      <c r="X53" s="422">
        <f t="shared" si="15"/>
        <v>1056455295.3181601</v>
      </c>
      <c r="Y53" s="422">
        <f t="shared" si="15"/>
        <v>1041959739.3840672</v>
      </c>
      <c r="Z53" s="422">
        <f t="shared" si="15"/>
        <v>1073800562.5444434</v>
      </c>
      <c r="AA53" s="422">
        <f t="shared" si="15"/>
        <v>1268178240.24716</v>
      </c>
      <c r="AB53" s="422">
        <f t="shared" si="15"/>
        <v>1148180888.233562</v>
      </c>
      <c r="AC53" s="422">
        <f t="shared" si="15"/>
        <v>1201424102.5170641</v>
      </c>
      <c r="AD53" s="422">
        <f t="shared" si="15"/>
        <v>956369323.69486606</v>
      </c>
      <c r="AE53" s="422">
        <f t="shared" si="15"/>
        <v>411982477.93965584</v>
      </c>
      <c r="AF53" s="422">
        <f t="shared" si="15"/>
        <v>502728077.5876925</v>
      </c>
      <c r="AG53" s="422">
        <f t="shared" si="15"/>
        <v>905382492.6171689</v>
      </c>
      <c r="AH53" s="422">
        <f t="shared" si="15"/>
        <v>1043002446.5751526</v>
      </c>
      <c r="AI53" s="422">
        <f t="shared" si="15"/>
        <v>1019501987.7934065</v>
      </c>
      <c r="AJ53" s="422">
        <f t="shared" si="15"/>
        <v>984736847.30721498</v>
      </c>
      <c r="AK53" s="422">
        <f t="shared" si="15"/>
        <v>754833070.58819973</v>
      </c>
      <c r="AL53" s="422">
        <f t="shared" si="15"/>
        <v>892883251.16036749</v>
      </c>
      <c r="AM53" s="422">
        <f t="shared" si="15"/>
        <v>887974068.98662102</v>
      </c>
      <c r="AN53" s="422">
        <f t="shared" si="15"/>
        <v>835416637.29508519</v>
      </c>
      <c r="AO53" s="422">
        <f t="shared" si="15"/>
        <v>849229796.47025406</v>
      </c>
      <c r="AP53" s="422">
        <f t="shared" si="15"/>
        <v>942477410.52440012</v>
      </c>
      <c r="AQ53" s="422">
        <f t="shared" si="15"/>
        <v>873108585.81732881</v>
      </c>
      <c r="AR53" s="422">
        <f t="shared" si="15"/>
        <v>916136729.11048377</v>
      </c>
      <c r="AS53" s="422">
        <f t="shared" si="15"/>
        <v>880435972.36466229</v>
      </c>
      <c r="AT53" s="422">
        <f t="shared" si="15"/>
        <v>821993677.99415767</v>
      </c>
      <c r="AU53" s="422">
        <f t="shared" si="15"/>
        <v>857646507.21227169</v>
      </c>
      <c r="AV53" s="422">
        <f t="shared" si="15"/>
        <v>811402959.13711214</v>
      </c>
      <c r="AW53" s="412">
        <f t="shared" si="11"/>
        <v>1037000376.9871581</v>
      </c>
      <c r="BD53" s="364" t="str">
        <f t="shared" si="4"/>
        <v>C2 cost</v>
      </c>
      <c r="BE53" s="599">
        <f>BE22*BE7</f>
        <v>1046150461.3610899</v>
      </c>
      <c r="BG53" s="422">
        <f>BG22*BG7</f>
        <v>1046150461.3610899</v>
      </c>
    </row>
    <row r="54" spans="3:61" s="16" customFormat="1" x14ac:dyDescent="0.25">
      <c r="C54" s="411" t="s">
        <v>362</v>
      </c>
      <c r="D54" s="422">
        <f t="shared" ref="D54:AV54" si="16">D23*D8</f>
        <v>721252958.811584</v>
      </c>
      <c r="E54" s="422">
        <f t="shared" si="16"/>
        <v>489570506.64459997</v>
      </c>
      <c r="F54" s="422">
        <f t="shared" si="16"/>
        <v>677784016.6839999</v>
      </c>
      <c r="G54" s="422">
        <f t="shared" si="16"/>
        <v>528970034.24434</v>
      </c>
      <c r="H54" s="422">
        <f t="shared" si="16"/>
        <v>595701627.65960002</v>
      </c>
      <c r="I54" s="422">
        <f t="shared" si="16"/>
        <v>763770165.52900004</v>
      </c>
      <c r="J54" s="422">
        <f t="shared" si="16"/>
        <v>791706690.01859999</v>
      </c>
      <c r="K54" s="422">
        <f t="shared" si="16"/>
        <v>816398430.02570033</v>
      </c>
      <c r="L54" s="422">
        <f t="shared" si="16"/>
        <v>783686409.14895129</v>
      </c>
      <c r="M54" s="422">
        <f t="shared" si="16"/>
        <v>753751955.89178622</v>
      </c>
      <c r="N54" s="422">
        <f t="shared" si="16"/>
        <v>608813908.68929577</v>
      </c>
      <c r="O54" s="422">
        <f t="shared" si="16"/>
        <v>457003646.94898933</v>
      </c>
      <c r="P54" s="422">
        <f t="shared" si="16"/>
        <v>479647601.10600901</v>
      </c>
      <c r="Q54" s="422">
        <f t="shared" si="16"/>
        <v>532723879.50538367</v>
      </c>
      <c r="R54" s="422">
        <f t="shared" si="16"/>
        <v>701764132.89359117</v>
      </c>
      <c r="S54" s="422">
        <f t="shared" si="16"/>
        <v>718085132.52290571</v>
      </c>
      <c r="T54" s="422">
        <f t="shared" si="16"/>
        <v>707189317.78154075</v>
      </c>
      <c r="U54" s="422">
        <f t="shared" si="16"/>
        <v>607593578.60858846</v>
      </c>
      <c r="V54" s="422">
        <f t="shared" si="16"/>
        <v>490907968.17710477</v>
      </c>
      <c r="W54" s="422">
        <f t="shared" si="16"/>
        <v>426543245.1459623</v>
      </c>
      <c r="X54" s="422">
        <f t="shared" si="16"/>
        <v>444700617.66073036</v>
      </c>
      <c r="Y54" s="422">
        <f t="shared" si="16"/>
        <v>522575800.78216469</v>
      </c>
      <c r="Z54" s="422">
        <f t="shared" si="16"/>
        <v>548183160.06143475</v>
      </c>
      <c r="AA54" s="422">
        <f t="shared" si="16"/>
        <v>643581980.84531581</v>
      </c>
      <c r="AB54" s="422">
        <f t="shared" si="16"/>
        <v>642571897.99701309</v>
      </c>
      <c r="AC54" s="422">
        <f t="shared" si="16"/>
        <v>622145149.47651601</v>
      </c>
      <c r="AD54" s="422">
        <f t="shared" si="16"/>
        <v>535777165.68038589</v>
      </c>
      <c r="AE54" s="422">
        <f t="shared" si="16"/>
        <v>136032864.82303888</v>
      </c>
      <c r="AF54" s="422">
        <f t="shared" si="16"/>
        <v>213511012.47531998</v>
      </c>
      <c r="AG54" s="422">
        <f t="shared" si="16"/>
        <v>375401773.68279141</v>
      </c>
      <c r="AH54" s="422">
        <f t="shared" si="16"/>
        <v>541103237.87012947</v>
      </c>
      <c r="AI54" s="422">
        <f t="shared" si="16"/>
        <v>531439004.61890721</v>
      </c>
      <c r="AJ54" s="422">
        <f t="shared" si="16"/>
        <v>484973124.41100365</v>
      </c>
      <c r="AK54" s="422">
        <f t="shared" si="16"/>
        <v>462224347.13748163</v>
      </c>
      <c r="AL54" s="422">
        <f t="shared" si="16"/>
        <v>532153793.76262563</v>
      </c>
      <c r="AM54" s="422">
        <f t="shared" si="16"/>
        <v>280088576.69979489</v>
      </c>
      <c r="AN54" s="422">
        <f t="shared" si="16"/>
        <v>603808690.80808818</v>
      </c>
      <c r="AO54" s="422">
        <f t="shared" si="16"/>
        <v>628458328.36715281</v>
      </c>
      <c r="AP54" s="422">
        <f t="shared" si="16"/>
        <v>908726353.42133892</v>
      </c>
      <c r="AQ54" s="422">
        <f t="shared" si="16"/>
        <v>766866747.30599558</v>
      </c>
      <c r="AR54" s="422">
        <f t="shared" si="16"/>
        <v>491476260.06895494</v>
      </c>
      <c r="AS54" s="422">
        <f t="shared" si="16"/>
        <v>744653857.47559309</v>
      </c>
      <c r="AT54" s="422">
        <f t="shared" si="16"/>
        <v>807373023.1902926</v>
      </c>
      <c r="AU54" s="422">
        <f t="shared" si="16"/>
        <v>931815806.41784358</v>
      </c>
      <c r="AV54" s="422">
        <f t="shared" si="16"/>
        <v>920740867.15845072</v>
      </c>
      <c r="AW54" s="412">
        <f t="shared" si="11"/>
        <v>599405525.51635313</v>
      </c>
      <c r="BD54" s="364" t="str">
        <f t="shared" si="4"/>
        <v>C3 Cost</v>
      </c>
      <c r="BE54" s="599">
        <f>BE23*BE8</f>
        <v>593299277.47994876</v>
      </c>
      <c r="BG54" s="422">
        <f>BG23*BG8</f>
        <v>593299277.47994876</v>
      </c>
    </row>
    <row r="55" spans="3:61" x14ac:dyDescent="0.25">
      <c r="C55" s="411" t="s">
        <v>363</v>
      </c>
      <c r="D55" s="411">
        <f t="shared" ref="D55:AV55" si="17">D9*D24</f>
        <v>394357589.17859995</v>
      </c>
      <c r="E55" s="411">
        <f t="shared" si="17"/>
        <v>242936391.62669998</v>
      </c>
      <c r="F55" s="411">
        <f t="shared" si="17"/>
        <v>352432450.11260003</v>
      </c>
      <c r="G55" s="411">
        <f t="shared" si="17"/>
        <v>250333381.89100003</v>
      </c>
      <c r="H55" s="411">
        <f t="shared" si="17"/>
        <v>302929223.40649998</v>
      </c>
      <c r="I55" s="411">
        <f t="shared" si="17"/>
        <v>429120886.90330005</v>
      </c>
      <c r="J55" s="411">
        <f t="shared" si="17"/>
        <v>479126014.11720002</v>
      </c>
      <c r="K55" s="411">
        <f t="shared" si="17"/>
        <v>447148622.1717</v>
      </c>
      <c r="L55" s="411">
        <f t="shared" si="17"/>
        <v>475779727.14064193</v>
      </c>
      <c r="M55" s="411">
        <f t="shared" si="17"/>
        <v>402462809.93088341</v>
      </c>
      <c r="N55" s="411">
        <f t="shared" si="17"/>
        <v>272810999.26637816</v>
      </c>
      <c r="O55" s="411">
        <f t="shared" si="17"/>
        <v>269688892.61874002</v>
      </c>
      <c r="P55" s="411">
        <f t="shared" si="17"/>
        <v>305077767.37121308</v>
      </c>
      <c r="Q55" s="411">
        <f t="shared" si="17"/>
        <v>348882021.34036458</v>
      </c>
      <c r="R55" s="411">
        <f t="shared" si="17"/>
        <v>432742900.38549674</v>
      </c>
      <c r="S55" s="411">
        <f t="shared" si="17"/>
        <v>438532836.74015409</v>
      </c>
      <c r="T55" s="411">
        <f t="shared" si="17"/>
        <v>370421756.05168527</v>
      </c>
      <c r="U55" s="411">
        <f t="shared" si="17"/>
        <v>351297918.15383828</v>
      </c>
      <c r="V55" s="411">
        <f t="shared" si="17"/>
        <v>297845688.19542563</v>
      </c>
      <c r="W55" s="411">
        <f t="shared" si="17"/>
        <v>261747833.89884058</v>
      </c>
      <c r="X55" s="411">
        <f t="shared" si="17"/>
        <v>288076099.59875441</v>
      </c>
      <c r="Y55" s="411">
        <f t="shared" si="17"/>
        <v>332979495.80178535</v>
      </c>
      <c r="Z55" s="411">
        <f t="shared" si="17"/>
        <v>365088968.18061918</v>
      </c>
      <c r="AA55" s="411">
        <f t="shared" si="17"/>
        <v>414532556.86651665</v>
      </c>
      <c r="AB55" s="411">
        <f t="shared" si="17"/>
        <v>363566085.84540647</v>
      </c>
      <c r="AC55" s="411">
        <f t="shared" si="17"/>
        <v>363647274.23281032</v>
      </c>
      <c r="AD55" s="411">
        <f t="shared" si="17"/>
        <v>352641243.64768952</v>
      </c>
      <c r="AE55" s="411">
        <f t="shared" si="17"/>
        <v>20751350.436046515</v>
      </c>
      <c r="AF55" s="411">
        <f t="shared" si="17"/>
        <v>53189092.3455</v>
      </c>
      <c r="AG55" s="411">
        <f t="shared" si="17"/>
        <v>182463639.75784567</v>
      </c>
      <c r="AH55" s="411">
        <f t="shared" si="17"/>
        <v>314735230.10582167</v>
      </c>
      <c r="AI55" s="411">
        <f t="shared" si="17"/>
        <v>297622853.06323767</v>
      </c>
      <c r="AJ55" s="411">
        <f t="shared" si="17"/>
        <v>309687282.02332956</v>
      </c>
      <c r="AK55" s="411">
        <f t="shared" si="17"/>
        <v>333580250.0383082</v>
      </c>
      <c r="AL55" s="411">
        <f t="shared" si="17"/>
        <v>334418691.93670815</v>
      </c>
      <c r="AM55" s="411">
        <f t="shared" si="17"/>
        <v>146862399.59736627</v>
      </c>
      <c r="AN55" s="411">
        <f t="shared" si="17"/>
        <v>381964885.76120806</v>
      </c>
      <c r="AO55" s="411">
        <f t="shared" si="17"/>
        <v>304796846.25869286</v>
      </c>
      <c r="AP55" s="411">
        <f t="shared" si="17"/>
        <v>543282770.84524918</v>
      </c>
      <c r="AQ55" s="411">
        <f t="shared" si="17"/>
        <v>361454687.10376692</v>
      </c>
      <c r="AR55" s="411">
        <f t="shared" si="17"/>
        <v>300787204.4061197</v>
      </c>
      <c r="AS55" s="411">
        <f t="shared" si="17"/>
        <v>439948269.12593663</v>
      </c>
      <c r="AT55" s="411">
        <f t="shared" si="17"/>
        <v>536873213.37640285</v>
      </c>
      <c r="AU55" s="411">
        <f t="shared" si="17"/>
        <v>482168214.45416284</v>
      </c>
      <c r="AV55" s="411">
        <f t="shared" si="17"/>
        <v>614519638.88758898</v>
      </c>
      <c r="AW55" s="412">
        <f t="shared" si="11"/>
        <v>345895865.64884752</v>
      </c>
      <c r="AX55" s="9"/>
      <c r="AY55" s="9"/>
      <c r="AZ55" s="9"/>
      <c r="BA55" s="9"/>
      <c r="BB55" s="9"/>
      <c r="BC55" s="9"/>
      <c r="BD55" s="364" t="str">
        <f t="shared" si="4"/>
        <v>C4 cost</v>
      </c>
      <c r="BE55" s="600">
        <f>BE9*BE24</f>
        <v>342090374.66515619</v>
      </c>
      <c r="BG55" s="411">
        <f>BG9*BG24</f>
        <v>342090374.66515619</v>
      </c>
    </row>
    <row r="56" spans="3:61" x14ac:dyDescent="0.25">
      <c r="C56" s="411" t="s">
        <v>360</v>
      </c>
      <c r="D56" s="411">
        <f t="shared" ref="D56:AV56" si="18">D10*D25</f>
        <v>2441399747.6339765</v>
      </c>
      <c r="E56" s="411">
        <f t="shared" si="18"/>
        <v>2738463231.889534</v>
      </c>
      <c r="F56" s="411">
        <f t="shared" si="18"/>
        <v>2654962450.5555143</v>
      </c>
      <c r="G56" s="411">
        <f t="shared" si="18"/>
        <v>1728937087.317816</v>
      </c>
      <c r="H56" s="411">
        <f t="shared" si="18"/>
        <v>3199673460.1813035</v>
      </c>
      <c r="I56" s="411">
        <f t="shared" si="18"/>
        <v>2838879930.9807372</v>
      </c>
      <c r="J56" s="411">
        <f t="shared" si="18"/>
        <v>2808805140.8840127</v>
      </c>
      <c r="K56" s="411">
        <f t="shared" si="18"/>
        <v>3808631091.8043652</v>
      </c>
      <c r="L56" s="411">
        <f t="shared" si="18"/>
        <v>3266039578.9710517</v>
      </c>
      <c r="M56" s="411">
        <f t="shared" si="18"/>
        <v>3591146558.5226974</v>
      </c>
      <c r="N56" s="411">
        <f t="shared" si="18"/>
        <v>2209291500.2804599</v>
      </c>
      <c r="O56" s="411">
        <f t="shared" si="18"/>
        <v>2096672420.8408816</v>
      </c>
      <c r="P56" s="411">
        <f t="shared" si="18"/>
        <v>2758724047.8252678</v>
      </c>
      <c r="Q56" s="411">
        <f t="shared" si="18"/>
        <v>2823719367.4419246</v>
      </c>
      <c r="R56" s="411">
        <f t="shared" si="18"/>
        <v>3812910606.8028898</v>
      </c>
      <c r="S56" s="411">
        <f t="shared" si="18"/>
        <v>3458678704.8843966</v>
      </c>
      <c r="T56" s="411">
        <f t="shared" si="18"/>
        <v>3504774334.655076</v>
      </c>
      <c r="U56" s="411">
        <f t="shared" si="18"/>
        <v>2837815246.2526517</v>
      </c>
      <c r="V56" s="411">
        <f t="shared" si="18"/>
        <v>3938523851.1133509</v>
      </c>
      <c r="W56" s="411">
        <f t="shared" si="18"/>
        <v>2732666936.2701092</v>
      </c>
      <c r="X56" s="411">
        <f t="shared" si="18"/>
        <v>3006266048.2737222</v>
      </c>
      <c r="Y56" s="411">
        <f t="shared" si="18"/>
        <v>2467631471.9146008</v>
      </c>
      <c r="Z56" s="411">
        <f t="shared" si="18"/>
        <v>4241439991.1905761</v>
      </c>
      <c r="AA56" s="411">
        <f t="shared" si="18"/>
        <v>5055106136.0743475</v>
      </c>
      <c r="AB56" s="411">
        <f t="shared" si="18"/>
        <v>5330196766.3469677</v>
      </c>
      <c r="AC56" s="411">
        <f t="shared" si="18"/>
        <v>3773014981.524159</v>
      </c>
      <c r="AD56" s="411">
        <f t="shared" si="18"/>
        <v>2314484700.2321634</v>
      </c>
      <c r="AE56" s="411">
        <f t="shared" si="18"/>
        <v>2119646359.2959385</v>
      </c>
      <c r="AF56" s="411">
        <f t="shared" si="18"/>
        <v>3057295293.5487456</v>
      </c>
      <c r="AG56" s="411">
        <f t="shared" si="18"/>
        <v>4444591808.6966648</v>
      </c>
      <c r="AH56" s="411">
        <f t="shared" si="18"/>
        <v>3828853338.8245978</v>
      </c>
      <c r="AI56" s="411">
        <f t="shared" si="18"/>
        <v>3581272538.4799156</v>
      </c>
      <c r="AJ56" s="411">
        <f t="shared" si="18"/>
        <v>3346720334.7929931</v>
      </c>
      <c r="AK56" s="411">
        <f t="shared" si="18"/>
        <v>3307104192.6856842</v>
      </c>
      <c r="AL56" s="411">
        <f t="shared" si="18"/>
        <v>3285796820.7859201</v>
      </c>
      <c r="AM56" s="411">
        <f t="shared" si="18"/>
        <v>3077211462.3087382</v>
      </c>
      <c r="AN56" s="411">
        <f t="shared" si="18"/>
        <v>4754313398.9564648</v>
      </c>
      <c r="AO56" s="411">
        <f t="shared" si="18"/>
        <v>4806504029.9256029</v>
      </c>
      <c r="AP56" s="411">
        <f t="shared" si="18"/>
        <v>6056361075.2477808</v>
      </c>
      <c r="AQ56" s="411">
        <f t="shared" si="18"/>
        <v>4509973853.867053</v>
      </c>
      <c r="AR56" s="411">
        <f t="shared" si="18"/>
        <v>3555673802.3888831</v>
      </c>
      <c r="AS56" s="411">
        <f t="shared" si="18"/>
        <v>5257305879.5026636</v>
      </c>
      <c r="AT56" s="411">
        <f t="shared" si="18"/>
        <v>4346758122.6992807</v>
      </c>
      <c r="AU56" s="411">
        <f t="shared" si="18"/>
        <v>5700359283.1191015</v>
      </c>
      <c r="AV56" s="411">
        <f t="shared" si="18"/>
        <v>6757457513.1582241</v>
      </c>
      <c r="AW56" s="412">
        <f t="shared" si="11"/>
        <v>3582934544.4210849</v>
      </c>
      <c r="AX56" s="9"/>
      <c r="AY56" s="9"/>
      <c r="AZ56" s="9"/>
      <c r="BA56" s="9"/>
      <c r="BB56" s="9"/>
      <c r="BC56" s="9"/>
      <c r="BD56" s="364" t="str">
        <f t="shared" si="4"/>
        <v>Naphtha Cost</v>
      </c>
      <c r="BE56" s="600">
        <f>BE10*BE25</f>
        <v>3620885884.9630079</v>
      </c>
      <c r="BG56" s="411">
        <f>BG10*BG25</f>
        <v>3620885884.9630079</v>
      </c>
    </row>
    <row r="57" spans="3:61" s="361" customFormat="1" x14ac:dyDescent="0.25">
      <c r="C57" s="411" t="s">
        <v>364</v>
      </c>
      <c r="D57" s="411">
        <f>D53*$D$2+D54*$E$2+D55*$F$2+D56*$G$2</f>
        <v>2899093051.8745003</v>
      </c>
      <c r="E57" s="411">
        <f t="shared" ref="E57:AV57" si="19">E53*$D$2+E54*$E$2+E55*$F$2+E56*$G$2</f>
        <v>2990755638.5119042</v>
      </c>
      <c r="F57" s="411">
        <f t="shared" si="19"/>
        <v>3625452415.949832</v>
      </c>
      <c r="G57" s="411">
        <f t="shared" si="19"/>
        <v>2110994046.6514425</v>
      </c>
      <c r="H57" s="411">
        <f t="shared" si="19"/>
        <v>3091034341.8068933</v>
      </c>
      <c r="I57" s="411">
        <f t="shared" si="19"/>
        <v>4057749069.642283</v>
      </c>
      <c r="J57" s="411">
        <f t="shared" si="19"/>
        <v>4323469889.5312252</v>
      </c>
      <c r="K57" s="411">
        <f t="shared" si="19"/>
        <v>4928215957.9792929</v>
      </c>
      <c r="L57" s="411">
        <f t="shared" si="19"/>
        <v>4794112589.3279839</v>
      </c>
      <c r="M57" s="411">
        <f t="shared" si="19"/>
        <v>3971915454.2875042</v>
      </c>
      <c r="N57" s="411">
        <f t="shared" si="19"/>
        <v>2677082775.1379547</v>
      </c>
      <c r="O57" s="411">
        <f t="shared" si="19"/>
        <v>2818170414.9974651</v>
      </c>
      <c r="P57" s="411">
        <f t="shared" si="19"/>
        <v>3281194886.7272139</v>
      </c>
      <c r="Q57" s="411">
        <f t="shared" si="19"/>
        <v>3352575229.9107246</v>
      </c>
      <c r="R57" s="411">
        <f t="shared" si="19"/>
        <v>4301585347.4416389</v>
      </c>
      <c r="S57" s="411">
        <f t="shared" si="19"/>
        <v>4260948967.1375623</v>
      </c>
      <c r="T57" s="411">
        <f t="shared" si="19"/>
        <v>4161979764.2973766</v>
      </c>
      <c r="U57" s="411">
        <f t="shared" si="19"/>
        <v>3685850993.3885212</v>
      </c>
      <c r="V57" s="411">
        <f t="shared" si="19"/>
        <v>4300262703.6081467</v>
      </c>
      <c r="W57" s="411">
        <f t="shared" si="19"/>
        <v>3209097169.5542874</v>
      </c>
      <c r="X57" s="411">
        <f t="shared" si="19"/>
        <v>3377993327.8330345</v>
      </c>
      <c r="Y57" s="411">
        <f t="shared" si="19"/>
        <v>3104853861.5375786</v>
      </c>
      <c r="Z57" s="411">
        <f t="shared" si="19"/>
        <v>4278197699.8883877</v>
      </c>
      <c r="AA57" s="411">
        <f t="shared" si="19"/>
        <v>5069099398.9690285</v>
      </c>
      <c r="AB57" s="411">
        <f t="shared" si="19"/>
        <v>5091973619.697279</v>
      </c>
      <c r="AC57" s="411">
        <f t="shared" si="19"/>
        <v>4159857597.1727209</v>
      </c>
      <c r="AD57" s="411">
        <f t="shared" si="19"/>
        <v>2944822805.5199561</v>
      </c>
      <c r="AE57" s="411">
        <f t="shared" si="19"/>
        <v>1830622358.2132757</v>
      </c>
      <c r="AF57" s="411">
        <f t="shared" si="19"/>
        <v>2574856818.1092992</v>
      </c>
      <c r="AG57" s="411">
        <f t="shared" si="19"/>
        <v>4019258637.4207182</v>
      </c>
      <c r="AH57" s="411">
        <f t="shared" si="19"/>
        <v>3956601967.4329882</v>
      </c>
      <c r="AI57" s="411">
        <f t="shared" si="19"/>
        <v>3762690332.5150757</v>
      </c>
      <c r="AJ57" s="411">
        <f t="shared" si="19"/>
        <v>3558484630.4393926</v>
      </c>
      <c r="AK57" s="411">
        <f t="shared" si="19"/>
        <v>3305522529.6663771</v>
      </c>
      <c r="AL57" s="411">
        <f t="shared" si="19"/>
        <v>3475057356.9716511</v>
      </c>
      <c r="AM57" s="411">
        <f t="shared" si="19"/>
        <v>3065867518.1772513</v>
      </c>
      <c r="AN57" s="411">
        <f t="shared" si="19"/>
        <v>4408931092.4858627</v>
      </c>
      <c r="AO57" s="411">
        <f t="shared" si="19"/>
        <v>4426655487.1924133</v>
      </c>
      <c r="AP57" s="411">
        <f t="shared" si="19"/>
        <v>5620664488.2197189</v>
      </c>
      <c r="AQ57" s="411">
        <f t="shared" si="19"/>
        <v>4389032501.6851454</v>
      </c>
      <c r="AR57" s="411">
        <f t="shared" si="19"/>
        <v>3620173176.6315689</v>
      </c>
      <c r="AS57" s="411">
        <f t="shared" si="19"/>
        <v>4893290241.1162701</v>
      </c>
      <c r="AT57" s="411">
        <f t="shared" si="19"/>
        <v>4364898957.7447214</v>
      </c>
      <c r="AU57" s="411">
        <f t="shared" si="19"/>
        <v>5294579206.8006392</v>
      </c>
      <c r="AV57" s="411">
        <f t="shared" si="19"/>
        <v>5977638007.6293058</v>
      </c>
      <c r="AW57" s="412">
        <f t="shared" si="11"/>
        <v>3853625873.9296308</v>
      </c>
      <c r="AX57" s="9"/>
      <c r="AY57" s="9"/>
      <c r="AZ57" s="9"/>
      <c r="BA57" s="9"/>
      <c r="BB57" s="9"/>
      <c r="BC57" s="9"/>
      <c r="BD57" s="364" t="str">
        <f t="shared" si="4"/>
        <v>Feed Cost on Ethylene</v>
      </c>
      <c r="BE57" s="600">
        <f>BE53*$D$2+BE54*$E$2+BE55*$F$2+BE56*$G$2</f>
        <v>3880123210.8769016</v>
      </c>
      <c r="BG57" s="411">
        <f>BG53*$D$2+BG54*$E$2+BG55*$F$2+BG56*$G$2</f>
        <v>3880123210.8769016</v>
      </c>
    </row>
    <row r="58" spans="3:61" s="361" customFormat="1" x14ac:dyDescent="0.25">
      <c r="C58" s="411" t="s">
        <v>365</v>
      </c>
      <c r="D58" s="411">
        <f>$D$3*D53+D54*$E$3+D55*$F$3+D56*$G$3</f>
        <v>1340049814.4088726</v>
      </c>
      <c r="E58" s="411">
        <f t="shared" ref="E58:AV58" si="20">$D$3*E53+E54*$E$3+E55*$F$3+E56*$G$3</f>
        <v>1310404082.6706033</v>
      </c>
      <c r="F58" s="411">
        <f t="shared" si="20"/>
        <v>1395717501.4510126</v>
      </c>
      <c r="G58" s="411">
        <f t="shared" si="20"/>
        <v>943807570.04653263</v>
      </c>
      <c r="H58" s="411">
        <f t="shared" si="20"/>
        <v>1542008118.2657011</v>
      </c>
      <c r="I58" s="411">
        <f t="shared" si="20"/>
        <v>1529323760.4121113</v>
      </c>
      <c r="J58" s="411">
        <f t="shared" si="20"/>
        <v>1551534445.7776024</v>
      </c>
      <c r="K58" s="411">
        <f t="shared" si="20"/>
        <v>1922485938.763936</v>
      </c>
      <c r="L58" s="411">
        <f t="shared" si="20"/>
        <v>1721744865.9152846</v>
      </c>
      <c r="M58" s="411">
        <f t="shared" si="20"/>
        <v>1791180167.8801789</v>
      </c>
      <c r="N58" s="411">
        <f t="shared" si="20"/>
        <v>1163815861.4416201</v>
      </c>
      <c r="O58" s="411">
        <f t="shared" si="20"/>
        <v>1071898622.2396065</v>
      </c>
      <c r="P58" s="411">
        <f t="shared" si="20"/>
        <v>1343817822.4391818</v>
      </c>
      <c r="Q58" s="411">
        <f t="shared" si="20"/>
        <v>1404553174.0896533</v>
      </c>
      <c r="R58" s="411">
        <f t="shared" si="20"/>
        <v>1872073205.9528165</v>
      </c>
      <c r="S58" s="411">
        <f t="shared" si="20"/>
        <v>1748865748.1676233</v>
      </c>
      <c r="T58" s="411">
        <f t="shared" si="20"/>
        <v>1732804321.1192577</v>
      </c>
      <c r="U58" s="411">
        <f t="shared" si="20"/>
        <v>1439883184.6158552</v>
      </c>
      <c r="V58" s="411">
        <f t="shared" si="20"/>
        <v>1791909367.6833434</v>
      </c>
      <c r="W58" s="411">
        <f t="shared" si="20"/>
        <v>1297613746.5438206</v>
      </c>
      <c r="X58" s="411">
        <f t="shared" si="20"/>
        <v>1417504733.0183325</v>
      </c>
      <c r="Y58" s="411">
        <f t="shared" si="20"/>
        <v>1260292646.3450396</v>
      </c>
      <c r="Z58" s="411">
        <f t="shared" si="20"/>
        <v>1950314982.0886855</v>
      </c>
      <c r="AA58" s="411">
        <f t="shared" si="20"/>
        <v>2312299515.0643115</v>
      </c>
      <c r="AB58" s="411">
        <f t="shared" si="20"/>
        <v>2392542018.7256699</v>
      </c>
      <c r="AC58" s="411">
        <f t="shared" si="20"/>
        <v>1800373910.5778284</v>
      </c>
      <c r="AD58" s="411">
        <f t="shared" si="20"/>
        <v>1214449627.7351487</v>
      </c>
      <c r="AE58" s="411">
        <f t="shared" si="20"/>
        <v>857790694.28140402</v>
      </c>
      <c r="AF58" s="411">
        <f t="shared" si="20"/>
        <v>1251866657.847959</v>
      </c>
      <c r="AG58" s="411">
        <f t="shared" si="20"/>
        <v>1888581077.3337526</v>
      </c>
      <c r="AH58" s="411">
        <f t="shared" si="20"/>
        <v>1771092285.9427137</v>
      </c>
      <c r="AI58" s="411">
        <f t="shared" si="20"/>
        <v>1667146051.4403911</v>
      </c>
      <c r="AJ58" s="411">
        <f t="shared" si="20"/>
        <v>1567632958.0951488</v>
      </c>
      <c r="AK58" s="411">
        <f t="shared" si="20"/>
        <v>1552219330.7832971</v>
      </c>
      <c r="AL58" s="411">
        <f t="shared" si="20"/>
        <v>1570195200.6739702</v>
      </c>
      <c r="AM58" s="411">
        <f t="shared" si="20"/>
        <v>1326268989.4152689</v>
      </c>
      <c r="AN58" s="411">
        <f t="shared" si="20"/>
        <v>2166572520.3349833</v>
      </c>
      <c r="AO58" s="411">
        <f t="shared" si="20"/>
        <v>2162333513.8292899</v>
      </c>
      <c r="AP58" s="411">
        <f t="shared" si="20"/>
        <v>2830183121.8190498</v>
      </c>
      <c r="AQ58" s="411">
        <f t="shared" si="20"/>
        <v>2122371372.408999</v>
      </c>
      <c r="AR58" s="411">
        <f t="shared" si="20"/>
        <v>1643900819.3428729</v>
      </c>
      <c r="AS58" s="411">
        <f t="shared" si="20"/>
        <v>2429053737.3525853</v>
      </c>
      <c r="AT58" s="411">
        <f t="shared" si="20"/>
        <v>2148099079.5154128</v>
      </c>
      <c r="AU58" s="411">
        <f t="shared" si="20"/>
        <v>2677410604.4027405</v>
      </c>
      <c r="AV58" s="411">
        <f t="shared" si="20"/>
        <v>3126482970.71207</v>
      </c>
      <c r="AW58" s="412">
        <f t="shared" si="11"/>
        <v>1711610438.6438117</v>
      </c>
      <c r="AX58" s="9"/>
      <c r="AY58" s="9"/>
      <c r="AZ58" s="9"/>
      <c r="BA58" s="9"/>
      <c r="BB58" s="9"/>
      <c r="BC58" s="9"/>
      <c r="BD58" s="364" t="str">
        <f t="shared" si="4"/>
        <v>Feed cost on Propylene</v>
      </c>
      <c r="BE58" s="600">
        <f>$D$3*BE53+BE54*$E$3+BE55*$F$3+BE56*$G$3</f>
        <v>1722302787.5923011</v>
      </c>
      <c r="BG58" s="411">
        <f>$D$3*BG53+BG54*$E$3+BG55*$F$3+BG56*$G$3</f>
        <v>1722302787.5923011</v>
      </c>
    </row>
    <row r="59" spans="3:61" s="361" customFormat="1" x14ac:dyDescent="0.25">
      <c r="C59" s="411" t="s">
        <v>369</v>
      </c>
      <c r="D59" s="411">
        <f>D57/D52</f>
        <v>0.68388661182732247</v>
      </c>
      <c r="E59" s="411">
        <f t="shared" ref="E59:AV59" si="21">E57/E52</f>
        <v>0.69533703288973958</v>
      </c>
      <c r="F59" s="411">
        <f t="shared" si="21"/>
        <v>0.72203340567819485</v>
      </c>
      <c r="G59" s="411">
        <f t="shared" si="21"/>
        <v>0.69104128893753758</v>
      </c>
      <c r="H59" s="411">
        <f t="shared" si="21"/>
        <v>0.6671715980255577</v>
      </c>
      <c r="I59" s="411">
        <f t="shared" si="21"/>
        <v>0.72627459728366883</v>
      </c>
      <c r="J59" s="411">
        <f t="shared" si="21"/>
        <v>0.73590922538510029</v>
      </c>
      <c r="K59" s="411">
        <f t="shared" si="21"/>
        <v>0.71937387325554614</v>
      </c>
      <c r="L59" s="411">
        <f t="shared" si="21"/>
        <v>0.73576081463694265</v>
      </c>
      <c r="M59" s="411">
        <f t="shared" si="21"/>
        <v>0.6891982564040019</v>
      </c>
      <c r="N59" s="411">
        <f t="shared" si="21"/>
        <v>0.69699386222854609</v>
      </c>
      <c r="O59" s="411">
        <f t="shared" si="21"/>
        <v>0.72445254519160807</v>
      </c>
      <c r="P59" s="411">
        <f t="shared" si="21"/>
        <v>0.70944559357083603</v>
      </c>
      <c r="Q59" s="411">
        <f t="shared" si="21"/>
        <v>0.70474768498816798</v>
      </c>
      <c r="R59" s="411">
        <f t="shared" si="21"/>
        <v>0.69676437565153371</v>
      </c>
      <c r="S59" s="411">
        <f t="shared" si="21"/>
        <v>0.70899839162864875</v>
      </c>
      <c r="T59" s="411">
        <f t="shared" si="21"/>
        <v>0.70604447999951025</v>
      </c>
      <c r="U59" s="411">
        <f t="shared" si="21"/>
        <v>0.71908742540830506</v>
      </c>
      <c r="V59" s="411">
        <f t="shared" si="21"/>
        <v>0.70586691467112916</v>
      </c>
      <c r="W59" s="411">
        <f t="shared" si="21"/>
        <v>0.71207078272788582</v>
      </c>
      <c r="X59" s="411">
        <f t="shared" si="21"/>
        <v>0.70440927823737332</v>
      </c>
      <c r="Y59" s="411">
        <f t="shared" si="21"/>
        <v>0.71128285291932525</v>
      </c>
      <c r="Z59" s="411">
        <f t="shared" si="21"/>
        <v>0.68687308163758753</v>
      </c>
      <c r="AA59" s="411">
        <f t="shared" si="21"/>
        <v>0.68673966249565199</v>
      </c>
      <c r="AB59" s="411">
        <f t="shared" si="21"/>
        <v>0.68033442185047011</v>
      </c>
      <c r="AC59" s="411">
        <f t="shared" si="21"/>
        <v>0.69793557377147797</v>
      </c>
      <c r="AD59" s="411">
        <f t="shared" si="21"/>
        <v>0.7080139261797036</v>
      </c>
      <c r="AE59" s="411">
        <f t="shared" si="21"/>
        <v>0.68093046807467794</v>
      </c>
      <c r="AF59" s="411">
        <f t="shared" si="21"/>
        <v>0.67286200173248645</v>
      </c>
      <c r="AG59" s="411">
        <f t="shared" si="21"/>
        <v>0.68032628363001524</v>
      </c>
      <c r="AH59" s="411">
        <f t="shared" si="21"/>
        <v>0.69078442256255312</v>
      </c>
      <c r="AI59" s="411">
        <f t="shared" si="21"/>
        <v>0.6929656929688317</v>
      </c>
      <c r="AJ59" s="411">
        <f t="shared" si="21"/>
        <v>0.69418708583637767</v>
      </c>
      <c r="AK59" s="411">
        <f t="shared" si="21"/>
        <v>0.68046483831901061</v>
      </c>
      <c r="AL59" s="411">
        <f t="shared" si="21"/>
        <v>0.68877768105097492</v>
      </c>
      <c r="AM59" s="411">
        <f t="shared" si="21"/>
        <v>0.69803557172628894</v>
      </c>
      <c r="AN59" s="411">
        <f t="shared" si="21"/>
        <v>0.67050850430518749</v>
      </c>
      <c r="AO59" s="411">
        <f t="shared" si="21"/>
        <v>0.67182620679834293</v>
      </c>
      <c r="AP59" s="411">
        <f t="shared" si="21"/>
        <v>0.66510067955111707</v>
      </c>
      <c r="AQ59" s="411">
        <f t="shared" si="21"/>
        <v>0.6740531821635376</v>
      </c>
      <c r="AR59" s="411">
        <f t="shared" si="21"/>
        <v>0.68771320072628128</v>
      </c>
      <c r="AS59" s="411">
        <f t="shared" si="21"/>
        <v>0.66826828342192768</v>
      </c>
      <c r="AT59" s="411">
        <f t="shared" si="21"/>
        <v>0.67018275343760625</v>
      </c>
      <c r="AU59" s="411">
        <f t="shared" si="21"/>
        <v>0.66414776388197838</v>
      </c>
      <c r="AV59" s="411">
        <f t="shared" si="21"/>
        <v>0.65658595946275922</v>
      </c>
      <c r="AW59" s="413">
        <f t="shared" si="11"/>
        <v>0.6940837363806962</v>
      </c>
      <c r="AX59" s="9"/>
      <c r="AY59" s="9"/>
      <c r="AZ59" s="9"/>
      <c r="BA59" s="9"/>
      <c r="BB59" s="9"/>
      <c r="BC59" s="9"/>
      <c r="BD59" s="364" t="str">
        <f t="shared" si="4"/>
        <v>Ethylene Cost Factor based on Feed Yields</v>
      </c>
      <c r="BE59" s="600">
        <f>BE57/BE52</f>
        <v>0.69257910982440463</v>
      </c>
      <c r="BG59" s="411">
        <f>BG57/BG52</f>
        <v>0.69257910982440463</v>
      </c>
    </row>
    <row r="60" spans="3:61" s="361" customFormat="1" x14ac:dyDescent="0.25">
      <c r="C60" s="411" t="s">
        <v>370</v>
      </c>
      <c r="D60" s="411">
        <f>D58/D52</f>
        <v>0.31611338817267753</v>
      </c>
      <c r="E60" s="411">
        <f t="shared" ref="E60:AV60" si="22">E58/E52</f>
        <v>0.30466296711026042</v>
      </c>
      <c r="F60" s="411">
        <f t="shared" si="22"/>
        <v>0.2779665943218052</v>
      </c>
      <c r="G60" s="411">
        <f t="shared" si="22"/>
        <v>0.30895871106246237</v>
      </c>
      <c r="H60" s="411">
        <f t="shared" si="22"/>
        <v>0.33282840197444247</v>
      </c>
      <c r="I60" s="411">
        <f t="shared" si="22"/>
        <v>0.27372540271633122</v>
      </c>
      <c r="J60" s="411">
        <f t="shared" si="22"/>
        <v>0.26409077461489977</v>
      </c>
      <c r="K60" s="411">
        <f t="shared" si="22"/>
        <v>0.28062612674445392</v>
      </c>
      <c r="L60" s="411">
        <f t="shared" si="22"/>
        <v>0.26423918536305724</v>
      </c>
      <c r="M60" s="411">
        <f t="shared" si="22"/>
        <v>0.31080174359599799</v>
      </c>
      <c r="N60" s="411">
        <f t="shared" si="22"/>
        <v>0.30300613777145391</v>
      </c>
      <c r="O60" s="411">
        <f t="shared" si="22"/>
        <v>0.27554745480839188</v>
      </c>
      <c r="P60" s="411">
        <f t="shared" si="22"/>
        <v>0.29055440642916402</v>
      </c>
      <c r="Q60" s="411">
        <f t="shared" si="22"/>
        <v>0.29525231501183202</v>
      </c>
      <c r="R60" s="411">
        <f t="shared" si="22"/>
        <v>0.30323562434846618</v>
      </c>
      <c r="S60" s="411">
        <f t="shared" si="22"/>
        <v>0.29100160837135125</v>
      </c>
      <c r="T60" s="411">
        <f t="shared" si="22"/>
        <v>0.29395552000048969</v>
      </c>
      <c r="U60" s="411">
        <f t="shared" si="22"/>
        <v>0.28091257459169511</v>
      </c>
      <c r="V60" s="411">
        <f t="shared" si="22"/>
        <v>0.29413308532887078</v>
      </c>
      <c r="W60" s="411">
        <f t="shared" si="22"/>
        <v>0.28792921727211412</v>
      </c>
      <c r="X60" s="411">
        <f t="shared" si="22"/>
        <v>0.29559072176262674</v>
      </c>
      <c r="Y60" s="411">
        <f t="shared" si="22"/>
        <v>0.28871714708067475</v>
      </c>
      <c r="Z60" s="411">
        <f t="shared" si="22"/>
        <v>0.31312691836241241</v>
      </c>
      <c r="AA60" s="411">
        <f t="shared" si="22"/>
        <v>0.31326033750434795</v>
      </c>
      <c r="AB60" s="411">
        <f t="shared" si="22"/>
        <v>0.31966557814952989</v>
      </c>
      <c r="AC60" s="411">
        <f t="shared" si="22"/>
        <v>0.30206442622852203</v>
      </c>
      <c r="AD60" s="411">
        <f t="shared" si="22"/>
        <v>0.29198607382029634</v>
      </c>
      <c r="AE60" s="411">
        <f t="shared" si="22"/>
        <v>0.31906953192532217</v>
      </c>
      <c r="AF60" s="411">
        <f t="shared" si="22"/>
        <v>0.32713799826751355</v>
      </c>
      <c r="AG60" s="411">
        <f t="shared" si="22"/>
        <v>0.31967371636998482</v>
      </c>
      <c r="AH60" s="411">
        <f t="shared" si="22"/>
        <v>0.30921557743744688</v>
      </c>
      <c r="AI60" s="411">
        <f t="shared" si="22"/>
        <v>0.30703430703116819</v>
      </c>
      <c r="AJ60" s="411">
        <f t="shared" si="22"/>
        <v>0.30581291416362244</v>
      </c>
      <c r="AK60" s="411">
        <f t="shared" si="22"/>
        <v>0.31953516168098944</v>
      </c>
      <c r="AL60" s="411">
        <f t="shared" si="22"/>
        <v>0.31122231894902508</v>
      </c>
      <c r="AM60" s="411">
        <f t="shared" si="22"/>
        <v>0.30196442827371089</v>
      </c>
      <c r="AN60" s="411">
        <f t="shared" si="22"/>
        <v>0.3294914956948124</v>
      </c>
      <c r="AO60" s="411">
        <f t="shared" si="22"/>
        <v>0.32817379320165718</v>
      </c>
      <c r="AP60" s="411">
        <f t="shared" si="22"/>
        <v>0.33489932044888288</v>
      </c>
      <c r="AQ60" s="411">
        <f t="shared" si="22"/>
        <v>0.32594681783646229</v>
      </c>
      <c r="AR60" s="411">
        <f t="shared" si="22"/>
        <v>0.31228679927371872</v>
      </c>
      <c r="AS60" s="411">
        <f t="shared" si="22"/>
        <v>0.33173171657807243</v>
      </c>
      <c r="AT60" s="411">
        <f t="shared" si="22"/>
        <v>0.32981724656239386</v>
      </c>
      <c r="AU60" s="411">
        <f t="shared" si="22"/>
        <v>0.33585223611802167</v>
      </c>
      <c r="AV60" s="411">
        <f t="shared" si="22"/>
        <v>0.34341404053724084</v>
      </c>
      <c r="AW60" s="413">
        <f t="shared" si="11"/>
        <v>0.3059162636193038</v>
      </c>
      <c r="AX60" s="9"/>
      <c r="AY60" s="9"/>
      <c r="AZ60" s="9"/>
      <c r="BA60" s="9"/>
      <c r="BB60" s="9"/>
      <c r="BC60" s="9"/>
      <c r="BD60" s="364" t="str">
        <f t="shared" si="4"/>
        <v>Propylene cost factor based on Feed Yields</v>
      </c>
      <c r="BE60" s="600">
        <f>BE58/BE52</f>
        <v>0.30742089017559537</v>
      </c>
      <c r="BG60" s="411">
        <f>BG58/BG52</f>
        <v>0.30742089017559537</v>
      </c>
    </row>
    <row r="61" spans="3:61" s="361" customFormat="1" x14ac:dyDescent="0.25">
      <c r="C61" s="411" t="s">
        <v>582</v>
      </c>
      <c r="D61" s="411">
        <f>D52-(D14-D42)*D28-(D15-D43)*D29-(D16-D44)*D30-(D17-D45)*D31-(D18-D46)*D32</f>
        <v>3820831153.9140725</v>
      </c>
      <c r="E61" s="411">
        <f t="shared" ref="E61:AV61" si="23">E52-(E14-E42)*E28-(E15-E43)*E29-(E16-E44)*E30-(E17-E45)*E31-(E18-E46)*E32</f>
        <v>3789298979.9408073</v>
      </c>
      <c r="F61" s="411">
        <f t="shared" si="23"/>
        <v>4488951301.2417431</v>
      </c>
      <c r="G61" s="411">
        <f t="shared" si="23"/>
        <v>2637319333.3771758</v>
      </c>
      <c r="H61" s="411">
        <f t="shared" si="23"/>
        <v>4153527010.2758946</v>
      </c>
      <c r="I61" s="411">
        <f t="shared" si="23"/>
        <v>5151009319.659894</v>
      </c>
      <c r="J61" s="411">
        <f t="shared" si="23"/>
        <v>5611741382.0498276</v>
      </c>
      <c r="K61" s="411">
        <f t="shared" si="23"/>
        <v>6542015122.2113276</v>
      </c>
      <c r="L61" s="411">
        <f t="shared" si="23"/>
        <v>6249086682.2023687</v>
      </c>
      <c r="M61" s="411">
        <f t="shared" si="23"/>
        <v>5497440375.0537825</v>
      </c>
      <c r="N61" s="411">
        <f t="shared" si="23"/>
        <v>3643884468.6385746</v>
      </c>
      <c r="O61" s="411">
        <f t="shared" si="23"/>
        <v>3777104146.6439714</v>
      </c>
      <c r="P61" s="411">
        <f t="shared" si="23"/>
        <v>4336822673.3271942</v>
      </c>
      <c r="Q61" s="411">
        <f t="shared" si="23"/>
        <v>4423072645.9237776</v>
      </c>
      <c r="R61" s="411">
        <f t="shared" si="23"/>
        <v>5748703681.490756</v>
      </c>
      <c r="S61" s="411">
        <f t="shared" si="23"/>
        <v>5722455208.6865854</v>
      </c>
      <c r="T61" s="411">
        <f t="shared" si="23"/>
        <v>5699390788.0366344</v>
      </c>
      <c r="U61" s="411">
        <f t="shared" si="23"/>
        <v>4840528226.3043766</v>
      </c>
      <c r="V61" s="411">
        <f t="shared" si="23"/>
        <v>5684840110.0114908</v>
      </c>
      <c r="W61" s="411">
        <f t="shared" si="23"/>
        <v>4057788234.7651076</v>
      </c>
      <c r="X61" s="411">
        <f t="shared" si="23"/>
        <v>4038697002.9313669</v>
      </c>
      <c r="Y61" s="411">
        <f t="shared" si="23"/>
        <v>3896720712.072618</v>
      </c>
      <c r="Z61" s="411">
        <f t="shared" si="23"/>
        <v>5596583091.1270733</v>
      </c>
      <c r="AA61" s="411">
        <f t="shared" si="23"/>
        <v>6589751626.0765409</v>
      </c>
      <c r="AB61" s="411">
        <f t="shared" si="23"/>
        <v>6588204720.5697498</v>
      </c>
      <c r="AC61" s="411">
        <f t="shared" si="23"/>
        <v>5380710012.8105497</v>
      </c>
      <c r="AD61" s="411">
        <f t="shared" si="23"/>
        <v>3560549349.985105</v>
      </c>
      <c r="AE61" s="411">
        <f t="shared" si="23"/>
        <v>2580231449.9846787</v>
      </c>
      <c r="AF61" s="411">
        <f t="shared" si="23"/>
        <v>3719427588.1846585</v>
      </c>
      <c r="AG61" s="411">
        <f t="shared" si="23"/>
        <v>5594384985.2160702</v>
      </c>
      <c r="AH61" s="411">
        <f t="shared" si="23"/>
        <v>5366800802.3932314</v>
      </c>
      <c r="AI61" s="411">
        <f t="shared" si="23"/>
        <v>4943828127.7108974</v>
      </c>
      <c r="AJ61" s="411">
        <f t="shared" si="23"/>
        <v>4577925585.250742</v>
      </c>
      <c r="AK61" s="411">
        <f t="shared" si="23"/>
        <v>4177278831.7107229</v>
      </c>
      <c r="AL61" s="411">
        <f t="shared" si="23"/>
        <v>4350839186.3452511</v>
      </c>
      <c r="AM61" s="411">
        <f t="shared" si="23"/>
        <v>3855771567.0255713</v>
      </c>
      <c r="AN61" s="411">
        <f t="shared" si="23"/>
        <v>5693977207.3820467</v>
      </c>
      <c r="AO61" s="411">
        <f t="shared" si="23"/>
        <v>6111657870.3955231</v>
      </c>
      <c r="AP61" s="411">
        <f t="shared" si="23"/>
        <v>7867392017.4348097</v>
      </c>
      <c r="AQ61" s="411">
        <f t="shared" si="23"/>
        <v>5834028241.9912024</v>
      </c>
      <c r="AR61" s="411">
        <f t="shared" si="23"/>
        <v>4828048434.5669718</v>
      </c>
      <c r="AS61" s="411">
        <f t="shared" si="23"/>
        <v>6665585252.3322353</v>
      </c>
      <c r="AT61" s="411">
        <f t="shared" si="23"/>
        <v>6255877637.3000832</v>
      </c>
      <c r="AU61" s="411">
        <f t="shared" si="23"/>
        <v>7226679075.7810793</v>
      </c>
      <c r="AV61" s="411">
        <f t="shared" si="23"/>
        <v>8230498307.8535757</v>
      </c>
      <c r="AW61" s="412">
        <f t="shared" si="11"/>
        <v>5097939100.6263933</v>
      </c>
      <c r="AX61" s="9"/>
      <c r="AY61" s="9"/>
      <c r="AZ61" s="9"/>
      <c r="BA61" s="9"/>
      <c r="BB61" s="9"/>
      <c r="BC61" s="9"/>
      <c r="BD61" s="364"/>
      <c r="BE61" s="600"/>
      <c r="BG61" s="411"/>
    </row>
    <row r="62" spans="3:61" s="16" customFormat="1" x14ac:dyDescent="0.25">
      <c r="C62" s="411" t="s">
        <v>581</v>
      </c>
      <c r="D62" s="422">
        <f>(D26*D40+D27*D41)-(D14-D42)*D28-(D15-D43)*D29-(D16-D44)*D30-(D17-D45)*D31-(D18-D46)*D32</f>
        <v>3563055944.8439002</v>
      </c>
      <c r="E62" s="422">
        <f t="shared" ref="E62:AV62" si="24">(E26*E40+E27*E41)-(E14-E42)*E28-(E15-E43)*E29-(E16-E44)*E30-(E17-E45)*E31-(E18-E46)*E32</f>
        <v>3729222308.5835094</v>
      </c>
      <c r="F62" s="422">
        <f t="shared" si="24"/>
        <v>4063969872.1200995</v>
      </c>
      <c r="G62" s="422">
        <f t="shared" si="24"/>
        <v>2638879989.5265002</v>
      </c>
      <c r="H62" s="422">
        <f t="shared" si="24"/>
        <v>4152033305.9028001</v>
      </c>
      <c r="I62" s="422">
        <f t="shared" si="24"/>
        <v>5307608419.0898008</v>
      </c>
      <c r="J62" s="422">
        <f t="shared" si="24"/>
        <v>5456886508.5684996</v>
      </c>
      <c r="K62" s="422">
        <f t="shared" si="24"/>
        <v>6433437694.5719995</v>
      </c>
      <c r="L62" s="422">
        <f t="shared" si="24"/>
        <v>5939678048.9934998</v>
      </c>
      <c r="M62" s="422">
        <f t="shared" si="24"/>
        <v>5665415333.9504986</v>
      </c>
      <c r="N62" s="422">
        <f t="shared" si="24"/>
        <v>4692385798.2639704</v>
      </c>
      <c r="O62" s="422">
        <f t="shared" si="24"/>
        <v>4857806502.6156311</v>
      </c>
      <c r="P62" s="422">
        <f t="shared" si="24"/>
        <v>4998613128.9078999</v>
      </c>
      <c r="Q62" s="422">
        <f t="shared" si="24"/>
        <v>4819001568.7840805</v>
      </c>
      <c r="R62" s="422">
        <f t="shared" si="24"/>
        <v>6036332555.8009501</v>
      </c>
      <c r="S62" s="422">
        <f t="shared" si="24"/>
        <v>5739670164.6948996</v>
      </c>
      <c r="T62" s="422">
        <f t="shared" si="24"/>
        <v>5982525689.0900002</v>
      </c>
      <c r="U62" s="422">
        <f t="shared" si="24"/>
        <v>5656901493.9400015</v>
      </c>
      <c r="V62" s="422">
        <f t="shared" si="24"/>
        <v>6342331301.0799999</v>
      </c>
      <c r="W62" s="422">
        <f t="shared" si="24"/>
        <v>4280088748.4669995</v>
      </c>
      <c r="X62" s="422">
        <f t="shared" si="24"/>
        <v>4479750285.7600002</v>
      </c>
      <c r="Y62" s="422">
        <f t="shared" si="24"/>
        <v>4309113339.5199995</v>
      </c>
      <c r="Z62" s="422">
        <f t="shared" si="24"/>
        <v>5683158471.2599993</v>
      </c>
      <c r="AA62" s="422">
        <f t="shared" si="24"/>
        <v>6343559567.0098</v>
      </c>
      <c r="AB62" s="422">
        <f t="shared" si="24"/>
        <v>6596716075.7664013</v>
      </c>
      <c r="AC62" s="422">
        <f t="shared" si="24"/>
        <v>5899355133.8300009</v>
      </c>
      <c r="AD62" s="422">
        <f t="shared" si="24"/>
        <v>4606672685.8299999</v>
      </c>
      <c r="AE62" s="422">
        <f t="shared" si="24"/>
        <v>2225665747.3899989</v>
      </c>
      <c r="AF62" s="422">
        <f t="shared" si="24"/>
        <v>3094141898.2474003</v>
      </c>
      <c r="AG62" s="422">
        <f t="shared" si="24"/>
        <v>3958118176.9416008</v>
      </c>
      <c r="AH62" s="422">
        <f t="shared" si="24"/>
        <v>5665383492.6975298</v>
      </c>
      <c r="AI62" s="422">
        <f t="shared" si="24"/>
        <v>5258034946.8638306</v>
      </c>
      <c r="AJ62" s="422">
        <f t="shared" si="24"/>
        <v>4977334254.6400003</v>
      </c>
      <c r="AK62" s="422">
        <f t="shared" si="24"/>
        <v>5431281346.8742504</v>
      </c>
      <c r="AL62" s="422">
        <f t="shared" si="24"/>
        <v>4890367314.2781296</v>
      </c>
      <c r="AM62" s="422">
        <f t="shared" si="24"/>
        <v>4176959378.7299504</v>
      </c>
      <c r="AN62" s="422">
        <f t="shared" si="24"/>
        <v>5592803581.5343008</v>
      </c>
      <c r="AO62" s="422">
        <f t="shared" si="24"/>
        <v>5918008825.91222</v>
      </c>
      <c r="AP62" s="422">
        <f t="shared" si="24"/>
        <v>7608407852.3950415</v>
      </c>
      <c r="AQ62" s="422">
        <f t="shared" si="24"/>
        <v>5937258320.6436577</v>
      </c>
      <c r="AR62" s="422">
        <f t="shared" si="24"/>
        <v>5017389989.0656509</v>
      </c>
      <c r="AS62" s="422">
        <f t="shared" si="24"/>
        <v>6304796763.5357933</v>
      </c>
      <c r="AT62" s="422">
        <f t="shared" si="24"/>
        <v>6222946990.0842495</v>
      </c>
      <c r="AU62" s="422">
        <f t="shared" si="24"/>
        <v>7109170646.8484993</v>
      </c>
      <c r="AV62" s="422">
        <f t="shared" si="24"/>
        <v>7865330252.4127979</v>
      </c>
      <c r="AW62" s="412">
        <f t="shared" si="11"/>
        <v>5233945993.6859264</v>
      </c>
      <c r="BD62" s="364" t="str">
        <f t="shared" si="4"/>
        <v>Ethylene + Propylene Total Cost of Production-based on SAP</v>
      </c>
      <c r="BE62" s="612">
        <f>(BE26*BE40+BE27*BE41)-(BE14-BE42)*BE28-(BE15-BE43)*BE29-(BE16-BE44)*BE30-(BE17-BE45)*BE31-(BE18-BE46)*BE32</f>
        <v>5185380570.6538982</v>
      </c>
      <c r="BG62" s="616">
        <f>BG52-(BG14-BG42)*BG28-(BG15-BG43)*BG29-(BG16-BG44)*BG30-(BG17-BG45)*BG31-(BG18-BG46)*BG32</f>
        <v>5151438361.8298388</v>
      </c>
      <c r="BH62" s="617">
        <f>BE62-BG62</f>
        <v>33942208.824059486</v>
      </c>
      <c r="BI62" s="16">
        <f>BH62/(BG26+BG27)</f>
        <v>334.34753153326039</v>
      </c>
    </row>
    <row r="63" spans="3:61" s="16" customFormat="1" ht="30" x14ac:dyDescent="0.25">
      <c r="C63" s="411" t="s">
        <v>584</v>
      </c>
      <c r="D63" s="422">
        <f>D61-D62</f>
        <v>257775209.07017231</v>
      </c>
      <c r="E63" s="422">
        <f t="shared" ref="E63:AV63" si="25">E61-E62</f>
        <v>60076671.357297897</v>
      </c>
      <c r="F63" s="422">
        <f t="shared" si="25"/>
        <v>424981429.12164354</v>
      </c>
      <c r="G63" s="422">
        <f t="shared" si="25"/>
        <v>-1560656.1493244171</v>
      </c>
      <c r="H63" s="422">
        <f t="shared" si="25"/>
        <v>1493704.3730945587</v>
      </c>
      <c r="I63" s="422">
        <f t="shared" si="25"/>
        <v>-156599099.42990685</v>
      </c>
      <c r="J63" s="422">
        <f t="shared" si="25"/>
        <v>154854873.48132801</v>
      </c>
      <c r="K63" s="422">
        <f t="shared" si="25"/>
        <v>108577427.639328</v>
      </c>
      <c r="L63" s="422">
        <f t="shared" si="25"/>
        <v>309408633.20886898</v>
      </c>
      <c r="M63" s="422">
        <f t="shared" si="25"/>
        <v>-167974958.89671612</v>
      </c>
      <c r="N63" s="422">
        <f t="shared" si="25"/>
        <v>-1048501329.6253958</v>
      </c>
      <c r="O63" s="422">
        <f t="shared" si="25"/>
        <v>-1080702355.9716597</v>
      </c>
      <c r="P63" s="422">
        <f t="shared" si="25"/>
        <v>-661790455.58070564</v>
      </c>
      <c r="Q63" s="422">
        <f t="shared" si="25"/>
        <v>-395928922.86030293</v>
      </c>
      <c r="R63" s="422">
        <f t="shared" si="25"/>
        <v>-287628874.31019402</v>
      </c>
      <c r="S63" s="422">
        <f t="shared" si="25"/>
        <v>-17214956.008314133</v>
      </c>
      <c r="T63" s="422">
        <f t="shared" si="25"/>
        <v>-283134901.05336571</v>
      </c>
      <c r="U63" s="422">
        <f t="shared" si="25"/>
        <v>-816373267.63562489</v>
      </c>
      <c r="V63" s="422">
        <f t="shared" si="25"/>
        <v>-657491191.0685091</v>
      </c>
      <c r="W63" s="422">
        <f t="shared" si="25"/>
        <v>-222300513.7018919</v>
      </c>
      <c r="X63" s="422">
        <f t="shared" si="25"/>
        <v>-441053282.82863331</v>
      </c>
      <c r="Y63" s="422">
        <f t="shared" si="25"/>
        <v>-412392627.4473815</v>
      </c>
      <c r="Z63" s="422">
        <f t="shared" si="25"/>
        <v>-86575380.132925987</v>
      </c>
      <c r="AA63" s="422">
        <f t="shared" si="25"/>
        <v>246192059.06674099</v>
      </c>
      <c r="AB63" s="422">
        <f t="shared" si="25"/>
        <v>-8511355.1966514587</v>
      </c>
      <c r="AC63" s="422">
        <f t="shared" si="25"/>
        <v>-518645121.01945114</v>
      </c>
      <c r="AD63" s="422">
        <f t="shared" si="25"/>
        <v>-1046123335.8448949</v>
      </c>
      <c r="AE63" s="422">
        <f t="shared" si="25"/>
        <v>354565702.59467983</v>
      </c>
      <c r="AF63" s="422">
        <f t="shared" si="25"/>
        <v>625285689.93725824</v>
      </c>
      <c r="AG63" s="422">
        <f t="shared" si="25"/>
        <v>1636266808.2744694</v>
      </c>
      <c r="AH63" s="422">
        <f t="shared" si="25"/>
        <v>-298582690.3042984</v>
      </c>
      <c r="AI63" s="422">
        <f t="shared" si="25"/>
        <v>-314206819.15293312</v>
      </c>
      <c r="AJ63" s="422">
        <f t="shared" si="25"/>
        <v>-399408669.38925838</v>
      </c>
      <c r="AK63" s="422">
        <f t="shared" si="25"/>
        <v>-1254002515.1635275</v>
      </c>
      <c r="AL63" s="422">
        <f t="shared" si="25"/>
        <v>-539528127.93287849</v>
      </c>
      <c r="AM63" s="422">
        <f t="shared" si="25"/>
        <v>-321187811.70437908</v>
      </c>
      <c r="AN63" s="422">
        <f t="shared" si="25"/>
        <v>101173625.8477459</v>
      </c>
      <c r="AO63" s="422">
        <f t="shared" si="25"/>
        <v>193649044.48330307</v>
      </c>
      <c r="AP63" s="422">
        <f t="shared" si="25"/>
        <v>258984165.03976822</v>
      </c>
      <c r="AQ63" s="422">
        <f t="shared" si="25"/>
        <v>-103230078.65245533</v>
      </c>
      <c r="AR63" s="422">
        <f t="shared" si="25"/>
        <v>-189341554.49867916</v>
      </c>
      <c r="AS63" s="422">
        <f t="shared" si="25"/>
        <v>360788488.79644203</v>
      </c>
      <c r="AT63" s="422">
        <f t="shared" si="25"/>
        <v>32930647.215833664</v>
      </c>
      <c r="AU63" s="422">
        <f t="shared" si="25"/>
        <v>117508428.93257999</v>
      </c>
      <c r="AV63" s="422">
        <f t="shared" si="25"/>
        <v>365168055.44077778</v>
      </c>
      <c r="AW63" s="412">
        <f t="shared" si="11"/>
        <v>-136006893.05953169</v>
      </c>
      <c r="BD63" s="364" t="str">
        <f t="shared" si="4"/>
        <v>Net attributable to overheads, recycles, inventory gain, depletion, losses etc.</v>
      </c>
      <c r="BE63" s="612"/>
      <c r="BG63" s="616"/>
      <c r="BH63" s="617"/>
    </row>
    <row r="64" spans="3:61" s="16" customFormat="1" x14ac:dyDescent="0.25">
      <c r="C64" s="173" t="s">
        <v>583</v>
      </c>
      <c r="D64" s="422">
        <f>D14*D28+D15*D29+D16*D30+D17*D31+D18*D32</f>
        <v>1115394048.6600001</v>
      </c>
      <c r="E64" s="422">
        <f t="shared" ref="E64:AV64" si="26">E14*E28+E15*E29+E16*E30+E17*E31+E18*E32</f>
        <v>1191958611.0299997</v>
      </c>
      <c r="F64" s="422">
        <f t="shared" si="26"/>
        <v>1191437432.8800001</v>
      </c>
      <c r="G64" s="422">
        <f t="shared" si="26"/>
        <v>1178824312.1500001</v>
      </c>
      <c r="H64" s="422">
        <f t="shared" si="26"/>
        <v>1218287193.5800002</v>
      </c>
      <c r="I64" s="422">
        <f t="shared" si="26"/>
        <v>1590537095.4200001</v>
      </c>
      <c r="J64" s="422">
        <f t="shared" si="26"/>
        <v>1350446073.5700002</v>
      </c>
      <c r="K64" s="422">
        <f t="shared" si="26"/>
        <v>1893472381.1599998</v>
      </c>
      <c r="L64" s="422">
        <f t="shared" si="26"/>
        <v>1517593265.51</v>
      </c>
      <c r="M64" s="422">
        <f t="shared" si="26"/>
        <v>1443805115.5199997</v>
      </c>
      <c r="N64" s="422">
        <f t="shared" si="26"/>
        <v>1410741497.3499999</v>
      </c>
      <c r="O64" s="422">
        <f t="shared" si="26"/>
        <v>1131133232.1500001</v>
      </c>
      <c r="P64" s="422">
        <f t="shared" si="26"/>
        <v>1367321780.49</v>
      </c>
      <c r="Q64" s="422">
        <f t="shared" si="26"/>
        <v>1348143108.8099999</v>
      </c>
      <c r="R64" s="422">
        <f t="shared" si="26"/>
        <v>1694684729.8400002</v>
      </c>
      <c r="S64" s="422">
        <f t="shared" si="26"/>
        <v>1366242689.8600001</v>
      </c>
      <c r="T64" s="422">
        <f t="shared" si="26"/>
        <v>1436028268</v>
      </c>
      <c r="U64" s="422">
        <f t="shared" si="26"/>
        <v>1501047900</v>
      </c>
      <c r="V64" s="422">
        <f t="shared" si="26"/>
        <v>1815392800</v>
      </c>
      <c r="W64" s="422">
        <f t="shared" si="26"/>
        <v>1238681364</v>
      </c>
      <c r="X64" s="422">
        <f t="shared" si="26"/>
        <v>1788748700</v>
      </c>
      <c r="Y64" s="422">
        <f t="shared" si="26"/>
        <v>1254740300</v>
      </c>
      <c r="Z64" s="422">
        <f t="shared" si="26"/>
        <v>1921731500</v>
      </c>
      <c r="AA64" s="422">
        <f t="shared" si="26"/>
        <v>1987589896</v>
      </c>
      <c r="AB64" s="422">
        <f t="shared" si="26"/>
        <v>2373325896</v>
      </c>
      <c r="AC64" s="422">
        <f t="shared" si="26"/>
        <v>1745199400</v>
      </c>
      <c r="AD64" s="422">
        <f t="shared" si="26"/>
        <v>1549875600</v>
      </c>
      <c r="AE64" s="422">
        <f t="shared" si="26"/>
        <v>466540900</v>
      </c>
      <c r="AF64" s="422">
        <f t="shared" si="26"/>
        <v>642971590</v>
      </c>
      <c r="AG64" s="422">
        <f t="shared" si="26"/>
        <v>819147135</v>
      </c>
      <c r="AH64" s="422">
        <f t="shared" si="26"/>
        <v>1220454362.8999999</v>
      </c>
      <c r="AI64" s="422">
        <f t="shared" si="26"/>
        <v>1410566145.1000001</v>
      </c>
      <c r="AJ64" s="422">
        <f t="shared" si="26"/>
        <v>1471880662</v>
      </c>
      <c r="AK64" s="422">
        <f t="shared" si="26"/>
        <v>1710418645.4000001</v>
      </c>
      <c r="AL64" s="422">
        <f t="shared" si="26"/>
        <v>1725548889.7999997</v>
      </c>
      <c r="AM64" s="422">
        <f t="shared" si="26"/>
        <v>1375393238</v>
      </c>
      <c r="AN64" s="422">
        <f t="shared" si="26"/>
        <v>2103488244</v>
      </c>
      <c r="AO64" s="422">
        <f t="shared" si="26"/>
        <v>1683953266.5</v>
      </c>
      <c r="AP64" s="422">
        <f t="shared" si="26"/>
        <v>2204509038.873013</v>
      </c>
      <c r="AQ64" s="422">
        <f t="shared" si="26"/>
        <v>2106686028.4619653</v>
      </c>
      <c r="AR64" s="422">
        <f t="shared" si="26"/>
        <v>1573346188.9000001</v>
      </c>
      <c r="AS64" s="422">
        <f t="shared" si="26"/>
        <v>2154531231.3454466</v>
      </c>
      <c r="AT64" s="422">
        <f t="shared" si="26"/>
        <v>1800905398.1300001</v>
      </c>
      <c r="AU64" s="422">
        <f t="shared" si="26"/>
        <v>2592985132.5999999</v>
      </c>
      <c r="AV64" s="422">
        <f t="shared" si="26"/>
        <v>2931425607.3000002</v>
      </c>
      <c r="AW64" s="412">
        <f t="shared" si="11"/>
        <v>1569269686.5842319</v>
      </c>
      <c r="BD64" s="364" t="str">
        <f t="shared" si="4"/>
        <v>Byproduct Benefit</v>
      </c>
      <c r="BE64" s="612"/>
      <c r="BG64" s="616"/>
      <c r="BH64" s="617"/>
    </row>
    <row r="65" spans="2:59" s="16" customFormat="1" hidden="1" x14ac:dyDescent="0.25">
      <c r="C65" s="409" t="s">
        <v>351</v>
      </c>
      <c r="D65" s="410">
        <f t="shared" ref="D65:AV65" si="27">D62*D59/D26</f>
        <v>48787.625609122842</v>
      </c>
      <c r="E65" s="410">
        <f t="shared" si="27"/>
        <v>49262.559969631679</v>
      </c>
      <c r="F65" s="410">
        <f t="shared" si="27"/>
        <v>44513.888445061479</v>
      </c>
      <c r="G65" s="410">
        <f t="shared" si="27"/>
        <v>52670.03197948476</v>
      </c>
      <c r="H65" s="410">
        <f t="shared" si="27"/>
        <v>57691.888029935821</v>
      </c>
      <c r="I65" s="410">
        <f t="shared" si="27"/>
        <v>57488.365470689489</v>
      </c>
      <c r="J65" s="410">
        <f t="shared" si="27"/>
        <v>61049.284934068048</v>
      </c>
      <c r="K65" s="410">
        <f t="shared" si="27"/>
        <v>62503.850642332509</v>
      </c>
      <c r="L65" s="410">
        <f t="shared" si="27"/>
        <v>61776.032917316064</v>
      </c>
      <c r="M65" s="410">
        <f t="shared" si="27"/>
        <v>61872.475740271817</v>
      </c>
      <c r="N65" s="410">
        <f t="shared" si="27"/>
        <v>60463.214398455661</v>
      </c>
      <c r="O65" s="410">
        <f t="shared" si="27"/>
        <v>55870.108059745457</v>
      </c>
      <c r="P65" s="410">
        <f t="shared" si="27"/>
        <v>49203.26933457642</v>
      </c>
      <c r="Q65" s="410">
        <f t="shared" si="27"/>
        <v>46585.402582347684</v>
      </c>
      <c r="R65" s="410">
        <f t="shared" si="27"/>
        <v>47365.387641372276</v>
      </c>
      <c r="S65" s="410">
        <f t="shared" si="27"/>
        <v>47453.016126631017</v>
      </c>
      <c r="T65" s="410">
        <f t="shared" si="27"/>
        <v>50236.429624258286</v>
      </c>
      <c r="U65" s="410">
        <f t="shared" si="27"/>
        <v>47754.299395009628</v>
      </c>
      <c r="V65" s="410">
        <f t="shared" si="27"/>
        <v>48213.774606537874</v>
      </c>
      <c r="W65" s="410">
        <f t="shared" si="27"/>
        <v>45546.232463060805</v>
      </c>
      <c r="X65" s="410">
        <f t="shared" si="27"/>
        <v>42087.836980845452</v>
      </c>
      <c r="Y65" s="410">
        <f t="shared" si="27"/>
        <v>43683.970606822775</v>
      </c>
      <c r="Z65" s="410">
        <f t="shared" si="27"/>
        <v>45034.708959265306</v>
      </c>
      <c r="AA65" s="410">
        <f t="shared" si="27"/>
        <v>44177.855936060929</v>
      </c>
      <c r="AB65" s="410">
        <f t="shared" si="27"/>
        <v>47030.855670346049</v>
      </c>
      <c r="AC65" s="410">
        <f t="shared" si="27"/>
        <v>46821.813459765013</v>
      </c>
      <c r="AD65" s="410">
        <f t="shared" si="27"/>
        <v>41351.358667756562</v>
      </c>
      <c r="AE65" s="410">
        <f t="shared" si="27"/>
        <v>43339.060858132914</v>
      </c>
      <c r="AF65" s="410">
        <f t="shared" si="27"/>
        <v>40076.430947642904</v>
      </c>
      <c r="AG65" s="410">
        <f t="shared" si="27"/>
        <v>34030.226582675219</v>
      </c>
      <c r="AH65" s="410">
        <f t="shared" si="27"/>
        <v>40583.609845263847</v>
      </c>
      <c r="AI65" s="410">
        <f t="shared" si="27"/>
        <v>39208.826592681471</v>
      </c>
      <c r="AJ65" s="410">
        <f t="shared" si="27"/>
        <v>39247.228165012326</v>
      </c>
      <c r="AK65" s="410">
        <f t="shared" si="27"/>
        <v>40560.320658951132</v>
      </c>
      <c r="AL65" s="410">
        <f t="shared" si="27"/>
        <v>37370.230967477815</v>
      </c>
      <c r="AM65" s="410">
        <f t="shared" si="27"/>
        <v>39894.76521048123</v>
      </c>
      <c r="AN65" s="410">
        <f t="shared" si="27"/>
        <v>41402.628381357441</v>
      </c>
      <c r="AO65" s="410">
        <f t="shared" si="27"/>
        <v>47156.393432904042</v>
      </c>
      <c r="AP65" s="410">
        <f t="shared" si="27"/>
        <v>49866.510399044811</v>
      </c>
      <c r="AQ65" s="410">
        <f t="shared" si="27"/>
        <v>46457.645066025798</v>
      </c>
      <c r="AR65" s="410">
        <f t="shared" si="27"/>
        <v>46265.745992149576</v>
      </c>
      <c r="AS65" s="410">
        <f t="shared" si="27"/>
        <v>47707.598859977195</v>
      </c>
      <c r="AT65" s="410">
        <f t="shared" si="27"/>
        <v>54941.757005050029</v>
      </c>
      <c r="AU65" s="410">
        <f t="shared" si="27"/>
        <v>52749.689589543821</v>
      </c>
      <c r="AV65" s="410">
        <f t="shared" si="27"/>
        <v>54750.227754881314</v>
      </c>
      <c r="AW65" s="412">
        <f t="shared" si="11"/>
        <v>48046.765212445003</v>
      </c>
      <c r="BD65" s="364" t="str">
        <f t="shared" si="4"/>
        <v>Ethylene Cost of Production based on Byproducts</v>
      </c>
      <c r="BE65" s="601">
        <f>BE62*BE59/BE26</f>
        <v>47029.605856406946</v>
      </c>
      <c r="BG65" s="410">
        <f>BG62*BG59/BG26</f>
        <v>46721.761778013664</v>
      </c>
    </row>
    <row r="66" spans="2:59" s="16" customFormat="1" hidden="1" x14ac:dyDescent="0.25">
      <c r="C66" s="409" t="s">
        <v>352</v>
      </c>
      <c r="D66" s="410">
        <f t="shared" ref="D66:AV66" si="28">D60*D62/D27</f>
        <v>51127.085200790105</v>
      </c>
      <c r="E66" s="410">
        <f t="shared" si="28"/>
        <v>51793.343816102482</v>
      </c>
      <c r="F66" s="410">
        <f t="shared" si="28"/>
        <v>48241.698123780086</v>
      </c>
      <c r="G66" s="410">
        <f t="shared" si="28"/>
        <v>48021.939302512925</v>
      </c>
      <c r="H66" s="410">
        <f t="shared" si="28"/>
        <v>63628.426174184628</v>
      </c>
      <c r="I66" s="410">
        <f t="shared" si="28"/>
        <v>65076.394436536066</v>
      </c>
      <c r="J66" s="410">
        <f t="shared" si="28"/>
        <v>67453.802229097913</v>
      </c>
      <c r="K66" s="410">
        <f t="shared" si="28"/>
        <v>71128.387987754759</v>
      </c>
      <c r="L66" s="410">
        <f t="shared" si="28"/>
        <v>73187.022102349059</v>
      </c>
      <c r="M66" s="410">
        <f t="shared" si="28"/>
        <v>81380.501725863476</v>
      </c>
      <c r="N66" s="410">
        <f t="shared" si="28"/>
        <v>74535.391407612056</v>
      </c>
      <c r="O66" s="410">
        <f t="shared" si="28"/>
        <v>69311.750421659905</v>
      </c>
      <c r="P66" s="410">
        <f t="shared" si="28"/>
        <v>57974.789795551529</v>
      </c>
      <c r="Q66" s="410">
        <f t="shared" si="28"/>
        <v>57445.769986002953</v>
      </c>
      <c r="R66" s="410">
        <f t="shared" si="28"/>
        <v>62014.482810170346</v>
      </c>
      <c r="S66" s="410">
        <f t="shared" si="28"/>
        <v>62757.902424653061</v>
      </c>
      <c r="T66" s="410">
        <f t="shared" si="28"/>
        <v>68515.854983158875</v>
      </c>
      <c r="U66" s="410">
        <f t="shared" si="28"/>
        <v>59530.035321581337</v>
      </c>
      <c r="V66" s="410">
        <f t="shared" si="28"/>
        <v>58272.872700606989</v>
      </c>
      <c r="W66" s="410">
        <f t="shared" si="28"/>
        <v>53615.949671580849</v>
      </c>
      <c r="X66" s="410">
        <f t="shared" si="28"/>
        <v>48595.273965434761</v>
      </c>
      <c r="Y66" s="410">
        <f t="shared" si="28"/>
        <v>56302.435164660055</v>
      </c>
      <c r="Z66" s="410">
        <f t="shared" si="28"/>
        <v>56621.270122208225</v>
      </c>
      <c r="AA66" s="410">
        <f t="shared" si="28"/>
        <v>57060.259278631158</v>
      </c>
      <c r="AB66" s="410">
        <f t="shared" si="28"/>
        <v>60705.96361943071</v>
      </c>
      <c r="AC66" s="410">
        <f t="shared" si="28"/>
        <v>59778.105455170917</v>
      </c>
      <c r="AD66" s="410">
        <f t="shared" si="28"/>
        <v>46688.103815019138</v>
      </c>
      <c r="AE66" s="410">
        <f t="shared" si="28"/>
        <v>53709.130860834164</v>
      </c>
      <c r="AF66" s="410">
        <f t="shared" si="28"/>
        <v>46261.946387033786</v>
      </c>
      <c r="AG66" s="410">
        <f t="shared" si="28"/>
        <v>44207.474930281278</v>
      </c>
      <c r="AH66" s="410">
        <f t="shared" si="28"/>
        <v>48764.748583093373</v>
      </c>
      <c r="AI66" s="410">
        <f t="shared" si="28"/>
        <v>46556.210329706497</v>
      </c>
      <c r="AJ66" s="410">
        <f t="shared" si="28"/>
        <v>48044.067050582002</v>
      </c>
      <c r="AK66" s="410">
        <f t="shared" si="28"/>
        <v>47364.251036970782</v>
      </c>
      <c r="AL66" s="410">
        <f t="shared" si="28"/>
        <v>48215.52320669101</v>
      </c>
      <c r="AM66" s="410">
        <f t="shared" si="28"/>
        <v>53797.064187062111</v>
      </c>
      <c r="AN66" s="410">
        <f t="shared" si="28"/>
        <v>52765.513691800799</v>
      </c>
      <c r="AO66" s="410">
        <f t="shared" si="28"/>
        <v>61984.554876937924</v>
      </c>
      <c r="AP66" s="410">
        <f t="shared" si="28"/>
        <v>66302.028871124829</v>
      </c>
      <c r="AQ66" s="410">
        <f t="shared" si="28"/>
        <v>62554.157248140677</v>
      </c>
      <c r="AR66" s="410">
        <f t="shared" si="28"/>
        <v>65459.413136934403</v>
      </c>
      <c r="AS66" s="410">
        <f t="shared" si="28"/>
        <v>64849.448060427443</v>
      </c>
      <c r="AT66" s="410">
        <f t="shared" si="28"/>
        <v>78930.497121044697</v>
      </c>
      <c r="AU66" s="410">
        <f t="shared" si="28"/>
        <v>72709.232262696052</v>
      </c>
      <c r="AV66" s="410">
        <f t="shared" si="28"/>
        <v>73207.524992976891</v>
      </c>
      <c r="AW66" s="412">
        <f t="shared" si="11"/>
        <v>59254.39108614318</v>
      </c>
      <c r="BD66" s="364" t="str">
        <f t="shared" si="4"/>
        <v>Propylene Cost of Production based on Byproducts</v>
      </c>
      <c r="BE66" s="601">
        <f>BE60*BE62/BE27</f>
        <v>63369.601734859636</v>
      </c>
      <c r="BG66" s="410">
        <f>BG60*BG62/BG27</f>
        <v>62954.800115986203</v>
      </c>
    </row>
    <row r="67" spans="2:59" s="16" customFormat="1" hidden="1" x14ac:dyDescent="0.25">
      <c r="C67" s="409" t="s">
        <v>366</v>
      </c>
      <c r="D67" s="423">
        <f t="shared" ref="D67:AV67" si="29">D40-D65</f>
        <v>9187.9143908771584</v>
      </c>
      <c r="E67" s="423">
        <f t="shared" si="29"/>
        <v>10593.400030368321</v>
      </c>
      <c r="F67" s="423">
        <f t="shared" si="29"/>
        <v>8808.7115549385198</v>
      </c>
      <c r="G67" s="423">
        <f t="shared" si="29"/>
        <v>8930.918020515237</v>
      </c>
      <c r="H67" s="423">
        <f t="shared" si="29"/>
        <v>12493.841970064175</v>
      </c>
      <c r="I67" s="423">
        <f t="shared" si="29"/>
        <v>6577.2045293105111</v>
      </c>
      <c r="J67" s="423">
        <f t="shared" si="29"/>
        <v>3946.1150659319537</v>
      </c>
      <c r="K67" s="423">
        <f t="shared" si="29"/>
        <v>4780.8593576674975</v>
      </c>
      <c r="L67" s="423">
        <f t="shared" si="29"/>
        <v>3569.2570826839365</v>
      </c>
      <c r="M67" s="423">
        <f t="shared" si="29"/>
        <v>7270.6742597281773</v>
      </c>
      <c r="N67" s="423">
        <f t="shared" si="29"/>
        <v>6404.2556015443406</v>
      </c>
      <c r="O67" s="423">
        <f t="shared" si="29"/>
        <v>3311.9019402545455</v>
      </c>
      <c r="P67" s="423">
        <f t="shared" si="29"/>
        <v>5132.2306654235799</v>
      </c>
      <c r="Q67" s="423">
        <f t="shared" si="29"/>
        <v>5887.1474176523188</v>
      </c>
      <c r="R67" s="423">
        <f t="shared" si="29"/>
        <v>6505.712358627723</v>
      </c>
      <c r="S67" s="423">
        <f t="shared" si="29"/>
        <v>4722.1638733689833</v>
      </c>
      <c r="T67" s="423">
        <f t="shared" si="29"/>
        <v>4135.5803757417161</v>
      </c>
      <c r="U67" s="423">
        <f t="shared" si="29"/>
        <v>3737.9206049903732</v>
      </c>
      <c r="V67" s="423">
        <f t="shared" si="29"/>
        <v>5412.2453934621226</v>
      </c>
      <c r="W67" s="423">
        <f t="shared" si="29"/>
        <v>6824.7175369391916</v>
      </c>
      <c r="X67" s="423">
        <f t="shared" si="29"/>
        <v>9605.3630191545453</v>
      </c>
      <c r="Y67" s="423">
        <f t="shared" si="29"/>
        <v>6940.6493931772275</v>
      </c>
      <c r="Z67" s="423">
        <f t="shared" si="29"/>
        <v>9525.2410407346906</v>
      </c>
      <c r="AA67" s="423">
        <f t="shared" si="29"/>
        <v>8760.2140639390709</v>
      </c>
      <c r="AB67" s="423">
        <f t="shared" si="29"/>
        <v>10836.28432965395</v>
      </c>
      <c r="AC67" s="423">
        <f t="shared" si="29"/>
        <v>7845.5965402349902</v>
      </c>
      <c r="AD67" s="423">
        <f t="shared" si="29"/>
        <v>7667.1213322434414</v>
      </c>
      <c r="AE67" s="423">
        <f t="shared" si="29"/>
        <v>5968.4991418670834</v>
      </c>
      <c r="AF67" s="423">
        <f t="shared" si="29"/>
        <v>5256.1490523570974</v>
      </c>
      <c r="AG67" s="423">
        <f t="shared" si="29"/>
        <v>6206.5634173247818</v>
      </c>
      <c r="AH67" s="423">
        <f t="shared" si="29"/>
        <v>5562.2501547361535</v>
      </c>
      <c r="AI67" s="423">
        <f t="shared" si="29"/>
        <v>6544.6934073185257</v>
      </c>
      <c r="AJ67" s="423">
        <f t="shared" si="29"/>
        <v>7285.761834987672</v>
      </c>
      <c r="AK67" s="423">
        <f t="shared" si="29"/>
        <v>8861.4993410488678</v>
      </c>
      <c r="AL67" s="423">
        <f t="shared" si="29"/>
        <v>8733.5590325221856</v>
      </c>
      <c r="AM67" s="423">
        <f t="shared" si="29"/>
        <v>7971.8947895187739</v>
      </c>
      <c r="AN67" s="423">
        <f t="shared" si="29"/>
        <v>11183.861618642557</v>
      </c>
      <c r="AO67" s="423">
        <f t="shared" si="29"/>
        <v>8931.9065670959608</v>
      </c>
      <c r="AP67" s="423">
        <f t="shared" si="29"/>
        <v>9799.1096009551911</v>
      </c>
      <c r="AQ67" s="423">
        <f t="shared" si="29"/>
        <v>10522.104933974202</v>
      </c>
      <c r="AR67" s="423">
        <f t="shared" si="29"/>
        <v>8150.8240078504241</v>
      </c>
      <c r="AS67" s="423">
        <f t="shared" si="29"/>
        <v>10316.661140022807</v>
      </c>
      <c r="AT67" s="423">
        <f t="shared" si="29"/>
        <v>8472.8729949499684</v>
      </c>
      <c r="AU67" s="423">
        <f t="shared" si="29"/>
        <v>12047.480410456177</v>
      </c>
      <c r="AV67" s="423">
        <f t="shared" si="29"/>
        <v>13585.112245118682</v>
      </c>
      <c r="AW67" s="412">
        <f t="shared" si="11"/>
        <v>7662.5343431105657</v>
      </c>
      <c r="BD67" s="364" t="str">
        <f t="shared" si="4"/>
        <v>Ethylene COP difference between SAP vs Byproducts basis</v>
      </c>
      <c r="BE67" s="602">
        <f>BE40-BE65</f>
        <v>8679.6936991486</v>
      </c>
      <c r="BG67" s="423">
        <f>BG40-BG65</f>
        <v>8987.537777541882</v>
      </c>
    </row>
    <row r="68" spans="2:59" s="16" customFormat="1" hidden="1" x14ac:dyDescent="0.25">
      <c r="C68" s="409" t="s">
        <v>367</v>
      </c>
      <c r="D68" s="423">
        <f t="shared" ref="D68:AV68" si="30">D41-D66</f>
        <v>-1842.2152007901022</v>
      </c>
      <c r="E68" s="423">
        <f t="shared" si="30"/>
        <v>-2085.6338161024833</v>
      </c>
      <c r="F68" s="423">
        <f t="shared" si="30"/>
        <v>-2068.8481237800879</v>
      </c>
      <c r="G68" s="423">
        <f t="shared" si="30"/>
        <v>6377.1906974870726</v>
      </c>
      <c r="H68" s="423">
        <f t="shared" si="30"/>
        <v>-5542.9961741846273</v>
      </c>
      <c r="I68" s="423">
        <f t="shared" si="30"/>
        <v>-222.14443653606577</v>
      </c>
      <c r="J68" s="423">
        <f t="shared" si="30"/>
        <v>172.74777090208954</v>
      </c>
      <c r="K68" s="423">
        <f t="shared" si="30"/>
        <v>-1785.037987754753</v>
      </c>
      <c r="L68" s="423">
        <f t="shared" si="30"/>
        <v>665.56789765093708</v>
      </c>
      <c r="M68" s="423">
        <f t="shared" si="30"/>
        <v>-8928.0917258634727</v>
      </c>
      <c r="N68" s="423">
        <f t="shared" si="30"/>
        <v>-7832.1014076120628</v>
      </c>
      <c r="O68" s="423">
        <f t="shared" si="30"/>
        <v>-4952.9204216599028</v>
      </c>
      <c r="P68" s="423">
        <f t="shared" si="30"/>
        <v>-3261.5297955515271</v>
      </c>
      <c r="Q68" s="423">
        <f t="shared" si="30"/>
        <v>-3840.8499860029551</v>
      </c>
      <c r="R68" s="423">
        <f t="shared" si="30"/>
        <v>-5174.532810170349</v>
      </c>
      <c r="S68" s="423">
        <f t="shared" si="30"/>
        <v>-4418.6124246530599</v>
      </c>
      <c r="T68" s="423">
        <f t="shared" si="30"/>
        <v>-5934.8749831588721</v>
      </c>
      <c r="U68" s="423">
        <f t="shared" si="30"/>
        <v>-1243.635321581336</v>
      </c>
      <c r="V68" s="423">
        <f t="shared" si="30"/>
        <v>-2974.3127006069917</v>
      </c>
      <c r="W68" s="423">
        <f t="shared" si="30"/>
        <v>-337.31967158085172</v>
      </c>
      <c r="X68" s="423">
        <f t="shared" si="30"/>
        <v>1344.2460345652362</v>
      </c>
      <c r="Y68" s="423">
        <f t="shared" si="30"/>
        <v>-839.52516466005181</v>
      </c>
      <c r="Z68" s="423">
        <f t="shared" si="30"/>
        <v>-6163.6801222082286</v>
      </c>
      <c r="AA68" s="423">
        <f t="shared" si="30"/>
        <v>-2073.0592786311609</v>
      </c>
      <c r="AB68" s="423">
        <f t="shared" si="30"/>
        <v>-3965.623619430713</v>
      </c>
      <c r="AC68" s="423">
        <f t="shared" si="30"/>
        <v>-3703.3454551709146</v>
      </c>
      <c r="AD68" s="423">
        <f t="shared" si="30"/>
        <v>-208.9938150191374</v>
      </c>
      <c r="AE68" s="423">
        <f t="shared" si="30"/>
        <v>-7603.3008608341624</v>
      </c>
      <c r="AF68" s="423">
        <f t="shared" si="30"/>
        <v>-7575.6763870337891</v>
      </c>
      <c r="AG68" s="423">
        <f t="shared" si="30"/>
        <v>-6207.48493028128</v>
      </c>
      <c r="AH68" s="423">
        <f t="shared" si="30"/>
        <v>-4884.9085830933764</v>
      </c>
      <c r="AI68" s="423">
        <f t="shared" si="30"/>
        <v>-3523.5503297064934</v>
      </c>
      <c r="AJ68" s="423">
        <f t="shared" si="30"/>
        <v>-2942.4670505820031</v>
      </c>
      <c r="AK68" s="423">
        <f t="shared" si="30"/>
        <v>-3465.5910369707781</v>
      </c>
      <c r="AL68" s="423">
        <f t="shared" si="30"/>
        <v>-2939.4632066910126</v>
      </c>
      <c r="AM68" s="423">
        <f t="shared" si="30"/>
        <v>-1972.7741870621103</v>
      </c>
      <c r="AN68" s="423">
        <f t="shared" si="30"/>
        <v>-3763.7836918007961</v>
      </c>
      <c r="AO68" s="423">
        <f t="shared" si="30"/>
        <v>-8800.4348769379212</v>
      </c>
      <c r="AP68" s="423">
        <f t="shared" si="30"/>
        <v>-10692.918871124828</v>
      </c>
      <c r="AQ68" s="423">
        <f t="shared" si="30"/>
        <v>-7403.3372481406768</v>
      </c>
      <c r="AR68" s="423">
        <f t="shared" si="30"/>
        <v>-7180.1631369344032</v>
      </c>
      <c r="AS68" s="423">
        <f t="shared" si="30"/>
        <v>-7886.6380604274455</v>
      </c>
      <c r="AT68" s="423">
        <f t="shared" si="30"/>
        <v>-14845.837121044693</v>
      </c>
      <c r="AU68" s="423">
        <f t="shared" si="30"/>
        <v>-10141.882262696054</v>
      </c>
      <c r="AV68" s="423">
        <f t="shared" si="30"/>
        <v>-11052.16499297689</v>
      </c>
      <c r="AW68" s="412">
        <f t="shared" si="11"/>
        <v>-4304.9446416987348</v>
      </c>
      <c r="BD68" s="364" t="str">
        <f t="shared" si="4"/>
        <v>Propylene COP difference between SAP vs Byproducts basis</v>
      </c>
      <c r="BE68" s="602">
        <f>BE41-BE66</f>
        <v>-8420.1552904151831</v>
      </c>
      <c r="BG68" s="423">
        <f>BG41-BG66</f>
        <v>-8005.3536715417504</v>
      </c>
    </row>
    <row r="69" spans="2:59" s="361" customFormat="1" ht="30" x14ac:dyDescent="0.25">
      <c r="C69" s="173" t="s">
        <v>607</v>
      </c>
      <c r="D69" s="422">
        <f>D35*1.2*$D$4*D11+2.4*D11*$D$4*D37+0.75*D49*D36</f>
        <v>51259852.966338553</v>
      </c>
      <c r="E69" s="422">
        <f t="shared" ref="E69:AV69" si="31">E35*1.2*$D$4*E11+2.4*E11*$D$4*E37+0.75*E49*E36</f>
        <v>73359520.209504351</v>
      </c>
      <c r="F69" s="422">
        <f t="shared" si="31"/>
        <v>92483963.250183508</v>
      </c>
      <c r="G69" s="422">
        <f t="shared" si="31"/>
        <v>45663177.795273237</v>
      </c>
      <c r="H69" s="422">
        <f t="shared" si="31"/>
        <v>67627104.190208882</v>
      </c>
      <c r="I69" s="422">
        <f t="shared" si="31"/>
        <v>102944192.83904696</v>
      </c>
      <c r="J69" s="422">
        <f t="shared" si="31"/>
        <v>106828078.28293064</v>
      </c>
      <c r="K69" s="422">
        <f t="shared" si="31"/>
        <v>122164292.06725845</v>
      </c>
      <c r="L69" s="422">
        <f t="shared" si="31"/>
        <v>113154636.3490513</v>
      </c>
      <c r="M69" s="422">
        <f t="shared" si="31"/>
        <v>107444380.15458715</v>
      </c>
      <c r="N69" s="422">
        <f t="shared" si="31"/>
        <v>88079712.03313908</v>
      </c>
      <c r="O69" s="422">
        <f t="shared" si="31"/>
        <v>92352945.422372878</v>
      </c>
      <c r="P69" s="422">
        <f t="shared" si="31"/>
        <v>103647749.02075055</v>
      </c>
      <c r="Q69" s="422">
        <f t="shared" si="31"/>
        <v>113987901.36662714</v>
      </c>
      <c r="R69" s="422">
        <f t="shared" si="31"/>
        <v>121951899.72492139</v>
      </c>
      <c r="S69" s="422">
        <f t="shared" si="31"/>
        <v>93093832.818450436</v>
      </c>
      <c r="T69" s="422">
        <f t="shared" si="31"/>
        <v>84982643.161698297</v>
      </c>
      <c r="U69" s="422">
        <f t="shared" si="31"/>
        <v>88852140.905568406</v>
      </c>
      <c r="V69" s="422">
        <f t="shared" si="31"/>
        <v>104787305.44659954</v>
      </c>
      <c r="W69" s="422">
        <f t="shared" si="31"/>
        <v>66052222.45685336</v>
      </c>
      <c r="X69" s="422">
        <f t="shared" si="31"/>
        <v>69667850.946247116</v>
      </c>
      <c r="Y69" s="422">
        <f t="shared" si="31"/>
        <v>85472854.911451548</v>
      </c>
      <c r="Z69" s="422">
        <f t="shared" si="31"/>
        <v>93266384.428696573</v>
      </c>
      <c r="AA69" s="422">
        <f t="shared" si="31"/>
        <v>117473164.57893364</v>
      </c>
      <c r="AB69" s="422">
        <f t="shared" si="31"/>
        <v>92384107.148454159</v>
      </c>
      <c r="AC69" s="422">
        <f t="shared" si="31"/>
        <v>83273455.84302181</v>
      </c>
      <c r="AD69" s="422">
        <f t="shared" si="31"/>
        <v>50385089.683405146</v>
      </c>
      <c r="AE69" s="422">
        <f t="shared" si="31"/>
        <v>38119311.847747028</v>
      </c>
      <c r="AF69" s="422">
        <f t="shared" si="31"/>
        <v>51639200.624519154</v>
      </c>
      <c r="AG69" s="422">
        <f t="shared" si="31"/>
        <v>47026542.746773571</v>
      </c>
      <c r="AH69" s="422">
        <f t="shared" si="31"/>
        <v>53335831.739787474</v>
      </c>
      <c r="AI69" s="422">
        <f t="shared" si="31"/>
        <v>63459044.173899084</v>
      </c>
      <c r="AJ69" s="422">
        <f t="shared" si="31"/>
        <v>72565744.366268814</v>
      </c>
      <c r="AK69" s="422">
        <f t="shared" si="31"/>
        <v>86480203.132941589</v>
      </c>
      <c r="AL69" s="422">
        <f t="shared" si="31"/>
        <v>96143230.37173301</v>
      </c>
      <c r="AM69" s="422">
        <f t="shared" si="31"/>
        <v>84936710.643596664</v>
      </c>
      <c r="AN69" s="422">
        <f t="shared" si="31"/>
        <v>120662541.98378541</v>
      </c>
      <c r="AO69" s="422">
        <f t="shared" si="31"/>
        <v>143968438.69083747</v>
      </c>
      <c r="AP69" s="422">
        <f t="shared" si="31"/>
        <v>153350137.92963064</v>
      </c>
      <c r="AQ69" s="422">
        <f t="shared" si="31"/>
        <v>98018112.788320333</v>
      </c>
      <c r="AR69" s="422">
        <f t="shared" si="31"/>
        <v>83845415.335083887</v>
      </c>
      <c r="AS69" s="422">
        <f t="shared" si="31"/>
        <v>108554828.84273267</v>
      </c>
      <c r="AT69" s="422">
        <f t="shared" si="31"/>
        <v>105852558.33174923</v>
      </c>
      <c r="AU69" s="422">
        <f t="shared" si="31"/>
        <v>151766507.96086666</v>
      </c>
      <c r="AV69" s="422">
        <f t="shared" si="31"/>
        <v>171965495.3181302</v>
      </c>
      <c r="AW69" s="412">
        <f t="shared" si="11"/>
        <v>92540673.662888393</v>
      </c>
      <c r="AX69" s="9"/>
      <c r="AY69" s="9"/>
      <c r="AZ69" s="9"/>
      <c r="BA69" s="9"/>
      <c r="BB69" s="9"/>
      <c r="BC69" s="9"/>
      <c r="BD69" s="364" t="str">
        <f t="shared" si="4"/>
        <v>Other Byproducts Benefit-Fuel Gas, Hydrogen and Condensate</v>
      </c>
      <c r="BE69" s="9"/>
      <c r="BG69" s="9"/>
    </row>
    <row r="70" spans="2:59" s="361" customFormat="1" x14ac:dyDescent="0.25">
      <c r="C70" s="172"/>
      <c r="D70" s="334"/>
      <c r="E70" s="334"/>
      <c r="F70" s="334"/>
      <c r="G70" s="334"/>
      <c r="H70" s="334"/>
      <c r="I70" s="334"/>
      <c r="J70" s="334"/>
      <c r="K70" s="334"/>
      <c r="L70" s="334"/>
      <c r="M70" s="334"/>
      <c r="N70" s="334"/>
      <c r="O70" s="334"/>
      <c r="P70" s="334"/>
      <c r="Q70" s="334"/>
      <c r="R70" s="334"/>
      <c r="S70" s="334"/>
      <c r="T70" s="334"/>
      <c r="U70" s="334"/>
      <c r="V70" s="334"/>
      <c r="W70" s="334"/>
      <c r="X70" s="334"/>
      <c r="Y70" s="334"/>
      <c r="Z70" s="334"/>
      <c r="AA70" s="334"/>
      <c r="AB70" s="334"/>
      <c r="AC70" s="334"/>
      <c r="AD70" s="334"/>
      <c r="AE70" s="334"/>
      <c r="AF70" s="334"/>
      <c r="AG70" s="334"/>
      <c r="AH70" s="334"/>
      <c r="AI70" s="334"/>
      <c r="AJ70" s="334"/>
      <c r="AK70" s="334"/>
      <c r="AL70" s="334"/>
      <c r="AM70" s="334"/>
      <c r="AN70" s="182"/>
      <c r="AO70" s="182"/>
      <c r="AP70" s="182"/>
      <c r="AQ70" s="9"/>
      <c r="AR70" s="9"/>
      <c r="AS70" s="9"/>
      <c r="AT70" s="9"/>
      <c r="AU70" s="9"/>
      <c r="AV70" s="9"/>
      <c r="AW70" s="9"/>
      <c r="AX70" s="9"/>
      <c r="AY70" s="9"/>
      <c r="AZ70" s="9"/>
      <c r="BA70" s="9"/>
      <c r="BB70" s="9"/>
      <c r="BC70" s="9"/>
      <c r="BD70" s="364">
        <f t="shared" si="4"/>
        <v>0</v>
      </c>
      <c r="BE70" s="9"/>
      <c r="BG70" s="9"/>
    </row>
    <row r="71" spans="2:59" s="361" customFormat="1" x14ac:dyDescent="0.25">
      <c r="C71" s="172"/>
      <c r="D71" s="334"/>
      <c r="E71" s="334"/>
      <c r="F71" s="334"/>
      <c r="G71" s="334"/>
      <c r="H71" s="334"/>
      <c r="I71" s="334"/>
      <c r="J71" s="334"/>
      <c r="K71" s="334"/>
      <c r="L71" s="334"/>
      <c r="M71" s="334"/>
      <c r="N71" s="334"/>
      <c r="O71" s="334"/>
      <c r="P71" s="334"/>
      <c r="Q71" s="334"/>
      <c r="R71" s="334"/>
      <c r="S71" s="334"/>
      <c r="T71" s="334"/>
      <c r="U71" s="334"/>
      <c r="V71" s="334"/>
      <c r="W71" s="334"/>
      <c r="X71" s="334"/>
      <c r="Y71" s="334"/>
      <c r="Z71" s="334"/>
      <c r="AA71" s="334"/>
      <c r="AB71" s="334"/>
      <c r="AC71" s="334"/>
      <c r="AD71" s="334"/>
      <c r="AE71" s="334"/>
      <c r="AF71" s="334"/>
      <c r="AG71" s="334"/>
      <c r="AH71" s="334"/>
      <c r="AI71" s="334"/>
      <c r="AJ71" s="334"/>
      <c r="AK71" s="334"/>
      <c r="AL71" s="334"/>
      <c r="AM71" s="334"/>
      <c r="AN71" s="182"/>
      <c r="AO71" s="182"/>
      <c r="AP71" s="182"/>
      <c r="AQ71" s="9"/>
      <c r="AR71" s="9"/>
      <c r="AS71" s="9"/>
      <c r="AT71" s="9"/>
      <c r="AU71" s="9"/>
      <c r="AV71" s="9"/>
      <c r="AW71" s="9"/>
      <c r="AX71" s="9"/>
      <c r="AY71" s="9"/>
      <c r="AZ71" s="9"/>
      <c r="BA71" s="9"/>
      <c r="BB71" s="9"/>
      <c r="BC71" s="9"/>
      <c r="BD71" s="364">
        <f t="shared" si="4"/>
        <v>0</v>
      </c>
      <c r="BE71" s="9"/>
      <c r="BG71" s="9"/>
    </row>
    <row r="72" spans="2:59" x14ac:dyDescent="0.25">
      <c r="B72" s="16"/>
      <c r="C72" s="973" t="s">
        <v>157</v>
      </c>
      <c r="D72" s="973"/>
      <c r="E72" s="973"/>
      <c r="F72" s="973"/>
      <c r="G72" s="973"/>
      <c r="H72" s="973"/>
      <c r="I72" s="973"/>
      <c r="J72" s="973"/>
      <c r="K72" s="973"/>
      <c r="L72" s="973"/>
      <c r="M72" s="973"/>
      <c r="N72" s="973"/>
      <c r="O72" s="973"/>
      <c r="P72" s="973"/>
      <c r="Q72" s="973"/>
      <c r="R72" s="973"/>
      <c r="S72" s="973"/>
      <c r="T72" s="973"/>
      <c r="U72" s="973"/>
      <c r="V72" s="973"/>
      <c r="W72" s="973"/>
      <c r="X72" s="973"/>
      <c r="Y72" s="973"/>
      <c r="Z72" s="973"/>
      <c r="AA72" s="973"/>
      <c r="AB72" s="973"/>
      <c r="AC72" s="973"/>
      <c r="AD72" s="973"/>
      <c r="AE72" s="974"/>
      <c r="AF72" s="974"/>
      <c r="AG72" s="974"/>
      <c r="AH72" s="974"/>
      <c r="AI72" s="974"/>
      <c r="AJ72" s="974"/>
      <c r="AK72" s="974"/>
      <c r="AL72" s="974"/>
      <c r="AM72" s="974"/>
      <c r="AN72" s="974"/>
      <c r="AO72" s="974"/>
      <c r="AP72" s="974"/>
      <c r="AQ72" s="974"/>
      <c r="AR72" s="974"/>
      <c r="AS72" s="974"/>
      <c r="AT72" s="974"/>
      <c r="AU72" s="974"/>
      <c r="AV72" s="974"/>
      <c r="AW72" s="974"/>
      <c r="BD72" s="364" t="str">
        <f t="shared" si="4"/>
        <v>PVC  Prices India- (Data by Chemanalyst)</v>
      </c>
      <c r="BE72"/>
    </row>
    <row r="73" spans="2:59" x14ac:dyDescent="0.25">
      <c r="B73" s="16"/>
      <c r="C73" s="414" t="s">
        <v>156</v>
      </c>
      <c r="D73" s="415">
        <v>68800</v>
      </c>
      <c r="E73" s="415">
        <v>70300</v>
      </c>
      <c r="F73" s="415">
        <v>74650</v>
      </c>
      <c r="G73" s="415">
        <v>74650</v>
      </c>
      <c r="H73" s="415">
        <v>74038</v>
      </c>
      <c r="I73" s="415">
        <v>77038</v>
      </c>
      <c r="J73" s="415">
        <v>85370</v>
      </c>
      <c r="K73" s="415">
        <v>86820</v>
      </c>
      <c r="L73" s="415">
        <v>87660</v>
      </c>
      <c r="M73" s="415">
        <v>84450</v>
      </c>
      <c r="N73" s="415">
        <v>87130</v>
      </c>
      <c r="O73" s="415">
        <v>85840</v>
      </c>
      <c r="P73" s="415">
        <v>69920</v>
      </c>
      <c r="Q73" s="415">
        <v>73060</v>
      </c>
      <c r="R73" s="415">
        <v>73390</v>
      </c>
      <c r="S73" s="415">
        <v>71080</v>
      </c>
      <c r="T73" s="415">
        <v>71100</v>
      </c>
      <c r="U73" s="415">
        <v>69220</v>
      </c>
      <c r="V73" s="415">
        <v>73140</v>
      </c>
      <c r="W73" s="415">
        <v>75100</v>
      </c>
      <c r="X73" s="415">
        <v>76560</v>
      </c>
      <c r="Y73" s="415">
        <v>75820</v>
      </c>
      <c r="Z73" s="415">
        <v>74240</v>
      </c>
      <c r="AA73" s="415">
        <v>74180</v>
      </c>
      <c r="AB73" s="415">
        <v>74790</v>
      </c>
      <c r="AC73" s="415">
        <v>76180</v>
      </c>
      <c r="AD73" s="415">
        <v>75130</v>
      </c>
      <c r="AE73" s="415">
        <v>70280</v>
      </c>
      <c r="AF73" s="415">
        <v>65840</v>
      </c>
      <c r="AG73" s="415">
        <v>73050</v>
      </c>
      <c r="AH73" s="415">
        <v>75370</v>
      </c>
      <c r="AI73" s="415">
        <v>78360</v>
      </c>
      <c r="AJ73" s="415">
        <v>85450</v>
      </c>
      <c r="AK73" s="415">
        <v>93490</v>
      </c>
      <c r="AL73" s="415">
        <v>98520</v>
      </c>
      <c r="AM73" s="415">
        <v>110130</v>
      </c>
      <c r="AN73" s="415">
        <v>118350</v>
      </c>
      <c r="AO73" s="415">
        <v>118720</v>
      </c>
      <c r="AP73" s="415">
        <v>130090</v>
      </c>
      <c r="AQ73" s="415">
        <v>133480</v>
      </c>
      <c r="AR73" s="415">
        <v>134090</v>
      </c>
      <c r="AS73" s="415">
        <v>124550</v>
      </c>
      <c r="AT73" s="415">
        <v>118450</v>
      </c>
      <c r="AU73" s="415">
        <v>126560</v>
      </c>
      <c r="AV73" s="415">
        <v>132725.1</v>
      </c>
      <c r="AW73" s="412">
        <f>AVERAGE(D73:AV73)</f>
        <v>87714.691111111111</v>
      </c>
      <c r="BD73" s="364" t="str">
        <f t="shared" si="4"/>
        <v>PVC Suspension  rigid grade K67 Ex Mumbai (India)</v>
      </c>
      <c r="BE73" s="603">
        <v>132725.1</v>
      </c>
      <c r="BG73" s="415">
        <v>132725.1</v>
      </c>
    </row>
    <row r="74" spans="2:59" s="16" customFormat="1" ht="30" x14ac:dyDescent="0.25">
      <c r="C74" s="416" t="s">
        <v>368</v>
      </c>
      <c r="D74" s="417">
        <f>D73*0.97</f>
        <v>66736</v>
      </c>
      <c r="E74" s="417">
        <f t="shared" ref="E74:AV74" si="32">E73*0.97</f>
        <v>68191</v>
      </c>
      <c r="F74" s="417">
        <f t="shared" si="32"/>
        <v>72410.5</v>
      </c>
      <c r="G74" s="417">
        <f t="shared" si="32"/>
        <v>72410.5</v>
      </c>
      <c r="H74" s="417">
        <f t="shared" si="32"/>
        <v>71816.86</v>
      </c>
      <c r="I74" s="417">
        <f t="shared" si="32"/>
        <v>74726.86</v>
      </c>
      <c r="J74" s="417">
        <f t="shared" si="32"/>
        <v>82808.899999999994</v>
      </c>
      <c r="K74" s="417">
        <f t="shared" si="32"/>
        <v>84215.4</v>
      </c>
      <c r="L74" s="417">
        <f t="shared" si="32"/>
        <v>85030.2</v>
      </c>
      <c r="M74" s="417">
        <f t="shared" si="32"/>
        <v>81916.5</v>
      </c>
      <c r="N74" s="417">
        <f t="shared" si="32"/>
        <v>84516.099999999991</v>
      </c>
      <c r="O74" s="417">
        <f t="shared" si="32"/>
        <v>83264.800000000003</v>
      </c>
      <c r="P74" s="417">
        <f t="shared" si="32"/>
        <v>67822.399999999994</v>
      </c>
      <c r="Q74" s="417">
        <f t="shared" si="32"/>
        <v>70868.2</v>
      </c>
      <c r="R74" s="417">
        <f t="shared" si="32"/>
        <v>71188.3</v>
      </c>
      <c r="S74" s="417">
        <f t="shared" si="32"/>
        <v>68947.599999999991</v>
      </c>
      <c r="T74" s="417">
        <f t="shared" si="32"/>
        <v>68967</v>
      </c>
      <c r="U74" s="417">
        <f t="shared" si="32"/>
        <v>67143.399999999994</v>
      </c>
      <c r="V74" s="417">
        <f t="shared" si="32"/>
        <v>70945.8</v>
      </c>
      <c r="W74" s="417">
        <f t="shared" si="32"/>
        <v>72847</v>
      </c>
      <c r="X74" s="417">
        <f t="shared" si="32"/>
        <v>74263.199999999997</v>
      </c>
      <c r="Y74" s="417">
        <f t="shared" si="32"/>
        <v>73545.399999999994</v>
      </c>
      <c r="Z74" s="417">
        <f t="shared" si="32"/>
        <v>72012.800000000003</v>
      </c>
      <c r="AA74" s="417">
        <f t="shared" si="32"/>
        <v>71954.599999999991</v>
      </c>
      <c r="AB74" s="417">
        <f t="shared" si="32"/>
        <v>72546.3</v>
      </c>
      <c r="AC74" s="417">
        <f t="shared" si="32"/>
        <v>73894.599999999991</v>
      </c>
      <c r="AD74" s="417">
        <f t="shared" si="32"/>
        <v>72876.099999999991</v>
      </c>
      <c r="AE74" s="417">
        <f t="shared" si="32"/>
        <v>68171.599999999991</v>
      </c>
      <c r="AF74" s="417">
        <f t="shared" si="32"/>
        <v>63864.799999999996</v>
      </c>
      <c r="AG74" s="417">
        <f t="shared" si="32"/>
        <v>70858.5</v>
      </c>
      <c r="AH74" s="417">
        <f t="shared" si="32"/>
        <v>73108.899999999994</v>
      </c>
      <c r="AI74" s="417">
        <f t="shared" si="32"/>
        <v>76009.2</v>
      </c>
      <c r="AJ74" s="417">
        <f t="shared" si="32"/>
        <v>82886.5</v>
      </c>
      <c r="AK74" s="417">
        <f t="shared" si="32"/>
        <v>90685.3</v>
      </c>
      <c r="AL74" s="417">
        <f t="shared" si="32"/>
        <v>95564.4</v>
      </c>
      <c r="AM74" s="417">
        <f t="shared" si="32"/>
        <v>106826.09999999999</v>
      </c>
      <c r="AN74" s="417">
        <f t="shared" si="32"/>
        <v>114799.5</v>
      </c>
      <c r="AO74" s="417">
        <f t="shared" si="32"/>
        <v>115158.39999999999</v>
      </c>
      <c r="AP74" s="417">
        <f t="shared" si="32"/>
        <v>126187.3</v>
      </c>
      <c r="AQ74" s="417">
        <f t="shared" si="32"/>
        <v>129475.59999999999</v>
      </c>
      <c r="AR74" s="417">
        <f t="shared" si="32"/>
        <v>130067.3</v>
      </c>
      <c r="AS74" s="417">
        <f t="shared" si="32"/>
        <v>120813.5</v>
      </c>
      <c r="AT74" s="417">
        <f t="shared" si="32"/>
        <v>114896.5</v>
      </c>
      <c r="AU74" s="417">
        <f t="shared" si="32"/>
        <v>122763.2</v>
      </c>
      <c r="AV74" s="417">
        <f t="shared" si="32"/>
        <v>128743.34700000001</v>
      </c>
      <c r="AW74" s="418">
        <f>AVERAGE(D74:AV74)</f>
        <v>85083.250377777775</v>
      </c>
      <c r="BD74" s="364" t="str">
        <f t="shared" si="4"/>
        <v>Average Revenue Per MT for PVC considered (97% OF EX-Mumbai Price TAKEN)</v>
      </c>
      <c r="BE74" s="604">
        <f>BE73*0.97</f>
        <v>128743.34700000001</v>
      </c>
      <c r="BG74" s="422">
        <f>BG73*0.97</f>
        <v>128743.34700000001</v>
      </c>
    </row>
    <row r="75" spans="2:59" s="361" customFormat="1" x14ac:dyDescent="0.25">
      <c r="C75" s="172"/>
      <c r="D75" s="334"/>
      <c r="E75" s="334"/>
      <c r="F75" s="334"/>
      <c r="G75" s="334"/>
      <c r="H75" s="334"/>
      <c r="I75" s="334"/>
      <c r="J75" s="334"/>
      <c r="K75" s="334"/>
      <c r="L75" s="334"/>
      <c r="M75" s="334"/>
      <c r="N75" s="334"/>
      <c r="O75" s="334"/>
      <c r="P75" s="334"/>
      <c r="Q75" s="334"/>
      <c r="R75" s="334"/>
      <c r="S75" s="334"/>
      <c r="T75" s="334"/>
      <c r="U75" s="334"/>
      <c r="V75" s="334"/>
      <c r="W75" s="334"/>
      <c r="X75" s="334"/>
      <c r="Y75" s="334"/>
      <c r="Z75" s="334"/>
      <c r="AA75" s="334"/>
      <c r="AB75" s="334"/>
      <c r="AC75" s="334"/>
      <c r="AD75" s="334"/>
      <c r="AE75" s="334"/>
      <c r="AF75" s="334"/>
      <c r="AG75" s="334"/>
      <c r="AH75" s="334"/>
      <c r="AI75" s="334"/>
      <c r="AJ75" s="334"/>
      <c r="AK75" s="334"/>
      <c r="AL75" s="334"/>
      <c r="AM75" s="334"/>
      <c r="AN75" s="182"/>
      <c r="AO75" s="182"/>
      <c r="AP75" s="182"/>
      <c r="AQ75" s="9"/>
      <c r="AR75" s="9"/>
      <c r="AS75" s="9"/>
      <c r="AT75" s="9"/>
      <c r="AU75" s="9"/>
      <c r="AV75" s="9"/>
      <c r="AW75" s="9"/>
      <c r="AX75" s="9"/>
      <c r="AY75" s="9"/>
      <c r="AZ75" s="9"/>
      <c r="BA75" s="9"/>
      <c r="BB75" s="9"/>
      <c r="BC75" s="9"/>
      <c r="BD75" s="364">
        <f t="shared" si="4"/>
        <v>0</v>
      </c>
      <c r="BE75" s="9"/>
      <c r="BG75" s="9"/>
    </row>
    <row r="76" spans="2:59" s="361" customFormat="1" x14ac:dyDescent="0.25">
      <c r="C76" s="172"/>
      <c r="D76" s="334"/>
      <c r="E76" s="334"/>
      <c r="F76" s="334"/>
      <c r="G76" s="334"/>
      <c r="H76" s="334"/>
      <c r="I76" s="334"/>
      <c r="J76" s="334"/>
      <c r="K76" s="334"/>
      <c r="L76" s="334"/>
      <c r="M76" s="334"/>
      <c r="N76" s="334"/>
      <c r="O76" s="334"/>
      <c r="P76" s="334"/>
      <c r="Q76" s="334"/>
      <c r="R76" s="334"/>
      <c r="S76" s="334"/>
      <c r="T76" s="334"/>
      <c r="U76" s="334"/>
      <c r="V76" s="334"/>
      <c r="W76" s="334"/>
      <c r="X76" s="334"/>
      <c r="Y76" s="334"/>
      <c r="Z76" s="334"/>
      <c r="AA76" s="334"/>
      <c r="AB76" s="334"/>
      <c r="AC76" s="334"/>
      <c r="AD76" s="334"/>
      <c r="AE76" s="334"/>
      <c r="AF76" s="334"/>
      <c r="AG76" s="334"/>
      <c r="AH76" s="334"/>
      <c r="AI76" s="334"/>
      <c r="AJ76" s="334"/>
      <c r="AK76" s="334"/>
      <c r="AL76" s="334"/>
      <c r="AM76" s="334"/>
      <c r="AN76" s="182"/>
      <c r="AO76" s="182"/>
      <c r="AP76" s="182"/>
      <c r="AQ76" s="9"/>
      <c r="AR76" s="9"/>
      <c r="AS76" s="9"/>
      <c r="AT76" s="9"/>
      <c r="AU76" s="9"/>
      <c r="AV76" s="9"/>
      <c r="AW76" s="9"/>
      <c r="AX76" s="9"/>
      <c r="AY76" s="9"/>
      <c r="AZ76" s="9"/>
      <c r="BA76" s="9"/>
      <c r="BB76" s="9"/>
      <c r="BC76" s="9"/>
      <c r="BD76" s="364">
        <f t="shared" si="4"/>
        <v>0</v>
      </c>
      <c r="BE76" s="9"/>
      <c r="BG76" s="9"/>
    </row>
    <row r="77" spans="2:59" x14ac:dyDescent="0.25">
      <c r="C77" s="975" t="s">
        <v>159</v>
      </c>
      <c r="D77" s="975"/>
      <c r="E77" s="975"/>
      <c r="F77" s="975"/>
      <c r="G77" s="975"/>
      <c r="H77" s="975"/>
      <c r="I77" s="975"/>
      <c r="J77" s="975"/>
      <c r="K77" s="975"/>
      <c r="L77" s="975"/>
      <c r="M77" s="975"/>
      <c r="N77" s="975"/>
      <c r="O77" s="975"/>
      <c r="P77" s="975"/>
      <c r="Q77" s="975"/>
      <c r="R77" s="975"/>
      <c r="S77" s="975"/>
      <c r="T77" s="975"/>
      <c r="U77" s="975"/>
      <c r="V77" s="975"/>
      <c r="W77" s="975"/>
      <c r="X77" s="975"/>
      <c r="Y77" s="975"/>
      <c r="Z77" s="975"/>
      <c r="AA77" s="975"/>
      <c r="AB77" s="975"/>
      <c r="AC77" s="975"/>
      <c r="AD77" s="975"/>
      <c r="AE77" s="975"/>
      <c r="AF77" s="975"/>
      <c r="AG77" s="975"/>
      <c r="AH77" s="975"/>
      <c r="AI77" s="975"/>
      <c r="AJ77" s="975"/>
      <c r="AK77" s="975"/>
      <c r="AL77" s="975"/>
      <c r="AM77" s="975"/>
      <c r="AN77" s="975"/>
      <c r="AO77" s="975"/>
      <c r="AP77" s="975"/>
      <c r="AQ77" s="975"/>
      <c r="AR77" s="975"/>
      <c r="AS77" s="975"/>
      <c r="AT77" s="975"/>
      <c r="AU77" s="975"/>
      <c r="AV77" s="975"/>
      <c r="AW77" s="975"/>
      <c r="BD77" s="364" t="str">
        <f t="shared" si="4"/>
        <v>Acetone Prices India- (Data by Chemanalyst)</v>
      </c>
      <c r="BE77"/>
    </row>
    <row r="78" spans="2:59" x14ac:dyDescent="0.25">
      <c r="C78" s="6" t="s">
        <v>158</v>
      </c>
      <c r="D78" s="6">
        <v>66560</v>
      </c>
      <c r="E78" s="6">
        <v>68920</v>
      </c>
      <c r="F78" s="6">
        <v>66980</v>
      </c>
      <c r="G78" s="6">
        <v>69750</v>
      </c>
      <c r="H78" s="6">
        <v>72465</v>
      </c>
      <c r="I78" s="6">
        <v>69700</v>
      </c>
      <c r="J78" s="6">
        <v>66450</v>
      </c>
      <c r="K78" s="6">
        <v>61800</v>
      </c>
      <c r="L78" s="6">
        <v>64200</v>
      </c>
      <c r="M78" s="6">
        <v>69340</v>
      </c>
      <c r="N78" s="6">
        <v>66200</v>
      </c>
      <c r="O78" s="6">
        <v>67300</v>
      </c>
      <c r="P78" s="6">
        <v>63460</v>
      </c>
      <c r="Q78" s="6">
        <v>62020</v>
      </c>
      <c r="R78" s="6">
        <v>60110</v>
      </c>
      <c r="S78" s="6">
        <v>57030</v>
      </c>
      <c r="T78" s="6">
        <v>54580</v>
      </c>
      <c r="U78" s="6">
        <v>51150</v>
      </c>
      <c r="V78" s="6">
        <v>49300</v>
      </c>
      <c r="W78" s="6">
        <v>50880</v>
      </c>
      <c r="X78" s="6">
        <v>56390</v>
      </c>
      <c r="Y78" s="6">
        <v>57460</v>
      </c>
      <c r="Z78" s="6">
        <v>54240</v>
      </c>
      <c r="AA78" s="6">
        <v>52760</v>
      </c>
      <c r="AB78" s="6">
        <v>54180</v>
      </c>
      <c r="AC78" s="6">
        <v>56350</v>
      </c>
      <c r="AD78" s="6">
        <v>50075</v>
      </c>
      <c r="AE78" s="6">
        <v>55010</v>
      </c>
      <c r="AF78" s="6">
        <v>56130</v>
      </c>
      <c r="AG78" s="6">
        <v>55730</v>
      </c>
      <c r="AH78" s="6">
        <v>58960</v>
      </c>
      <c r="AI78" s="6">
        <v>66830</v>
      </c>
      <c r="AJ78" s="6">
        <v>66400</v>
      </c>
      <c r="AK78" s="6">
        <v>67680</v>
      </c>
      <c r="AL78" s="6">
        <v>72030</v>
      </c>
      <c r="AM78" s="6">
        <v>80250</v>
      </c>
      <c r="AN78" s="6">
        <v>75640</v>
      </c>
      <c r="AO78" s="6">
        <v>85370</v>
      </c>
      <c r="AP78" s="6">
        <v>104400</v>
      </c>
      <c r="AQ78" s="6">
        <v>104940</v>
      </c>
      <c r="AR78" s="6">
        <v>107470</v>
      </c>
      <c r="AS78" s="6">
        <v>98400</v>
      </c>
      <c r="AT78" s="6">
        <v>73230</v>
      </c>
      <c r="AU78" s="6">
        <v>66620</v>
      </c>
      <c r="AV78" s="6">
        <v>65090</v>
      </c>
      <c r="AW78" s="179">
        <f>AVERAGE(D78:AV78)</f>
        <v>66662.888888888891</v>
      </c>
      <c r="BD78" s="364" t="str">
        <f t="shared" si="4"/>
        <v>Acetone Ex-Ahmedabad (India)</v>
      </c>
      <c r="BE78" s="605">
        <v>65090</v>
      </c>
      <c r="BG78" s="6">
        <v>65090</v>
      </c>
    </row>
    <row r="79" spans="2:59" x14ac:dyDescent="0.25">
      <c r="C79" s="975" t="s">
        <v>161</v>
      </c>
      <c r="D79" s="975"/>
      <c r="E79" s="975"/>
      <c r="F79" s="975"/>
      <c r="G79" s="975"/>
      <c r="H79" s="975"/>
      <c r="I79" s="975"/>
      <c r="J79" s="975"/>
      <c r="K79" s="975"/>
      <c r="L79" s="975"/>
      <c r="M79" s="975"/>
      <c r="N79" s="975"/>
      <c r="O79" s="975"/>
      <c r="P79" s="975"/>
      <c r="Q79" s="975"/>
      <c r="R79" s="975"/>
      <c r="S79" s="975"/>
      <c r="T79" s="975"/>
      <c r="U79" s="975"/>
      <c r="V79" s="975"/>
      <c r="W79" s="975"/>
      <c r="X79" s="975"/>
      <c r="Y79" s="975"/>
      <c r="Z79" s="975"/>
      <c r="AA79" s="975"/>
      <c r="AB79" s="975"/>
      <c r="AC79" s="975"/>
      <c r="AD79" s="975"/>
      <c r="AE79" s="975"/>
      <c r="AF79" s="975"/>
      <c r="AG79" s="975"/>
      <c r="AH79" s="975"/>
      <c r="AI79" s="975"/>
      <c r="AJ79" s="975"/>
      <c r="AK79" s="975"/>
      <c r="AL79" s="975"/>
      <c r="AM79" s="975"/>
      <c r="AN79" s="975"/>
      <c r="AO79" s="975"/>
      <c r="AP79" s="975"/>
      <c r="AQ79" s="975"/>
      <c r="AR79" s="975"/>
      <c r="AS79" s="975"/>
      <c r="AT79" s="975"/>
      <c r="AU79" s="975"/>
      <c r="AV79" s="975"/>
      <c r="AW79" s="975"/>
      <c r="BD79" s="364" t="str">
        <f t="shared" si="4"/>
        <v>Phenol Prices India- (Data by Chemanalyst)</v>
      </c>
      <c r="BE79"/>
      <c r="BG79" s="6"/>
    </row>
    <row r="80" spans="2:59" ht="15.75" x14ac:dyDescent="0.25">
      <c r="C80" s="183" t="s">
        <v>160</v>
      </c>
      <c r="D80" s="183">
        <v>95670</v>
      </c>
      <c r="E80" s="183">
        <v>94470</v>
      </c>
      <c r="F80" s="183">
        <v>96500</v>
      </c>
      <c r="G80" s="183">
        <v>98700</v>
      </c>
      <c r="H80" s="183">
        <v>97560</v>
      </c>
      <c r="I80" s="183">
        <v>95400</v>
      </c>
      <c r="J80" s="183">
        <v>96320</v>
      </c>
      <c r="K80" s="183">
        <v>96320</v>
      </c>
      <c r="L80" s="183">
        <v>97240</v>
      </c>
      <c r="M80" s="183">
        <v>102840</v>
      </c>
      <c r="N80" s="183">
        <v>102400</v>
      </c>
      <c r="O80" s="183">
        <v>99300</v>
      </c>
      <c r="P80" s="183">
        <v>94680</v>
      </c>
      <c r="Q80" s="183">
        <v>91500</v>
      </c>
      <c r="R80" s="183">
        <v>88200</v>
      </c>
      <c r="S80" s="183">
        <v>87400</v>
      </c>
      <c r="T80" s="183">
        <v>85200</v>
      </c>
      <c r="U80" s="183">
        <v>83500</v>
      </c>
      <c r="V80" s="183">
        <v>83400</v>
      </c>
      <c r="W80" s="183">
        <v>79600</v>
      </c>
      <c r="X80" s="183">
        <v>80570</v>
      </c>
      <c r="Y80" s="183">
        <v>79300</v>
      </c>
      <c r="Z80" s="183">
        <v>75800</v>
      </c>
      <c r="AA80" s="183">
        <v>71250</v>
      </c>
      <c r="AB80" s="183">
        <v>76400</v>
      </c>
      <c r="AC80" s="183">
        <v>83500</v>
      </c>
      <c r="AD80" s="183">
        <v>81600</v>
      </c>
      <c r="AE80" s="183">
        <v>77800</v>
      </c>
      <c r="AF80" s="183">
        <v>77000</v>
      </c>
      <c r="AG80" s="183">
        <v>77650</v>
      </c>
      <c r="AH80" s="183">
        <v>79000</v>
      </c>
      <c r="AI80" s="183">
        <v>79200</v>
      </c>
      <c r="AJ80" s="183">
        <v>81000</v>
      </c>
      <c r="AK80" s="183">
        <v>80000</v>
      </c>
      <c r="AL80" s="183">
        <v>80600</v>
      </c>
      <c r="AM80" s="183">
        <v>85680</v>
      </c>
      <c r="AN80" s="183">
        <v>79080</v>
      </c>
      <c r="AO80" s="183">
        <v>85390</v>
      </c>
      <c r="AP80" s="183">
        <v>104190</v>
      </c>
      <c r="AQ80" s="183">
        <v>101680</v>
      </c>
      <c r="AR80" s="183">
        <v>104260</v>
      </c>
      <c r="AS80" s="183">
        <v>105810</v>
      </c>
      <c r="AT80" s="183">
        <v>114750</v>
      </c>
      <c r="AU80" s="183">
        <v>120930</v>
      </c>
      <c r="AV80" s="183">
        <v>121060</v>
      </c>
      <c r="AW80" s="179">
        <f>AVERAGE(D80:AV80)</f>
        <v>90437.777777777781</v>
      </c>
      <c r="BD80" s="364" t="str">
        <f t="shared" si="4"/>
        <v>Phenol  Ex-Dahej (India)</v>
      </c>
      <c r="BE80" s="606">
        <v>121060</v>
      </c>
      <c r="BG80" s="183">
        <v>121060</v>
      </c>
    </row>
    <row r="82" spans="2:59" s="361" customFormat="1" x14ac:dyDescent="0.25">
      <c r="C82" s="390" t="s">
        <v>603</v>
      </c>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c r="AD82" s="190"/>
      <c r="AE82" s="190"/>
      <c r="AF82" s="190"/>
      <c r="AG82" s="190"/>
      <c r="AH82" s="190"/>
      <c r="AI82" s="190"/>
      <c r="AJ82" s="190"/>
      <c r="AK82" s="190"/>
      <c r="AL82" s="190"/>
      <c r="AM82" s="190"/>
      <c r="AN82" s="190"/>
      <c r="AO82" s="190"/>
      <c r="AP82" s="190"/>
      <c r="AQ82" s="190"/>
      <c r="AR82" s="190"/>
      <c r="AS82" s="190"/>
      <c r="AT82" s="190"/>
      <c r="AU82" s="190"/>
      <c r="AV82" s="190"/>
      <c r="AW82" s="179"/>
      <c r="BD82" s="364" t="str">
        <f>C82</f>
        <v>Byproductt Model Ethylene/Propylene</v>
      </c>
      <c r="BE82" s="609">
        <f>'Polymer Prices'!BB46</f>
        <v>0</v>
      </c>
      <c r="BG82" s="190">
        <f>'Polymer Prices'!BD46</f>
        <v>0</v>
      </c>
    </row>
    <row r="83" spans="2:59" s="361" customFormat="1" x14ac:dyDescent="0.25">
      <c r="C83" s="541" t="s">
        <v>585</v>
      </c>
      <c r="D83" s="190">
        <f t="shared" ref="D83:AV83" si="33">154.075043*D26</f>
        <v>7695367.3861599397</v>
      </c>
      <c r="E83" s="190">
        <f t="shared" si="33"/>
        <v>8110151.2686698092</v>
      </c>
      <c r="F83" s="190">
        <f t="shared" si="33"/>
        <v>10156510.816052621</v>
      </c>
      <c r="G83" s="190">
        <f t="shared" si="33"/>
        <v>5334483.2060230896</v>
      </c>
      <c r="H83" s="190">
        <f t="shared" si="33"/>
        <v>7398027.2051768191</v>
      </c>
      <c r="I83" s="190">
        <f t="shared" si="33"/>
        <v>10331230.83628932</v>
      </c>
      <c r="J83" s="190">
        <f t="shared" si="33"/>
        <v>10134933.068505598</v>
      </c>
      <c r="K83" s="190">
        <f t="shared" si="33"/>
        <v>11408361.75815017</v>
      </c>
      <c r="L83" s="190">
        <f t="shared" si="33"/>
        <v>10899632.15892148</v>
      </c>
      <c r="M83" s="190">
        <f t="shared" si="33"/>
        <v>9723233.7683565896</v>
      </c>
      <c r="N83" s="190">
        <f t="shared" si="33"/>
        <v>8334196.4109474001</v>
      </c>
      <c r="O83" s="190">
        <f t="shared" si="33"/>
        <v>9705165.3880639803</v>
      </c>
      <c r="P83" s="190">
        <f t="shared" si="33"/>
        <v>11104703.267803706</v>
      </c>
      <c r="Q83" s="190">
        <f t="shared" si="33"/>
        <v>11232415.76279632</v>
      </c>
      <c r="R83" s="190">
        <f t="shared" si="33"/>
        <v>13681392.348768421</v>
      </c>
      <c r="S83" s="190">
        <f t="shared" si="33"/>
        <v>13212976.484540679</v>
      </c>
      <c r="T83" s="190">
        <f t="shared" si="33"/>
        <v>12954783.690483</v>
      </c>
      <c r="U83" s="190">
        <f t="shared" si="33"/>
        <v>13124420.312826</v>
      </c>
      <c r="V83" s="190">
        <f t="shared" si="33"/>
        <v>14306484.042722</v>
      </c>
      <c r="W83" s="190">
        <f t="shared" si="33"/>
        <v>10309931.502344999</v>
      </c>
      <c r="X83" s="190">
        <f t="shared" si="33"/>
        <v>11551930.423968</v>
      </c>
      <c r="Y83" s="190">
        <f t="shared" si="33"/>
        <v>10810367.242008999</v>
      </c>
      <c r="Z83" s="190">
        <f t="shared" si="33"/>
        <v>13355224.72724</v>
      </c>
      <c r="AA83" s="190">
        <f t="shared" si="33"/>
        <v>15193324.582725698</v>
      </c>
      <c r="AB83" s="190">
        <f t="shared" si="33"/>
        <v>14702786.623824019</v>
      </c>
      <c r="AC83" s="190">
        <f t="shared" si="33"/>
        <v>13548897.056290999</v>
      </c>
      <c r="AD83" s="190">
        <f t="shared" si="33"/>
        <v>12152669.016625</v>
      </c>
      <c r="AE83" s="190">
        <f t="shared" si="33"/>
        <v>5387850.1786669996</v>
      </c>
      <c r="AF83" s="190">
        <f t="shared" si="33"/>
        <v>8004044.4088069992</v>
      </c>
      <c r="AG83" s="190">
        <f t="shared" si="33"/>
        <v>12191958.152589999</v>
      </c>
      <c r="AH83" s="190">
        <f t="shared" si="33"/>
        <v>14857764.546575999</v>
      </c>
      <c r="AI83" s="190">
        <f t="shared" si="33"/>
        <v>14318042.75244786</v>
      </c>
      <c r="AJ83" s="190">
        <f t="shared" si="33"/>
        <v>13564276.82708326</v>
      </c>
      <c r="AK83" s="190">
        <f t="shared" si="33"/>
        <v>14039088.346345929</v>
      </c>
      <c r="AL83" s="190">
        <f t="shared" si="33"/>
        <v>13887595.60106661</v>
      </c>
      <c r="AM83" s="190">
        <f t="shared" si="33"/>
        <v>11260409.657358989</v>
      </c>
      <c r="AN83" s="190">
        <f t="shared" si="33"/>
        <v>13955269.9822035</v>
      </c>
      <c r="AO83" s="190">
        <f t="shared" si="33"/>
        <v>12990452.0629375</v>
      </c>
      <c r="AP83" s="190">
        <f t="shared" si="33"/>
        <v>15635237.998807011</v>
      </c>
      <c r="AQ83" s="190">
        <f t="shared" si="33"/>
        <v>13272575.79267394</v>
      </c>
      <c r="AR83" s="190">
        <f t="shared" si="33"/>
        <v>11491003.267903412</v>
      </c>
      <c r="AS83" s="190">
        <f t="shared" si="33"/>
        <v>13607134.571394147</v>
      </c>
      <c r="AT83" s="190">
        <f t="shared" si="33"/>
        <v>11695508.334288409</v>
      </c>
      <c r="AU83" s="190">
        <f t="shared" si="33"/>
        <v>13791009.038110768</v>
      </c>
      <c r="AV83" s="190">
        <f t="shared" si="33"/>
        <v>14532988.22268587</v>
      </c>
      <c r="AW83" s="179">
        <f t="shared" ref="AW83:AW102" si="34">AVERAGE(D83:AV83)</f>
        <v>11754573.557738485</v>
      </c>
      <c r="BD83" s="364" t="str">
        <f>C83</f>
        <v>Chemicals cost in DFCU</v>
      </c>
      <c r="BE83" s="609"/>
      <c r="BG83" s="190"/>
    </row>
    <row r="84" spans="2:59" s="361" customFormat="1" x14ac:dyDescent="0.25">
      <c r="C84" s="541" t="s">
        <v>586</v>
      </c>
      <c r="D84" s="190">
        <f t="shared" ref="D84:AV84" si="35">98.310479*D29</f>
        <v>495002.10970811005</v>
      </c>
      <c r="E84" s="190">
        <f t="shared" si="35"/>
        <v>522908.52227705001</v>
      </c>
      <c r="F84" s="190">
        <f t="shared" si="35"/>
        <v>576920.29943965003</v>
      </c>
      <c r="G84" s="190">
        <f t="shared" si="35"/>
        <v>377579.09048571996</v>
      </c>
      <c r="H84" s="190">
        <f t="shared" si="35"/>
        <v>531115.48106397002</v>
      </c>
      <c r="I84" s="190">
        <f t="shared" si="35"/>
        <v>516583.22605818999</v>
      </c>
      <c r="J84" s="190">
        <f t="shared" si="35"/>
        <v>487534.44572327001</v>
      </c>
      <c r="K84" s="190">
        <f t="shared" si="35"/>
        <v>659794.06702706998</v>
      </c>
      <c r="L84" s="190">
        <f t="shared" si="35"/>
        <v>533572.25993418007</v>
      </c>
      <c r="M84" s="190">
        <f t="shared" si="35"/>
        <v>566092.38328258996</v>
      </c>
      <c r="N84" s="190">
        <f t="shared" si="35"/>
        <v>483396.55766216002</v>
      </c>
      <c r="O84" s="190">
        <f t="shared" si="35"/>
        <v>510783.89090197999</v>
      </c>
      <c r="P84" s="190">
        <f t="shared" si="35"/>
        <v>643927.73882125993</v>
      </c>
      <c r="Q84" s="190">
        <f t="shared" si="35"/>
        <v>651460.28772224009</v>
      </c>
      <c r="R84" s="190">
        <f t="shared" si="35"/>
        <v>810211.06610665005</v>
      </c>
      <c r="S84" s="190">
        <f t="shared" si="35"/>
        <v>687939.37405998004</v>
      </c>
      <c r="T84" s="190">
        <f t="shared" si="35"/>
        <v>692204.08263900003</v>
      </c>
      <c r="U84" s="190">
        <f t="shared" si="35"/>
        <v>690237.87305900001</v>
      </c>
      <c r="V84" s="190">
        <f t="shared" si="35"/>
        <v>821678.98348199995</v>
      </c>
      <c r="W84" s="190">
        <f t="shared" si="35"/>
        <v>598831.73899917002</v>
      </c>
      <c r="X84" s="190">
        <f t="shared" si="35"/>
        <v>731528.27423900005</v>
      </c>
      <c r="Y84" s="190">
        <f t="shared" si="35"/>
        <v>551128.54527400003</v>
      </c>
      <c r="Z84" s="190">
        <f t="shared" si="35"/>
        <v>862281.21130900003</v>
      </c>
      <c r="AA84" s="190">
        <f t="shared" si="35"/>
        <v>934675.08183501998</v>
      </c>
      <c r="AB84" s="190">
        <f t="shared" si="35"/>
        <v>1005880.37866993</v>
      </c>
      <c r="AC84" s="190">
        <f t="shared" si="35"/>
        <v>770065.98200700001</v>
      </c>
      <c r="AD84" s="190">
        <f t="shared" si="35"/>
        <v>787958.48918499995</v>
      </c>
      <c r="AE84" s="190">
        <f t="shared" si="35"/>
        <v>339466.08398699999</v>
      </c>
      <c r="AF84" s="190">
        <f t="shared" si="35"/>
        <v>608780.75947397004</v>
      </c>
      <c r="AG84" s="190">
        <f t="shared" si="35"/>
        <v>719266.00819333002</v>
      </c>
      <c r="AH84" s="190">
        <f t="shared" si="35"/>
        <v>943941.04110172798</v>
      </c>
      <c r="AI84" s="190">
        <f t="shared" si="35"/>
        <v>879174.88402036007</v>
      </c>
      <c r="AJ84" s="190">
        <f t="shared" si="35"/>
        <v>871401.4744458301</v>
      </c>
      <c r="AK84" s="190">
        <f t="shared" si="35"/>
        <v>974621.38214613206</v>
      </c>
      <c r="AL84" s="190">
        <f t="shared" si="35"/>
        <v>862586.26872533688</v>
      </c>
      <c r="AM84" s="190">
        <f t="shared" si="35"/>
        <v>623408.965507254</v>
      </c>
      <c r="AN84" s="190">
        <f t="shared" si="35"/>
        <v>936762.21330419008</v>
      </c>
      <c r="AO84" s="190">
        <f t="shared" si="35"/>
        <v>835114.09354213998</v>
      </c>
      <c r="AP84" s="190">
        <f t="shared" si="35"/>
        <v>1031573.0358727482</v>
      </c>
      <c r="AQ84" s="190">
        <f t="shared" si="35"/>
        <v>816906.10803702893</v>
      </c>
      <c r="AR84" s="190">
        <f t="shared" si="35"/>
        <v>631721.01819622505</v>
      </c>
      <c r="AS84" s="190">
        <f t="shared" si="35"/>
        <v>800229.30824234302</v>
      </c>
      <c r="AT84" s="190">
        <f t="shared" si="35"/>
        <v>641544.69281030004</v>
      </c>
      <c r="AU84" s="190">
        <f t="shared" si="35"/>
        <v>843200.13043988997</v>
      </c>
      <c r="AV84" s="190">
        <f t="shared" si="35"/>
        <v>928306.52900540002</v>
      </c>
      <c r="AW84" s="179">
        <f t="shared" si="34"/>
        <v>706428.78751163115</v>
      </c>
      <c r="BD84" s="364" t="str">
        <f>C84</f>
        <v>Chemical Cost in BDEU</v>
      </c>
      <c r="BE84" s="609"/>
      <c r="BG84" s="190"/>
    </row>
    <row r="85" spans="2:59" s="361" customFormat="1" x14ac:dyDescent="0.25">
      <c r="B85" s="622">
        <v>0.105975042750211</v>
      </c>
      <c r="C85" s="621" t="s">
        <v>587</v>
      </c>
      <c r="D85" s="609">
        <f t="shared" ref="D85:AV85" si="36">$B$85*$D$26*D47*1000</f>
        <v>27761706.197463017</v>
      </c>
      <c r="E85" s="609">
        <f t="shared" si="36"/>
        <v>39591527.618116945</v>
      </c>
      <c r="F85" s="609">
        <f t="shared" si="36"/>
        <v>40227879.45680213</v>
      </c>
      <c r="G85" s="609">
        <f t="shared" si="36"/>
        <v>35198350.088299155</v>
      </c>
      <c r="H85" s="609">
        <f t="shared" si="36"/>
        <v>35833508.285381243</v>
      </c>
      <c r="I85" s="609">
        <f t="shared" si="36"/>
        <v>36151087.383922294</v>
      </c>
      <c r="J85" s="609">
        <f t="shared" si="36"/>
        <v>43561266.349880002</v>
      </c>
      <c r="K85" s="609">
        <f t="shared" si="36"/>
        <v>43508336.500123166</v>
      </c>
      <c r="L85" s="609">
        <f t="shared" si="36"/>
        <v>38744650.022007488</v>
      </c>
      <c r="M85" s="609">
        <f t="shared" si="36"/>
        <v>43296617.101095796</v>
      </c>
      <c r="N85" s="609">
        <f t="shared" si="36"/>
        <v>39856176.866901144</v>
      </c>
      <c r="O85" s="609">
        <f t="shared" si="36"/>
        <v>37738982.876627512</v>
      </c>
      <c r="P85" s="609">
        <f t="shared" si="36"/>
        <v>33980963.54389181</v>
      </c>
      <c r="Q85" s="609">
        <f t="shared" si="36"/>
        <v>38003632.125411712</v>
      </c>
      <c r="R85" s="609">
        <f t="shared" si="36"/>
        <v>32128418.802402385</v>
      </c>
      <c r="S85" s="609">
        <f t="shared" si="36"/>
        <v>25626516.058272056</v>
      </c>
      <c r="T85" s="609">
        <f t="shared" si="36"/>
        <v>25882696.531095162</v>
      </c>
      <c r="U85" s="609">
        <f t="shared" si="36"/>
        <v>28582118.868694052</v>
      </c>
      <c r="V85" s="609">
        <f t="shared" si="36"/>
        <v>30911032.257995043</v>
      </c>
      <c r="W85" s="609">
        <f t="shared" si="36"/>
        <v>30487593.459940318</v>
      </c>
      <c r="X85" s="609">
        <f t="shared" si="36"/>
        <v>28899697.967235092</v>
      </c>
      <c r="Y85" s="609">
        <f t="shared" si="36"/>
        <v>33663384.445350774</v>
      </c>
      <c r="Z85" s="609">
        <f t="shared" si="36"/>
        <v>32657717.299970791</v>
      </c>
      <c r="AA85" s="609">
        <f t="shared" si="36"/>
        <v>36204017.233679131</v>
      </c>
      <c r="AB85" s="609">
        <f t="shared" si="36"/>
        <v>30011224.812128752</v>
      </c>
      <c r="AC85" s="609">
        <f t="shared" si="36"/>
        <v>28211609.920396164</v>
      </c>
      <c r="AD85" s="609">
        <f t="shared" si="36"/>
        <v>19531114.560274266</v>
      </c>
      <c r="AE85" s="609">
        <f t="shared" si="36"/>
        <v>26359065.178906739</v>
      </c>
      <c r="AF85" s="609">
        <f t="shared" si="36"/>
        <v>23712572.691064697</v>
      </c>
      <c r="AG85" s="609">
        <f t="shared" si="36"/>
        <v>15878954.92705225</v>
      </c>
      <c r="AH85" s="609">
        <f t="shared" si="36"/>
        <v>13761760.936778618</v>
      </c>
      <c r="AI85" s="609">
        <f t="shared" si="36"/>
        <v>18154938.466596406</v>
      </c>
      <c r="AJ85" s="609">
        <f t="shared" si="36"/>
        <v>23024484.644225758</v>
      </c>
      <c r="AK85" s="609">
        <f t="shared" si="36"/>
        <v>24771169.686201509</v>
      </c>
      <c r="AL85" s="609">
        <f t="shared" si="36"/>
        <v>26994223.375988822</v>
      </c>
      <c r="AM85" s="609">
        <f t="shared" si="36"/>
        <v>31916699.403375022</v>
      </c>
      <c r="AN85" s="609">
        <f t="shared" si="36"/>
        <v>35304209.787812836</v>
      </c>
      <c r="AO85" s="609">
        <f t="shared" si="36"/>
        <v>42449739.504986338</v>
      </c>
      <c r="AP85" s="609">
        <f t="shared" si="36"/>
        <v>38268281.374195926</v>
      </c>
      <c r="AQ85" s="609">
        <f t="shared" si="36"/>
        <v>28370399.46966669</v>
      </c>
      <c r="AR85" s="609">
        <f t="shared" si="36"/>
        <v>27258872.624773029</v>
      </c>
      <c r="AS85" s="609">
        <f t="shared" si="36"/>
        <v>29852435.262858227</v>
      </c>
      <c r="AT85" s="609">
        <f t="shared" si="36"/>
        <v>33980963.54389181</v>
      </c>
      <c r="AU85" s="609">
        <f t="shared" si="36"/>
        <v>37950702.275654875</v>
      </c>
      <c r="AV85" s="609">
        <f t="shared" si="36"/>
        <v>39538597.768360101</v>
      </c>
      <c r="AW85" s="179">
        <f t="shared" si="34"/>
        <v>31862219.945683256</v>
      </c>
      <c r="BD85" s="364"/>
      <c r="BE85" s="609"/>
      <c r="BG85" s="190"/>
    </row>
    <row r="86" spans="2:59" s="361" customFormat="1" x14ac:dyDescent="0.25">
      <c r="B86" s="622">
        <v>5.9632271054389658</v>
      </c>
      <c r="C86" s="621" t="s">
        <v>588</v>
      </c>
      <c r="D86" s="609">
        <f t="shared" ref="D86:AV86" si="37">$B$86*$D$26*1.58</f>
        <v>470582.20159553515</v>
      </c>
      <c r="E86" s="609">
        <f t="shared" si="37"/>
        <v>470582.20159553515</v>
      </c>
      <c r="F86" s="609">
        <f t="shared" si="37"/>
        <v>470582.20159553515</v>
      </c>
      <c r="G86" s="609">
        <f t="shared" si="37"/>
        <v>470582.20159553515</v>
      </c>
      <c r="H86" s="609">
        <f t="shared" si="37"/>
        <v>470582.20159553515</v>
      </c>
      <c r="I86" s="609">
        <f t="shared" si="37"/>
        <v>470582.20159553515</v>
      </c>
      <c r="J86" s="609">
        <f t="shared" si="37"/>
        <v>470582.20159553515</v>
      </c>
      <c r="K86" s="609">
        <f t="shared" si="37"/>
        <v>470582.20159553515</v>
      </c>
      <c r="L86" s="609">
        <f t="shared" si="37"/>
        <v>470582.20159553515</v>
      </c>
      <c r="M86" s="609">
        <f t="shared" si="37"/>
        <v>470582.20159553515</v>
      </c>
      <c r="N86" s="609">
        <f t="shared" si="37"/>
        <v>470582.20159553515</v>
      </c>
      <c r="O86" s="609">
        <f t="shared" si="37"/>
        <v>470582.20159553515</v>
      </c>
      <c r="P86" s="609">
        <f t="shared" si="37"/>
        <v>470582.20159553515</v>
      </c>
      <c r="Q86" s="609">
        <f t="shared" si="37"/>
        <v>470582.20159553515</v>
      </c>
      <c r="R86" s="609">
        <f t="shared" si="37"/>
        <v>470582.20159553515</v>
      </c>
      <c r="S86" s="609">
        <f t="shared" si="37"/>
        <v>470582.20159553515</v>
      </c>
      <c r="T86" s="609">
        <f t="shared" si="37"/>
        <v>470582.20159553515</v>
      </c>
      <c r="U86" s="609">
        <f t="shared" si="37"/>
        <v>470582.20159553515</v>
      </c>
      <c r="V86" s="609">
        <f t="shared" si="37"/>
        <v>470582.20159553515</v>
      </c>
      <c r="W86" s="609">
        <f t="shared" si="37"/>
        <v>470582.20159553515</v>
      </c>
      <c r="X86" s="609">
        <f t="shared" si="37"/>
        <v>470582.20159553515</v>
      </c>
      <c r="Y86" s="609">
        <f t="shared" si="37"/>
        <v>470582.20159553515</v>
      </c>
      <c r="Z86" s="609">
        <f t="shared" si="37"/>
        <v>470582.20159553515</v>
      </c>
      <c r="AA86" s="609">
        <f t="shared" si="37"/>
        <v>470582.20159553515</v>
      </c>
      <c r="AB86" s="609">
        <f t="shared" si="37"/>
        <v>470582.20159553515</v>
      </c>
      <c r="AC86" s="609">
        <f t="shared" si="37"/>
        <v>470582.20159553515</v>
      </c>
      <c r="AD86" s="609">
        <f t="shared" si="37"/>
        <v>470582.20159553515</v>
      </c>
      <c r="AE86" s="609">
        <f t="shared" si="37"/>
        <v>470582.20159553515</v>
      </c>
      <c r="AF86" s="609">
        <f t="shared" si="37"/>
        <v>470582.20159553515</v>
      </c>
      <c r="AG86" s="609">
        <f t="shared" si="37"/>
        <v>470582.20159553515</v>
      </c>
      <c r="AH86" s="609">
        <f t="shared" si="37"/>
        <v>470582.20159553515</v>
      </c>
      <c r="AI86" s="609">
        <f t="shared" si="37"/>
        <v>470582.20159553515</v>
      </c>
      <c r="AJ86" s="609">
        <f t="shared" si="37"/>
        <v>470582.20159553515</v>
      </c>
      <c r="AK86" s="609">
        <f t="shared" si="37"/>
        <v>470582.20159553515</v>
      </c>
      <c r="AL86" s="609">
        <f t="shared" si="37"/>
        <v>470582.20159553515</v>
      </c>
      <c r="AM86" s="609">
        <f t="shared" si="37"/>
        <v>470582.20159553515</v>
      </c>
      <c r="AN86" s="609">
        <f t="shared" si="37"/>
        <v>470582.20159553515</v>
      </c>
      <c r="AO86" s="609">
        <f t="shared" si="37"/>
        <v>470582.20159553515</v>
      </c>
      <c r="AP86" s="609">
        <f t="shared" si="37"/>
        <v>470582.20159553515</v>
      </c>
      <c r="AQ86" s="609">
        <f t="shared" si="37"/>
        <v>470582.20159553515</v>
      </c>
      <c r="AR86" s="609">
        <f t="shared" si="37"/>
        <v>470582.20159553515</v>
      </c>
      <c r="AS86" s="609">
        <f t="shared" si="37"/>
        <v>470582.20159553515</v>
      </c>
      <c r="AT86" s="609">
        <f t="shared" si="37"/>
        <v>470582.20159553515</v>
      </c>
      <c r="AU86" s="609">
        <f t="shared" si="37"/>
        <v>470582.20159553515</v>
      </c>
      <c r="AV86" s="609">
        <f t="shared" si="37"/>
        <v>470582.20159553515</v>
      </c>
      <c r="AW86" s="179">
        <f t="shared" si="34"/>
        <v>470582.20159553504</v>
      </c>
      <c r="BD86" s="364"/>
      <c r="BE86" s="609"/>
      <c r="BG86" s="190"/>
    </row>
    <row r="87" spans="2:59" s="361" customFormat="1" x14ac:dyDescent="0.25">
      <c r="B87" s="622">
        <v>13.289170704473761</v>
      </c>
      <c r="C87" s="621" t="s">
        <v>589</v>
      </c>
      <c r="D87" s="609">
        <f t="shared" ref="D87:AV87" si="38">$B$87*$D$26*1.71</f>
        <v>1134987.4289272556</v>
      </c>
      <c r="E87" s="609">
        <f t="shared" si="38"/>
        <v>1134987.4289272556</v>
      </c>
      <c r="F87" s="609">
        <f t="shared" si="38"/>
        <v>1134987.4289272556</v>
      </c>
      <c r="G87" s="609">
        <f t="shared" si="38"/>
        <v>1134987.4289272556</v>
      </c>
      <c r="H87" s="609">
        <f t="shared" si="38"/>
        <v>1134987.4289272556</v>
      </c>
      <c r="I87" s="609">
        <f t="shared" si="38"/>
        <v>1134987.4289272556</v>
      </c>
      <c r="J87" s="609">
        <f t="shared" si="38"/>
        <v>1134987.4289272556</v>
      </c>
      <c r="K87" s="609">
        <f t="shared" si="38"/>
        <v>1134987.4289272556</v>
      </c>
      <c r="L87" s="609">
        <f t="shared" si="38"/>
        <v>1134987.4289272556</v>
      </c>
      <c r="M87" s="609">
        <f t="shared" si="38"/>
        <v>1134987.4289272556</v>
      </c>
      <c r="N87" s="609">
        <f t="shared" si="38"/>
        <v>1134987.4289272556</v>
      </c>
      <c r="O87" s="609">
        <f t="shared" si="38"/>
        <v>1134987.4289272556</v>
      </c>
      <c r="P87" s="609">
        <f t="shared" si="38"/>
        <v>1134987.4289272556</v>
      </c>
      <c r="Q87" s="609">
        <f t="shared" si="38"/>
        <v>1134987.4289272556</v>
      </c>
      <c r="R87" s="609">
        <f t="shared" si="38"/>
        <v>1134987.4289272556</v>
      </c>
      <c r="S87" s="609">
        <f t="shared" si="38"/>
        <v>1134987.4289272556</v>
      </c>
      <c r="T87" s="609">
        <f t="shared" si="38"/>
        <v>1134987.4289272556</v>
      </c>
      <c r="U87" s="609">
        <f t="shared" si="38"/>
        <v>1134987.4289272556</v>
      </c>
      <c r="V87" s="609">
        <f t="shared" si="38"/>
        <v>1134987.4289272556</v>
      </c>
      <c r="W87" s="609">
        <f t="shared" si="38"/>
        <v>1134987.4289272556</v>
      </c>
      <c r="X87" s="609">
        <f t="shared" si="38"/>
        <v>1134987.4289272556</v>
      </c>
      <c r="Y87" s="609">
        <f t="shared" si="38"/>
        <v>1134987.4289272556</v>
      </c>
      <c r="Z87" s="609">
        <f t="shared" si="38"/>
        <v>1134987.4289272556</v>
      </c>
      <c r="AA87" s="609">
        <f t="shared" si="38"/>
        <v>1134987.4289272556</v>
      </c>
      <c r="AB87" s="609">
        <f t="shared" si="38"/>
        <v>1134987.4289272556</v>
      </c>
      <c r="AC87" s="609">
        <f t="shared" si="38"/>
        <v>1134987.4289272556</v>
      </c>
      <c r="AD87" s="609">
        <f t="shared" si="38"/>
        <v>1134987.4289272556</v>
      </c>
      <c r="AE87" s="609">
        <f t="shared" si="38"/>
        <v>1134987.4289272556</v>
      </c>
      <c r="AF87" s="609">
        <f t="shared" si="38"/>
        <v>1134987.4289272556</v>
      </c>
      <c r="AG87" s="609">
        <f t="shared" si="38"/>
        <v>1134987.4289272556</v>
      </c>
      <c r="AH87" s="609">
        <f t="shared" si="38"/>
        <v>1134987.4289272556</v>
      </c>
      <c r="AI87" s="609">
        <f t="shared" si="38"/>
        <v>1134987.4289272556</v>
      </c>
      <c r="AJ87" s="609">
        <f t="shared" si="38"/>
        <v>1134987.4289272556</v>
      </c>
      <c r="AK87" s="609">
        <f t="shared" si="38"/>
        <v>1134987.4289272556</v>
      </c>
      <c r="AL87" s="609">
        <f t="shared" si="38"/>
        <v>1134987.4289272556</v>
      </c>
      <c r="AM87" s="609">
        <f t="shared" si="38"/>
        <v>1134987.4289272556</v>
      </c>
      <c r="AN87" s="609">
        <f t="shared" si="38"/>
        <v>1134987.4289272556</v>
      </c>
      <c r="AO87" s="609">
        <f t="shared" si="38"/>
        <v>1134987.4289272556</v>
      </c>
      <c r="AP87" s="609">
        <f t="shared" si="38"/>
        <v>1134987.4289272556</v>
      </c>
      <c r="AQ87" s="609">
        <f t="shared" si="38"/>
        <v>1134987.4289272556</v>
      </c>
      <c r="AR87" s="609">
        <f t="shared" si="38"/>
        <v>1134987.4289272556</v>
      </c>
      <c r="AS87" s="609">
        <f t="shared" si="38"/>
        <v>1134987.4289272556</v>
      </c>
      <c r="AT87" s="609">
        <f t="shared" si="38"/>
        <v>1134987.4289272556</v>
      </c>
      <c r="AU87" s="609">
        <f t="shared" si="38"/>
        <v>1134987.4289272556</v>
      </c>
      <c r="AV87" s="609">
        <f t="shared" si="38"/>
        <v>1134987.4289272556</v>
      </c>
      <c r="AW87" s="179">
        <f t="shared" si="34"/>
        <v>1134987.4289272558</v>
      </c>
      <c r="BD87" s="364"/>
      <c r="BE87" s="609"/>
      <c r="BG87" s="190"/>
    </row>
    <row r="88" spans="2:59" s="361" customFormat="1" x14ac:dyDescent="0.25">
      <c r="B88" s="622">
        <v>547.99678043028132</v>
      </c>
      <c r="C88" s="621" t="s">
        <v>590</v>
      </c>
      <c r="D88" s="609">
        <f t="shared" ref="D88:AV88" si="39">$B$88*$D$26*2.33</f>
        <v>63772139.69556471</v>
      </c>
      <c r="E88" s="609">
        <f t="shared" si="39"/>
        <v>63772139.69556471</v>
      </c>
      <c r="F88" s="609">
        <f t="shared" si="39"/>
        <v>63772139.69556471</v>
      </c>
      <c r="G88" s="609">
        <f t="shared" si="39"/>
        <v>63772139.69556471</v>
      </c>
      <c r="H88" s="609">
        <f t="shared" si="39"/>
        <v>63772139.69556471</v>
      </c>
      <c r="I88" s="609">
        <f t="shared" si="39"/>
        <v>63772139.69556471</v>
      </c>
      <c r="J88" s="609">
        <f t="shared" si="39"/>
        <v>63772139.69556471</v>
      </c>
      <c r="K88" s="609">
        <f t="shared" si="39"/>
        <v>63772139.69556471</v>
      </c>
      <c r="L88" s="609">
        <f t="shared" si="39"/>
        <v>63772139.69556471</v>
      </c>
      <c r="M88" s="609">
        <f t="shared" si="39"/>
        <v>63772139.69556471</v>
      </c>
      <c r="N88" s="609">
        <f t="shared" si="39"/>
        <v>63772139.69556471</v>
      </c>
      <c r="O88" s="609">
        <f t="shared" si="39"/>
        <v>63772139.69556471</v>
      </c>
      <c r="P88" s="609">
        <f t="shared" si="39"/>
        <v>63772139.69556471</v>
      </c>
      <c r="Q88" s="609">
        <f t="shared" si="39"/>
        <v>63772139.69556471</v>
      </c>
      <c r="R88" s="609">
        <f t="shared" si="39"/>
        <v>63772139.69556471</v>
      </c>
      <c r="S88" s="609">
        <f t="shared" si="39"/>
        <v>63772139.69556471</v>
      </c>
      <c r="T88" s="609">
        <f t="shared" si="39"/>
        <v>63772139.69556471</v>
      </c>
      <c r="U88" s="609">
        <f t="shared" si="39"/>
        <v>63772139.69556471</v>
      </c>
      <c r="V88" s="609">
        <f t="shared" si="39"/>
        <v>63772139.69556471</v>
      </c>
      <c r="W88" s="609">
        <f t="shared" si="39"/>
        <v>63772139.69556471</v>
      </c>
      <c r="X88" s="609">
        <f t="shared" si="39"/>
        <v>63772139.69556471</v>
      </c>
      <c r="Y88" s="609">
        <f t="shared" si="39"/>
        <v>63772139.69556471</v>
      </c>
      <c r="Z88" s="609">
        <f t="shared" si="39"/>
        <v>63772139.69556471</v>
      </c>
      <c r="AA88" s="609">
        <f t="shared" si="39"/>
        <v>63772139.69556471</v>
      </c>
      <c r="AB88" s="609">
        <f t="shared" si="39"/>
        <v>63772139.69556471</v>
      </c>
      <c r="AC88" s="609">
        <f t="shared" si="39"/>
        <v>63772139.69556471</v>
      </c>
      <c r="AD88" s="609">
        <f t="shared" si="39"/>
        <v>63772139.69556471</v>
      </c>
      <c r="AE88" s="609">
        <f t="shared" si="39"/>
        <v>63772139.69556471</v>
      </c>
      <c r="AF88" s="609">
        <f t="shared" si="39"/>
        <v>63772139.69556471</v>
      </c>
      <c r="AG88" s="609">
        <f t="shared" si="39"/>
        <v>63772139.69556471</v>
      </c>
      <c r="AH88" s="609">
        <f t="shared" si="39"/>
        <v>63772139.69556471</v>
      </c>
      <c r="AI88" s="609">
        <f t="shared" si="39"/>
        <v>63772139.69556471</v>
      </c>
      <c r="AJ88" s="609">
        <f t="shared" si="39"/>
        <v>63772139.69556471</v>
      </c>
      <c r="AK88" s="609">
        <f t="shared" si="39"/>
        <v>63772139.69556471</v>
      </c>
      <c r="AL88" s="609">
        <f t="shared" si="39"/>
        <v>63772139.69556471</v>
      </c>
      <c r="AM88" s="609">
        <f t="shared" si="39"/>
        <v>63772139.69556471</v>
      </c>
      <c r="AN88" s="609">
        <f t="shared" si="39"/>
        <v>63772139.69556471</v>
      </c>
      <c r="AO88" s="609">
        <f t="shared" si="39"/>
        <v>63772139.69556471</v>
      </c>
      <c r="AP88" s="609">
        <f t="shared" si="39"/>
        <v>63772139.69556471</v>
      </c>
      <c r="AQ88" s="609">
        <f t="shared" si="39"/>
        <v>63772139.69556471</v>
      </c>
      <c r="AR88" s="609">
        <f t="shared" si="39"/>
        <v>63772139.69556471</v>
      </c>
      <c r="AS88" s="609">
        <f t="shared" si="39"/>
        <v>63772139.69556471</v>
      </c>
      <c r="AT88" s="609">
        <f t="shared" si="39"/>
        <v>63772139.69556471</v>
      </c>
      <c r="AU88" s="609">
        <f t="shared" si="39"/>
        <v>63772139.69556471</v>
      </c>
      <c r="AV88" s="609">
        <f t="shared" si="39"/>
        <v>63772139.69556471</v>
      </c>
      <c r="AW88" s="179">
        <f t="shared" si="34"/>
        <v>63772139.695564739</v>
      </c>
      <c r="BD88" s="364"/>
      <c r="BE88" s="609"/>
      <c r="BG88" s="190"/>
    </row>
    <row r="89" spans="2:59" s="361" customFormat="1" x14ac:dyDescent="0.25">
      <c r="B89" s="622">
        <v>0.73614276394594613</v>
      </c>
      <c r="C89" s="621" t="s">
        <v>591</v>
      </c>
      <c r="D89" s="609">
        <f t="shared" ref="D89:AV89" si="40">$B$89*$D$26*D49</f>
        <v>2062633.036983477</v>
      </c>
      <c r="E89" s="609">
        <f t="shared" si="40"/>
        <v>2117783.6529456018</v>
      </c>
      <c r="F89" s="609">
        <f t="shared" si="40"/>
        <v>2047926.2060602438</v>
      </c>
      <c r="G89" s="609">
        <f t="shared" si="40"/>
        <v>2204186.2846195982</v>
      </c>
      <c r="H89" s="609">
        <f t="shared" si="40"/>
        <v>2521118.4910152764</v>
      </c>
      <c r="I89" s="609">
        <f t="shared" si="40"/>
        <v>2930336.0614542444</v>
      </c>
      <c r="J89" s="609">
        <f t="shared" si="40"/>
        <v>3125569.2419601674</v>
      </c>
      <c r="K89" s="609">
        <f t="shared" si="40"/>
        <v>2699438.8159594811</v>
      </c>
      <c r="L89" s="609">
        <f t="shared" si="40"/>
        <v>2509353.02627669</v>
      </c>
      <c r="M89" s="609">
        <f t="shared" si="40"/>
        <v>1957846.8666554394</v>
      </c>
      <c r="N89" s="609">
        <f t="shared" si="40"/>
        <v>2406772.8805871368</v>
      </c>
      <c r="O89" s="609">
        <f t="shared" si="40"/>
        <v>2240218.0203815196</v>
      </c>
      <c r="P89" s="609">
        <f t="shared" si="40"/>
        <v>2194994.515292577</v>
      </c>
      <c r="Q89" s="609">
        <f t="shared" si="40"/>
        <v>2167051.5365384337</v>
      </c>
      <c r="R89" s="609">
        <f t="shared" si="40"/>
        <v>2130652.1300034313</v>
      </c>
      <c r="S89" s="609">
        <f t="shared" si="40"/>
        <v>2885480.2271383828</v>
      </c>
      <c r="T89" s="609">
        <f t="shared" si="40"/>
        <v>3033651.5486899586</v>
      </c>
      <c r="U89" s="609">
        <f t="shared" si="40"/>
        <v>3073727.6629557693</v>
      </c>
      <c r="V89" s="609">
        <f t="shared" si="40"/>
        <v>3755756.947020716</v>
      </c>
      <c r="W89" s="609">
        <f t="shared" si="40"/>
        <v>2742088.6256368575</v>
      </c>
      <c r="X89" s="609">
        <f t="shared" si="40"/>
        <v>2884377.2148191403</v>
      </c>
      <c r="Y89" s="609">
        <f t="shared" si="40"/>
        <v>2826285.2326723686</v>
      </c>
      <c r="Z89" s="609">
        <f t="shared" si="40"/>
        <v>3029239.4994129888</v>
      </c>
      <c r="AA89" s="609">
        <f t="shared" si="40"/>
        <v>2863419.9807535326</v>
      </c>
      <c r="AB89" s="609">
        <f t="shared" si="40"/>
        <v>2771869.9582564053</v>
      </c>
      <c r="AC89" s="609">
        <f t="shared" si="40"/>
        <v>2457879.1180453729</v>
      </c>
      <c r="AD89" s="609">
        <f t="shared" si="40"/>
        <v>2374417.8525560237</v>
      </c>
      <c r="AE89" s="609">
        <f t="shared" si="40"/>
        <v>3124098.5588678438</v>
      </c>
      <c r="AF89" s="609">
        <f t="shared" si="40"/>
        <v>2870405.7254420682</v>
      </c>
      <c r="AG89" s="609">
        <f t="shared" si="40"/>
        <v>2616712.8920162935</v>
      </c>
      <c r="AH89" s="609">
        <f t="shared" si="40"/>
        <v>2508617.6847305284</v>
      </c>
      <c r="AI89" s="609">
        <f t="shared" si="40"/>
        <v>2544281.7497193692</v>
      </c>
      <c r="AJ89" s="609">
        <f t="shared" si="40"/>
        <v>2616345.2212432125</v>
      </c>
      <c r="AK89" s="609">
        <f t="shared" si="40"/>
        <v>3047990.7088401113</v>
      </c>
      <c r="AL89" s="609">
        <f t="shared" si="40"/>
        <v>3267857.8311424498</v>
      </c>
      <c r="AM89" s="609">
        <f t="shared" si="40"/>
        <v>2946513.5754698012</v>
      </c>
      <c r="AN89" s="609">
        <f t="shared" si="40"/>
        <v>3288079.7236618958</v>
      </c>
      <c r="AO89" s="609">
        <f t="shared" si="40"/>
        <v>3778920.2057248084</v>
      </c>
      <c r="AP89" s="609">
        <f t="shared" si="40"/>
        <v>3759433.6547515243</v>
      </c>
      <c r="AQ89" s="609">
        <f t="shared" si="40"/>
        <v>3688473.1955469232</v>
      </c>
      <c r="AR89" s="609">
        <f t="shared" si="40"/>
        <v>2990634.0682395012</v>
      </c>
      <c r="AS89" s="609">
        <f t="shared" si="40"/>
        <v>3333670.899523919</v>
      </c>
      <c r="AT89" s="609">
        <f t="shared" si="40"/>
        <v>3377423.721520538</v>
      </c>
      <c r="AU89" s="609">
        <f t="shared" si="40"/>
        <v>3529271.7508029221</v>
      </c>
      <c r="AV89" s="609">
        <f t="shared" si="40"/>
        <v>3491033.990402516</v>
      </c>
      <c r="AW89" s="179">
        <f t="shared" si="34"/>
        <v>2817640.8842741577</v>
      </c>
      <c r="BD89" s="364"/>
      <c r="BE89" s="609"/>
      <c r="BG89" s="190"/>
    </row>
    <row r="90" spans="2:59" s="361" customFormat="1" x14ac:dyDescent="0.25">
      <c r="B90" s="622">
        <v>5.5301564250364663</v>
      </c>
      <c r="C90" s="621" t="s">
        <v>592</v>
      </c>
      <c r="D90" s="609">
        <f t="shared" ref="D90:AV90" si="41">$B$90*$D$26*D50</f>
        <v>604893.04560478847</v>
      </c>
      <c r="E90" s="609">
        <f t="shared" si="41"/>
        <v>872813.70963978616</v>
      </c>
      <c r="F90" s="609">
        <f t="shared" si="41"/>
        <v>870051.64093839435</v>
      </c>
      <c r="G90" s="609">
        <f t="shared" si="41"/>
        <v>748520.61807715835</v>
      </c>
      <c r="H90" s="609">
        <f t="shared" si="41"/>
        <v>737472.34327159147</v>
      </c>
      <c r="I90" s="609">
        <f t="shared" si="41"/>
        <v>823096.47301473503</v>
      </c>
      <c r="J90" s="609">
        <f t="shared" si="41"/>
        <v>994344.73250102217</v>
      </c>
      <c r="K90" s="609">
        <f t="shared" si="41"/>
        <v>911482.67145927029</v>
      </c>
      <c r="L90" s="609">
        <f t="shared" si="41"/>
        <v>881099.91574396135</v>
      </c>
      <c r="M90" s="609">
        <f t="shared" si="41"/>
        <v>977772.32029267179</v>
      </c>
      <c r="N90" s="609">
        <f t="shared" si="41"/>
        <v>839668.88522308541</v>
      </c>
      <c r="O90" s="609">
        <f t="shared" si="41"/>
        <v>814810.26691055985</v>
      </c>
      <c r="P90" s="609">
        <f t="shared" si="41"/>
        <v>704327.5188548906</v>
      </c>
      <c r="Q90" s="609">
        <f t="shared" si="41"/>
        <v>875575.77834117785</v>
      </c>
      <c r="R90" s="609">
        <f t="shared" si="41"/>
        <v>745758.54937576666</v>
      </c>
      <c r="S90" s="609">
        <f t="shared" si="41"/>
        <v>591082.7020978299</v>
      </c>
      <c r="T90" s="609">
        <f t="shared" si="41"/>
        <v>582796.49599365459</v>
      </c>
      <c r="U90" s="609">
        <f t="shared" si="41"/>
        <v>638037.87002148922</v>
      </c>
      <c r="V90" s="609">
        <f t="shared" si="41"/>
        <v>704327.5188548906</v>
      </c>
      <c r="W90" s="609">
        <f t="shared" si="41"/>
        <v>773379.23638968391</v>
      </c>
      <c r="X90" s="609">
        <f t="shared" si="41"/>
        <v>668420.62573679816</v>
      </c>
      <c r="Y90" s="609">
        <f t="shared" si="41"/>
        <v>773379.23638968391</v>
      </c>
      <c r="Z90" s="609">
        <f t="shared" si="41"/>
        <v>754044.75547994184</v>
      </c>
      <c r="AA90" s="609">
        <f t="shared" si="41"/>
        <v>825858.54171612684</v>
      </c>
      <c r="AB90" s="609">
        <f t="shared" si="41"/>
        <v>657372.35093123128</v>
      </c>
      <c r="AC90" s="609">
        <f t="shared" si="41"/>
        <v>682230.96924375696</v>
      </c>
      <c r="AD90" s="609">
        <f t="shared" si="41"/>
        <v>458503.40443102689</v>
      </c>
      <c r="AE90" s="609">
        <f t="shared" si="41"/>
        <v>646324.0761256644</v>
      </c>
      <c r="AF90" s="609">
        <f t="shared" si="41"/>
        <v>754044.75547994184</v>
      </c>
      <c r="AG90" s="609">
        <f t="shared" si="41"/>
        <v>397737.89300040883</v>
      </c>
      <c r="AH90" s="609">
        <f t="shared" si="41"/>
        <v>336972.38156979083</v>
      </c>
      <c r="AI90" s="609">
        <f t="shared" si="41"/>
        <v>436406.85481989308</v>
      </c>
      <c r="AJ90" s="609">
        <f t="shared" si="41"/>
        <v>563462.01508391253</v>
      </c>
      <c r="AK90" s="609">
        <f t="shared" si="41"/>
        <v>593844.77079922159</v>
      </c>
      <c r="AL90" s="609">
        <f t="shared" si="41"/>
        <v>654610.28222983959</v>
      </c>
      <c r="AM90" s="609">
        <f t="shared" si="41"/>
        <v>720899.93106324109</v>
      </c>
      <c r="AN90" s="609">
        <f t="shared" si="41"/>
        <v>817572.33561195154</v>
      </c>
      <c r="AO90" s="609">
        <f t="shared" si="41"/>
        <v>972248.1828898883</v>
      </c>
      <c r="AP90" s="609">
        <f t="shared" si="41"/>
        <v>925293.01496622898</v>
      </c>
      <c r="AQ90" s="609">
        <f t="shared" si="41"/>
        <v>742996.48067437485</v>
      </c>
      <c r="AR90" s="609">
        <f t="shared" si="41"/>
        <v>709851.6562576741</v>
      </c>
      <c r="AS90" s="609">
        <f t="shared" si="41"/>
        <v>781665.4424938591</v>
      </c>
      <c r="AT90" s="609">
        <f t="shared" si="41"/>
        <v>961199.90808432142</v>
      </c>
      <c r="AU90" s="609">
        <f t="shared" si="41"/>
        <v>983296.45769545529</v>
      </c>
      <c r="AV90" s="609">
        <f t="shared" si="41"/>
        <v>1033013.6943205064</v>
      </c>
      <c r="AW90" s="179">
        <f t="shared" si="34"/>
        <v>745390.27354891459</v>
      </c>
      <c r="BD90" s="364"/>
      <c r="BE90" s="609"/>
      <c r="BG90" s="190"/>
    </row>
    <row r="91" spans="2:59" s="361" customFormat="1" x14ac:dyDescent="0.25">
      <c r="B91" s="622">
        <v>0.96074338163541351</v>
      </c>
      <c r="C91" s="621" t="s">
        <v>593</v>
      </c>
      <c r="D91" s="609">
        <f t="shared" ref="D91:AV91" si="42">$B$91*$D$26*D48</f>
        <v>79606924.923296899</v>
      </c>
      <c r="E91" s="609">
        <f t="shared" si="42"/>
        <v>107342188.70006943</v>
      </c>
      <c r="F91" s="609">
        <f t="shared" si="42"/>
        <v>108212684.63983384</v>
      </c>
      <c r="G91" s="609">
        <f t="shared" si="42"/>
        <v>102987500.03606872</v>
      </c>
      <c r="H91" s="609">
        <f t="shared" si="42"/>
        <v>116046217.32835849</v>
      </c>
      <c r="I91" s="609">
        <f t="shared" si="42"/>
        <v>129636924.93701509</v>
      </c>
      <c r="J91" s="609">
        <f t="shared" si="42"/>
        <v>133255980.03424856</v>
      </c>
      <c r="K91" s="609">
        <f t="shared" si="42"/>
        <v>136114913.99176168</v>
      </c>
      <c r="L91" s="609">
        <f t="shared" si="42"/>
        <v>133410369.27743345</v>
      </c>
      <c r="M91" s="609">
        <f t="shared" si="42"/>
        <v>146542316.58779609</v>
      </c>
      <c r="N91" s="609">
        <f t="shared" si="42"/>
        <v>136093119.98754293</v>
      </c>
      <c r="O91" s="609">
        <f t="shared" si="42"/>
        <v>125333260.14293976</v>
      </c>
      <c r="P91" s="609">
        <f t="shared" si="42"/>
        <v>123701171.10908887</v>
      </c>
      <c r="Q91" s="609">
        <f t="shared" si="42"/>
        <v>137054462.82335773</v>
      </c>
      <c r="R91" s="609">
        <f t="shared" si="42"/>
        <v>118491108.37336063</v>
      </c>
      <c r="S91" s="609">
        <f t="shared" si="42"/>
        <v>100381501.22003721</v>
      </c>
      <c r="T91" s="609">
        <f t="shared" si="42"/>
        <v>97175151.175808936</v>
      </c>
      <c r="U91" s="609">
        <f t="shared" si="42"/>
        <v>105455902.85393633</v>
      </c>
      <c r="V91" s="609">
        <f t="shared" si="42"/>
        <v>117573046.12194775</v>
      </c>
      <c r="W91" s="609">
        <f t="shared" si="42"/>
        <v>105031716.46676216</v>
      </c>
      <c r="X91" s="609">
        <f t="shared" si="42"/>
        <v>100700120.85927211</v>
      </c>
      <c r="Y91" s="609">
        <f t="shared" si="42"/>
        <v>127204572.32484356</v>
      </c>
      <c r="Z91" s="609">
        <f t="shared" si="42"/>
        <v>124229029.57951888</v>
      </c>
      <c r="AA91" s="609">
        <f t="shared" si="42"/>
        <v>140229589.62513271</v>
      </c>
      <c r="AB91" s="609">
        <f t="shared" si="42"/>
        <v>115101344.67360595</v>
      </c>
      <c r="AC91" s="609">
        <f t="shared" si="42"/>
        <v>108896898.98790236</v>
      </c>
      <c r="AD91" s="609">
        <f t="shared" si="42"/>
        <v>68411571.304337054</v>
      </c>
      <c r="AE91" s="609">
        <f t="shared" si="42"/>
        <v>91575315.046484798</v>
      </c>
      <c r="AF91" s="609">
        <f t="shared" si="42"/>
        <v>85679892.022930697</v>
      </c>
      <c r="AG91" s="609">
        <f t="shared" si="42"/>
        <v>53351515.013091274</v>
      </c>
      <c r="AH91" s="609">
        <f t="shared" si="42"/>
        <v>49570306.041448243</v>
      </c>
      <c r="AI91" s="609">
        <f t="shared" si="42"/>
        <v>63388513.497844756</v>
      </c>
      <c r="AJ91" s="609">
        <f t="shared" si="42"/>
        <v>80085814.079857782</v>
      </c>
      <c r="AK91" s="609">
        <f t="shared" si="42"/>
        <v>85595438.624579281</v>
      </c>
      <c r="AL91" s="609">
        <f t="shared" si="42"/>
        <v>97658838.820912525</v>
      </c>
      <c r="AM91" s="609">
        <f t="shared" si="42"/>
        <v>108406973.30769327</v>
      </c>
      <c r="AN91" s="609">
        <f t="shared" si="42"/>
        <v>129516004.25585936</v>
      </c>
      <c r="AO91" s="609">
        <f t="shared" si="42"/>
        <v>158088124.43447775</v>
      </c>
      <c r="AP91" s="609">
        <f t="shared" si="42"/>
        <v>136299147.65981188</v>
      </c>
      <c r="AQ91" s="609">
        <f t="shared" si="42"/>
        <v>108740948.11026479</v>
      </c>
      <c r="AR91" s="609">
        <f t="shared" si="42"/>
        <v>107636815.89659084</v>
      </c>
      <c r="AS91" s="609">
        <f t="shared" si="42"/>
        <v>120272675.7760675</v>
      </c>
      <c r="AT91" s="609">
        <f t="shared" si="42"/>
        <v>139711352.86252174</v>
      </c>
      <c r="AU91" s="609">
        <f t="shared" si="42"/>
        <v>166373194.75229356</v>
      </c>
      <c r="AV91" s="609">
        <f t="shared" si="42"/>
        <v>182350242.20404819</v>
      </c>
      <c r="AW91" s="179">
        <f t="shared" si="34"/>
        <v>113522682.2331568</v>
      </c>
      <c r="BD91" s="364"/>
      <c r="BE91" s="609"/>
      <c r="BG91" s="190"/>
    </row>
    <row r="92" spans="2:59" s="361" customFormat="1" x14ac:dyDescent="0.25">
      <c r="B92" s="622">
        <v>2.1118294323417573E-2</v>
      </c>
      <c r="C92" s="621" t="s">
        <v>594</v>
      </c>
      <c r="D92" s="609">
        <f t="shared" ref="D92:AV92" si="43">$B$92*$D$26*493.5</f>
        <v>520526.75381603942</v>
      </c>
      <c r="E92" s="609">
        <f t="shared" si="43"/>
        <v>520526.75381603942</v>
      </c>
      <c r="F92" s="609">
        <f t="shared" si="43"/>
        <v>520526.75381603942</v>
      </c>
      <c r="G92" s="609">
        <f t="shared" si="43"/>
        <v>520526.75381603942</v>
      </c>
      <c r="H92" s="609">
        <f t="shared" si="43"/>
        <v>520526.75381603942</v>
      </c>
      <c r="I92" s="609">
        <f t="shared" si="43"/>
        <v>520526.75381603942</v>
      </c>
      <c r="J92" s="609">
        <f t="shared" si="43"/>
        <v>520526.75381603942</v>
      </c>
      <c r="K92" s="609">
        <f t="shared" si="43"/>
        <v>520526.75381603942</v>
      </c>
      <c r="L92" s="609">
        <f t="shared" si="43"/>
        <v>520526.75381603942</v>
      </c>
      <c r="M92" s="609">
        <f t="shared" si="43"/>
        <v>520526.75381603942</v>
      </c>
      <c r="N92" s="609">
        <f t="shared" si="43"/>
        <v>520526.75381603942</v>
      </c>
      <c r="O92" s="609">
        <f t="shared" si="43"/>
        <v>520526.75381603942</v>
      </c>
      <c r="P92" s="609">
        <f t="shared" si="43"/>
        <v>520526.75381603942</v>
      </c>
      <c r="Q92" s="609">
        <f t="shared" si="43"/>
        <v>520526.75381603942</v>
      </c>
      <c r="R92" s="609">
        <f t="shared" si="43"/>
        <v>520526.75381603942</v>
      </c>
      <c r="S92" s="609">
        <f t="shared" si="43"/>
        <v>520526.75381603942</v>
      </c>
      <c r="T92" s="609">
        <f t="shared" si="43"/>
        <v>520526.75381603942</v>
      </c>
      <c r="U92" s="609">
        <f t="shared" si="43"/>
        <v>520526.75381603942</v>
      </c>
      <c r="V92" s="609">
        <f t="shared" si="43"/>
        <v>520526.75381603942</v>
      </c>
      <c r="W92" s="609">
        <f t="shared" si="43"/>
        <v>520526.75381603942</v>
      </c>
      <c r="X92" s="609">
        <f t="shared" si="43"/>
        <v>520526.75381603942</v>
      </c>
      <c r="Y92" s="609">
        <f t="shared" si="43"/>
        <v>520526.75381603942</v>
      </c>
      <c r="Z92" s="609">
        <f t="shared" si="43"/>
        <v>520526.75381603942</v>
      </c>
      <c r="AA92" s="609">
        <f t="shared" si="43"/>
        <v>520526.75381603942</v>
      </c>
      <c r="AB92" s="609">
        <f t="shared" si="43"/>
        <v>520526.75381603942</v>
      </c>
      <c r="AC92" s="609">
        <f t="shared" si="43"/>
        <v>520526.75381603942</v>
      </c>
      <c r="AD92" s="609">
        <f t="shared" si="43"/>
        <v>520526.75381603942</v>
      </c>
      <c r="AE92" s="609">
        <f t="shared" si="43"/>
        <v>520526.75381603942</v>
      </c>
      <c r="AF92" s="609">
        <f t="shared" si="43"/>
        <v>520526.75381603942</v>
      </c>
      <c r="AG92" s="609">
        <f t="shared" si="43"/>
        <v>520526.75381603942</v>
      </c>
      <c r="AH92" s="609">
        <f t="shared" si="43"/>
        <v>520526.75381603942</v>
      </c>
      <c r="AI92" s="609">
        <f t="shared" si="43"/>
        <v>520526.75381603942</v>
      </c>
      <c r="AJ92" s="609">
        <f t="shared" si="43"/>
        <v>520526.75381603942</v>
      </c>
      <c r="AK92" s="609">
        <f t="shared" si="43"/>
        <v>520526.75381603942</v>
      </c>
      <c r="AL92" s="609">
        <f t="shared" si="43"/>
        <v>520526.75381603942</v>
      </c>
      <c r="AM92" s="609">
        <f t="shared" si="43"/>
        <v>520526.75381603942</v>
      </c>
      <c r="AN92" s="609">
        <f t="shared" si="43"/>
        <v>520526.75381603942</v>
      </c>
      <c r="AO92" s="609">
        <f t="shared" si="43"/>
        <v>520526.75381603942</v>
      </c>
      <c r="AP92" s="609">
        <f t="shared" si="43"/>
        <v>520526.75381603942</v>
      </c>
      <c r="AQ92" s="609">
        <f t="shared" si="43"/>
        <v>520526.75381603942</v>
      </c>
      <c r="AR92" s="609">
        <f t="shared" si="43"/>
        <v>520526.75381603942</v>
      </c>
      <c r="AS92" s="609">
        <f t="shared" si="43"/>
        <v>520526.75381603942</v>
      </c>
      <c r="AT92" s="609">
        <f t="shared" si="43"/>
        <v>520526.75381603942</v>
      </c>
      <c r="AU92" s="609">
        <f t="shared" si="43"/>
        <v>520526.75381603942</v>
      </c>
      <c r="AV92" s="609">
        <f t="shared" si="43"/>
        <v>520526.75381603942</v>
      </c>
      <c r="AW92" s="179">
        <f t="shared" si="34"/>
        <v>520526.75381603936</v>
      </c>
      <c r="BD92" s="364"/>
      <c r="BE92" s="609"/>
      <c r="BG92" s="190"/>
    </row>
    <row r="93" spans="2:59" s="361" customFormat="1" x14ac:dyDescent="0.25">
      <c r="B93" s="622">
        <v>0.39096585024218888</v>
      </c>
      <c r="C93" s="621" t="s">
        <v>595</v>
      </c>
      <c r="D93" s="609">
        <f t="shared" ref="D93:AV93" si="44">$B$93*$D$26*D48</f>
        <v>32395319.793744639</v>
      </c>
      <c r="E93" s="609">
        <f t="shared" si="44"/>
        <v>43681935.128756337</v>
      </c>
      <c r="F93" s="609">
        <f t="shared" si="44"/>
        <v>44036175.596843697</v>
      </c>
      <c r="G93" s="609">
        <f t="shared" si="44"/>
        <v>41909833.869871847</v>
      </c>
      <c r="H93" s="609">
        <f t="shared" si="44"/>
        <v>47223961.041439392</v>
      </c>
      <c r="I93" s="609">
        <f t="shared" si="44"/>
        <v>52754576.872033589</v>
      </c>
      <c r="J93" s="609">
        <f t="shared" si="44"/>
        <v>54227318.688640915</v>
      </c>
      <c r="K93" s="609">
        <f t="shared" si="44"/>
        <v>55390736.066112429</v>
      </c>
      <c r="L93" s="609">
        <f t="shared" si="44"/>
        <v>54290145.998080492</v>
      </c>
      <c r="M93" s="609">
        <f t="shared" si="44"/>
        <v>59634073.464738682</v>
      </c>
      <c r="N93" s="609">
        <f t="shared" si="44"/>
        <v>55381867.192745775</v>
      </c>
      <c r="O93" s="609">
        <f t="shared" si="44"/>
        <v>51003239.316620111</v>
      </c>
      <c r="P93" s="609">
        <f t="shared" si="44"/>
        <v>50339075.410849273</v>
      </c>
      <c r="Q93" s="609">
        <f t="shared" si="44"/>
        <v>55773076.985457316</v>
      </c>
      <c r="R93" s="609">
        <f t="shared" si="44"/>
        <v>48218887.391628414</v>
      </c>
      <c r="S93" s="609">
        <f t="shared" si="44"/>
        <v>40849346.165959112</v>
      </c>
      <c r="T93" s="609">
        <f t="shared" si="44"/>
        <v>39544550.946780071</v>
      </c>
      <c r="U93" s="609">
        <f t="shared" si="44"/>
        <v>42914328.123878635</v>
      </c>
      <c r="V93" s="609">
        <f t="shared" si="44"/>
        <v>47845290.24221281</v>
      </c>
      <c r="W93" s="609">
        <f t="shared" si="44"/>
        <v>42741709.301107869</v>
      </c>
      <c r="X93" s="609">
        <f t="shared" si="44"/>
        <v>40979005.553198688</v>
      </c>
      <c r="Y93" s="609">
        <f t="shared" si="44"/>
        <v>51764752.923949048</v>
      </c>
      <c r="Z93" s="609">
        <f t="shared" si="44"/>
        <v>50553882.652454115</v>
      </c>
      <c r="AA93" s="609">
        <f t="shared" si="44"/>
        <v>57065166.187851429</v>
      </c>
      <c r="AB93" s="609">
        <f t="shared" si="44"/>
        <v>46839453.64029853</v>
      </c>
      <c r="AC93" s="609">
        <f t="shared" si="44"/>
        <v>44314610.45203381</v>
      </c>
      <c r="AD93" s="609">
        <f t="shared" si="44"/>
        <v>27839471.655662324</v>
      </c>
      <c r="AE93" s="609">
        <f t="shared" si="44"/>
        <v>37265748.162012145</v>
      </c>
      <c r="AF93" s="609">
        <f t="shared" si="44"/>
        <v>34866658.957756884</v>
      </c>
      <c r="AG93" s="609">
        <f t="shared" si="44"/>
        <v>21710917.636815574</v>
      </c>
      <c r="AH93" s="609">
        <f t="shared" si="44"/>
        <v>20172188.764153082</v>
      </c>
      <c r="AI93" s="609">
        <f t="shared" si="44"/>
        <v>25795383.605023872</v>
      </c>
      <c r="AJ93" s="609">
        <f t="shared" si="44"/>
        <v>32590199.414927021</v>
      </c>
      <c r="AK93" s="609">
        <f t="shared" si="44"/>
        <v>34832291.40933194</v>
      </c>
      <c r="AL93" s="609">
        <f t="shared" si="44"/>
        <v>39741383.269577511</v>
      </c>
      <c r="AM93" s="609">
        <f t="shared" si="44"/>
        <v>44115239.617136799</v>
      </c>
      <c r="AN93" s="609">
        <f t="shared" si="44"/>
        <v>52705369.291920528</v>
      </c>
      <c r="AO93" s="609">
        <f t="shared" si="44"/>
        <v>64332535.788597628</v>
      </c>
      <c r="AP93" s="609">
        <f t="shared" si="44"/>
        <v>55465708.29496076</v>
      </c>
      <c r="AQ93" s="609">
        <f t="shared" si="44"/>
        <v>44251147.649544552</v>
      </c>
      <c r="AR93" s="609">
        <f t="shared" si="44"/>
        <v>43801831.007920645</v>
      </c>
      <c r="AS93" s="609">
        <f t="shared" si="44"/>
        <v>48943880.170842148</v>
      </c>
      <c r="AT93" s="609">
        <f t="shared" si="44"/>
        <v>56854274.413425609</v>
      </c>
      <c r="AU93" s="609">
        <f t="shared" si="44"/>
        <v>67704070.397149727</v>
      </c>
      <c r="AV93" s="609">
        <f t="shared" si="44"/>
        <v>74205785.69463329</v>
      </c>
      <c r="AW93" s="179">
        <f t="shared" si="34"/>
        <v>46197031.204637304</v>
      </c>
      <c r="BD93" s="364"/>
      <c r="BE93" s="609"/>
      <c r="BG93" s="190"/>
    </row>
    <row r="94" spans="2:59" s="361" customFormat="1" x14ac:dyDescent="0.25">
      <c r="B94" s="622">
        <v>0.17337086563088677</v>
      </c>
      <c r="C94" s="621" t="s">
        <v>596</v>
      </c>
      <c r="D94" s="609">
        <f t="shared" ref="D94:AV94" si="45">$B$94*$D$26*D48</f>
        <v>14365460.900361897</v>
      </c>
      <c r="E94" s="609">
        <f t="shared" si="45"/>
        <v>19370425.578125112</v>
      </c>
      <c r="F94" s="609">
        <f t="shared" si="45"/>
        <v>19527510.849270284</v>
      </c>
      <c r="G94" s="609">
        <f t="shared" si="45"/>
        <v>18584600.603774872</v>
      </c>
      <c r="H94" s="609">
        <f t="shared" si="45"/>
        <v>20941110.327671632</v>
      </c>
      <c r="I94" s="609">
        <f t="shared" si="45"/>
        <v>23393620.319089118</v>
      </c>
      <c r="J94" s="609">
        <f t="shared" si="45"/>
        <v>24046696.600400772</v>
      </c>
      <c r="K94" s="609">
        <f t="shared" si="45"/>
        <v>24562605.285768829</v>
      </c>
      <c r="L94" s="609">
        <f t="shared" si="45"/>
        <v>24074556.898214638</v>
      </c>
      <c r="M94" s="609">
        <f t="shared" si="45"/>
        <v>26444281.338825706</v>
      </c>
      <c r="N94" s="609">
        <f t="shared" si="45"/>
        <v>24558672.45058183</v>
      </c>
      <c r="O94" s="609">
        <f t="shared" si="45"/>
        <v>22617002.852868408</v>
      </c>
      <c r="P94" s="609">
        <f t="shared" si="45"/>
        <v>22322484.36437906</v>
      </c>
      <c r="Q94" s="609">
        <f t="shared" si="45"/>
        <v>24732151.490665931</v>
      </c>
      <c r="R94" s="609">
        <f t="shared" si="45"/>
        <v>21382302.934300564</v>
      </c>
      <c r="S94" s="609">
        <f t="shared" si="45"/>
        <v>18114335.30795845</v>
      </c>
      <c r="T94" s="609">
        <f t="shared" si="45"/>
        <v>17535733.682062015</v>
      </c>
      <c r="U94" s="609">
        <f t="shared" si="45"/>
        <v>19030036.025386579</v>
      </c>
      <c r="V94" s="609">
        <f t="shared" si="45"/>
        <v>21216634.088412128</v>
      </c>
      <c r="W94" s="609">
        <f t="shared" si="45"/>
        <v>18953489.506785493</v>
      </c>
      <c r="X94" s="609">
        <f t="shared" si="45"/>
        <v>18171831.787993651</v>
      </c>
      <c r="Y94" s="609">
        <f t="shared" si="45"/>
        <v>22954690.334295575</v>
      </c>
      <c r="Z94" s="609">
        <f t="shared" si="45"/>
        <v>22417739.01999091</v>
      </c>
      <c r="AA94" s="609">
        <f t="shared" si="45"/>
        <v>25305118.728987701</v>
      </c>
      <c r="AB94" s="609">
        <f t="shared" si="45"/>
        <v>20770603.412717346</v>
      </c>
      <c r="AC94" s="609">
        <f t="shared" si="45"/>
        <v>19650980.691549905</v>
      </c>
      <c r="AD94" s="609">
        <f t="shared" si="45"/>
        <v>12345204.310450243</v>
      </c>
      <c r="AE94" s="609">
        <f t="shared" si="45"/>
        <v>16525215.727226432</v>
      </c>
      <c r="AF94" s="609">
        <f t="shared" si="45"/>
        <v>15461357.664406382</v>
      </c>
      <c r="AG94" s="609">
        <f t="shared" si="45"/>
        <v>9627543.1268585715</v>
      </c>
      <c r="AH94" s="609">
        <f t="shared" si="45"/>
        <v>8945205.3818624802</v>
      </c>
      <c r="AI94" s="609">
        <f t="shared" si="45"/>
        <v>11438768.83905188</v>
      </c>
      <c r="AJ94" s="609">
        <f t="shared" si="45"/>
        <v>14451878.802583484</v>
      </c>
      <c r="AK94" s="609">
        <f t="shared" si="45"/>
        <v>15446117.633553678</v>
      </c>
      <c r="AL94" s="609">
        <f t="shared" si="45"/>
        <v>17623017.495127507</v>
      </c>
      <c r="AM94" s="609">
        <f t="shared" si="45"/>
        <v>19562571.194387339</v>
      </c>
      <c r="AN94" s="609">
        <f t="shared" si="45"/>
        <v>23371799.587803975</v>
      </c>
      <c r="AO94" s="609">
        <f t="shared" si="45"/>
        <v>28527779.116743993</v>
      </c>
      <c r="AP94" s="609">
        <f t="shared" si="45"/>
        <v>24595851.156746205</v>
      </c>
      <c r="AQ94" s="609">
        <f t="shared" si="45"/>
        <v>19622838.589123033</v>
      </c>
      <c r="AR94" s="609">
        <f t="shared" si="45"/>
        <v>19423592.503940798</v>
      </c>
      <c r="AS94" s="609">
        <f t="shared" si="45"/>
        <v>21703795.529192332</v>
      </c>
      <c r="AT94" s="609">
        <f t="shared" si="45"/>
        <v>25211600.357846107</v>
      </c>
      <c r="AU94" s="609">
        <f t="shared" si="45"/>
        <v>30022860.779828068</v>
      </c>
      <c r="AV94" s="609">
        <f t="shared" si="45"/>
        <v>32905997.525689732</v>
      </c>
      <c r="AW94" s="179">
        <f t="shared" si="34"/>
        <v>20485726.015619121</v>
      </c>
      <c r="BD94" s="364"/>
      <c r="BE94" s="609"/>
      <c r="BG94" s="190"/>
    </row>
    <row r="95" spans="2:59" s="361" customFormat="1" x14ac:dyDescent="0.25">
      <c r="C95" s="541" t="s">
        <v>597</v>
      </c>
      <c r="D95" s="190">
        <f>3131*D26</f>
        <v>156379610.98000002</v>
      </c>
      <c r="E95" s="190">
        <f t="shared" ref="E95:AV95" si="46">3131*E26</f>
        <v>164808544.76999998</v>
      </c>
      <c r="F95" s="190">
        <f t="shared" si="46"/>
        <v>206393162.35700002</v>
      </c>
      <c r="G95" s="190">
        <f t="shared" si="46"/>
        <v>108403454.52999999</v>
      </c>
      <c r="H95" s="190">
        <f t="shared" si="46"/>
        <v>150337281.94</v>
      </c>
      <c r="I95" s="190">
        <f t="shared" si="46"/>
        <v>209943694.44000003</v>
      </c>
      <c r="J95" s="190">
        <f t="shared" si="46"/>
        <v>205954675.19999999</v>
      </c>
      <c r="K95" s="190">
        <f t="shared" si="46"/>
        <v>231832358.89000002</v>
      </c>
      <c r="L95" s="190">
        <f t="shared" si="46"/>
        <v>221494329.16</v>
      </c>
      <c r="M95" s="190">
        <f t="shared" si="46"/>
        <v>197588424.03</v>
      </c>
      <c r="N95" s="190">
        <f t="shared" si="46"/>
        <v>169361425.80000001</v>
      </c>
      <c r="O95" s="190">
        <f t="shared" si="46"/>
        <v>197221251.66</v>
      </c>
      <c r="P95" s="190">
        <f t="shared" si="46"/>
        <v>225661633.80200002</v>
      </c>
      <c r="Q95" s="190">
        <f t="shared" si="46"/>
        <v>228256913.44000003</v>
      </c>
      <c r="R95" s="190">
        <f t="shared" si="46"/>
        <v>278023219.13999999</v>
      </c>
      <c r="S95" s="190">
        <f t="shared" si="46"/>
        <v>268504415.56</v>
      </c>
      <c r="T95" s="190">
        <f t="shared" si="46"/>
        <v>263257611</v>
      </c>
      <c r="U95" s="190">
        <f t="shared" si="46"/>
        <v>266704842</v>
      </c>
      <c r="V95" s="190">
        <f t="shared" si="46"/>
        <v>290725874</v>
      </c>
      <c r="W95" s="190">
        <f t="shared" si="46"/>
        <v>209510865</v>
      </c>
      <c r="X95" s="190">
        <f t="shared" si="46"/>
        <v>234749856</v>
      </c>
      <c r="Y95" s="190">
        <f t="shared" si="46"/>
        <v>219680353</v>
      </c>
      <c r="Z95" s="190">
        <f t="shared" si="46"/>
        <v>271395080</v>
      </c>
      <c r="AA95" s="190">
        <f t="shared" si="46"/>
        <v>308747596.89999998</v>
      </c>
      <c r="AB95" s="190">
        <f t="shared" si="46"/>
        <v>298779244.33999997</v>
      </c>
      <c r="AC95" s="190">
        <f t="shared" si="46"/>
        <v>275330747</v>
      </c>
      <c r="AD95" s="190">
        <f t="shared" si="46"/>
        <v>246957625</v>
      </c>
      <c r="AE95" s="190">
        <f t="shared" si="46"/>
        <v>109487939</v>
      </c>
      <c r="AF95" s="190">
        <f t="shared" si="46"/>
        <v>162652319</v>
      </c>
      <c r="AG95" s="190">
        <f t="shared" si="46"/>
        <v>247756030</v>
      </c>
      <c r="AH95" s="190">
        <f t="shared" si="46"/>
        <v>301928592</v>
      </c>
      <c r="AI95" s="190">
        <f t="shared" si="46"/>
        <v>290960761.62</v>
      </c>
      <c r="AJ95" s="190">
        <f t="shared" si="46"/>
        <v>275643283.42000002</v>
      </c>
      <c r="AK95" s="190">
        <f t="shared" si="46"/>
        <v>285292054.81</v>
      </c>
      <c r="AL95" s="190">
        <f t="shared" si="46"/>
        <v>282213530.37</v>
      </c>
      <c r="AM95" s="190">
        <f t="shared" si="46"/>
        <v>228825784.82999998</v>
      </c>
      <c r="AN95" s="190">
        <f t="shared" si="46"/>
        <v>283588759.5</v>
      </c>
      <c r="AO95" s="190">
        <f t="shared" si="46"/>
        <v>263982437.5</v>
      </c>
      <c r="AP95" s="190">
        <f t="shared" si="46"/>
        <v>317727837.17000002</v>
      </c>
      <c r="AQ95" s="190">
        <f t="shared" si="46"/>
        <v>269715548.98000002</v>
      </c>
      <c r="AR95" s="190">
        <f t="shared" si="46"/>
        <v>233511739.02840051</v>
      </c>
      <c r="AS95" s="190">
        <f t="shared" si="46"/>
        <v>276514207.06100386</v>
      </c>
      <c r="AT95" s="190">
        <f t="shared" si="46"/>
        <v>237667540.97</v>
      </c>
      <c r="AU95" s="190">
        <f t="shared" si="46"/>
        <v>280250769.08999997</v>
      </c>
      <c r="AV95" s="190">
        <f t="shared" si="46"/>
        <v>295328725.78999996</v>
      </c>
      <c r="AW95" s="179">
        <f t="shared" si="34"/>
        <v>238867821.11285341</v>
      </c>
      <c r="AX95" s="631"/>
      <c r="BD95" s="364"/>
      <c r="BE95" s="609"/>
      <c r="BG95" s="190"/>
    </row>
    <row r="96" spans="2:59" s="361" customFormat="1" x14ac:dyDescent="0.25">
      <c r="C96" s="541" t="s">
        <v>598</v>
      </c>
      <c r="D96" s="190">
        <f>7924*D26</f>
        <v>395768775.92000002</v>
      </c>
      <c r="E96" s="190">
        <f t="shared" ref="E96:AV96" si="47">7924*E26</f>
        <v>417100897.07999998</v>
      </c>
      <c r="F96" s="190">
        <f t="shared" si="47"/>
        <v>522344113.22800004</v>
      </c>
      <c r="G96" s="190">
        <f t="shared" si="47"/>
        <v>274349720.12</v>
      </c>
      <c r="H96" s="190">
        <f t="shared" si="47"/>
        <v>380476723.75999999</v>
      </c>
      <c r="I96" s="190">
        <f t="shared" si="47"/>
        <v>531329873.76000005</v>
      </c>
      <c r="J96" s="190">
        <f t="shared" si="47"/>
        <v>521234380.79999995</v>
      </c>
      <c r="K96" s="190">
        <f t="shared" si="47"/>
        <v>586726161.56000006</v>
      </c>
      <c r="L96" s="190">
        <f t="shared" si="47"/>
        <v>560562460.63999999</v>
      </c>
      <c r="M96" s="190">
        <f t="shared" si="47"/>
        <v>500060898.12</v>
      </c>
      <c r="N96" s="190">
        <f t="shared" si="47"/>
        <v>428623423.20000005</v>
      </c>
      <c r="O96" s="190">
        <f t="shared" si="47"/>
        <v>499131650.63999999</v>
      </c>
      <c r="P96" s="190">
        <f t="shared" si="47"/>
        <v>571109162.00800002</v>
      </c>
      <c r="Q96" s="190">
        <f t="shared" si="47"/>
        <v>577677349.75999999</v>
      </c>
      <c r="R96" s="190">
        <f t="shared" si="47"/>
        <v>703626952.56000006</v>
      </c>
      <c r="S96" s="190">
        <f t="shared" si="47"/>
        <v>679536566.24000001</v>
      </c>
      <c r="T96" s="190">
        <f t="shared" si="47"/>
        <v>666257844</v>
      </c>
      <c r="U96" s="190">
        <f t="shared" si="47"/>
        <v>674982168</v>
      </c>
      <c r="V96" s="190">
        <f t="shared" si="47"/>
        <v>735775096</v>
      </c>
      <c r="W96" s="190">
        <f t="shared" si="47"/>
        <v>530234460</v>
      </c>
      <c r="X96" s="190">
        <f t="shared" si="47"/>
        <v>594109824</v>
      </c>
      <c r="Y96" s="190">
        <f t="shared" si="47"/>
        <v>555971612</v>
      </c>
      <c r="Z96" s="190">
        <f t="shared" si="47"/>
        <v>686852320</v>
      </c>
      <c r="AA96" s="190">
        <f t="shared" si="47"/>
        <v>781384847.5999999</v>
      </c>
      <c r="AB96" s="190">
        <f t="shared" si="47"/>
        <v>756156733.36000001</v>
      </c>
      <c r="AC96" s="190">
        <f t="shared" si="47"/>
        <v>696812788</v>
      </c>
      <c r="AD96" s="190">
        <f t="shared" si="47"/>
        <v>625005500</v>
      </c>
      <c r="AE96" s="190">
        <f t="shared" si="47"/>
        <v>277094356</v>
      </c>
      <c r="AF96" s="190">
        <f t="shared" si="47"/>
        <v>411643876</v>
      </c>
      <c r="AG96" s="190">
        <f t="shared" si="47"/>
        <v>627026120</v>
      </c>
      <c r="AH96" s="190">
        <f t="shared" si="47"/>
        <v>764127168</v>
      </c>
      <c r="AI96" s="190">
        <f t="shared" si="47"/>
        <v>736369554.48000002</v>
      </c>
      <c r="AJ96" s="190">
        <f t="shared" si="47"/>
        <v>697603761.68000007</v>
      </c>
      <c r="AK96" s="190">
        <f t="shared" si="47"/>
        <v>722023073.24000001</v>
      </c>
      <c r="AL96" s="190">
        <f t="shared" si="47"/>
        <v>714231879.48000002</v>
      </c>
      <c r="AM96" s="190">
        <f t="shared" si="47"/>
        <v>579117061.31999993</v>
      </c>
      <c r="AN96" s="190">
        <f t="shared" si="47"/>
        <v>717712338</v>
      </c>
      <c r="AO96" s="190">
        <f t="shared" si="47"/>
        <v>668092250</v>
      </c>
      <c r="AP96" s="190">
        <f t="shared" si="47"/>
        <v>804112226.68000007</v>
      </c>
      <c r="AQ96" s="190">
        <f t="shared" si="47"/>
        <v>682601727.91999996</v>
      </c>
      <c r="AR96" s="190">
        <f t="shared" si="47"/>
        <v>590976371.78570604</v>
      </c>
      <c r="AS96" s="190">
        <f t="shared" si="47"/>
        <v>699807913.36678207</v>
      </c>
      <c r="AT96" s="190">
        <f t="shared" si="47"/>
        <v>601493961.88</v>
      </c>
      <c r="AU96" s="190">
        <f t="shared" si="47"/>
        <v>709264482.36000001</v>
      </c>
      <c r="AV96" s="190">
        <f t="shared" si="47"/>
        <v>747424089.15999997</v>
      </c>
      <c r="AW96" s="179">
        <f t="shared" si="34"/>
        <v>604531655.86018872</v>
      </c>
      <c r="AX96" s="631"/>
      <c r="BD96" s="364"/>
      <c r="BE96" s="609"/>
      <c r="BG96" s="190"/>
    </row>
    <row r="97" spans="3:59" s="361" customFormat="1" x14ac:dyDescent="0.25">
      <c r="C97" s="390" t="s">
        <v>599</v>
      </c>
      <c r="D97" s="542">
        <f t="shared" ref="D97:AV97" si="48">SUM(D83:D96)</f>
        <v>783033930.3732264</v>
      </c>
      <c r="E97" s="542">
        <f t="shared" si="48"/>
        <v>869417412.10850358</v>
      </c>
      <c r="F97" s="542">
        <f t="shared" si="48"/>
        <v>1020291171.1701444</v>
      </c>
      <c r="G97" s="542">
        <f t="shared" si="48"/>
        <v>655996464.52712369</v>
      </c>
      <c r="H97" s="542">
        <f t="shared" si="48"/>
        <v>827944772.28328204</v>
      </c>
      <c r="I97" s="542">
        <f t="shared" si="48"/>
        <v>1063709260.3887801</v>
      </c>
      <c r="J97" s="542">
        <f t="shared" si="48"/>
        <v>1062920935.2417638</v>
      </c>
      <c r="K97" s="542">
        <f t="shared" si="48"/>
        <v>1159712425.6862657</v>
      </c>
      <c r="L97" s="542">
        <f t="shared" si="48"/>
        <v>1113298405.4365158</v>
      </c>
      <c r="M97" s="542">
        <f t="shared" si="48"/>
        <v>1052689792.0609471</v>
      </c>
      <c r="N97" s="542">
        <f t="shared" si="48"/>
        <v>931836956.31209505</v>
      </c>
      <c r="O97" s="542">
        <f t="shared" si="48"/>
        <v>1012214601.1352173</v>
      </c>
      <c r="P97" s="542">
        <f t="shared" si="48"/>
        <v>1107660679.358885</v>
      </c>
      <c r="Q97" s="542">
        <f t="shared" si="48"/>
        <v>1142322326.0701942</v>
      </c>
      <c r="R97" s="542">
        <f t="shared" si="48"/>
        <v>1285137139.3758497</v>
      </c>
      <c r="S97" s="542">
        <f t="shared" si="48"/>
        <v>1216288395.4199672</v>
      </c>
      <c r="T97" s="542">
        <f t="shared" si="48"/>
        <v>1192815259.2334554</v>
      </c>
      <c r="U97" s="542">
        <f t="shared" si="48"/>
        <v>1221094055.6706614</v>
      </c>
      <c r="V97" s="542">
        <f t="shared" si="48"/>
        <v>1329533456.2825508</v>
      </c>
      <c r="W97" s="542">
        <f t="shared" si="48"/>
        <v>1017282300.91787</v>
      </c>
      <c r="X97" s="542">
        <f t="shared" si="48"/>
        <v>1099344828.786366</v>
      </c>
      <c r="Y97" s="542">
        <f t="shared" si="48"/>
        <v>1092098761.3646874</v>
      </c>
      <c r="Z97" s="542">
        <f t="shared" si="48"/>
        <v>1272004794.8252802</v>
      </c>
      <c r="AA97" s="542">
        <f t="shared" si="48"/>
        <v>1434651850.5425849</v>
      </c>
      <c r="AB97" s="542">
        <f t="shared" si="48"/>
        <v>1352694749.6303358</v>
      </c>
      <c r="AC97" s="542">
        <f t="shared" si="48"/>
        <v>1256574944.2573729</v>
      </c>
      <c r="AD97" s="542">
        <f t="shared" si="48"/>
        <v>1081762271.6734245</v>
      </c>
      <c r="AE97" s="542">
        <f t="shared" si="48"/>
        <v>633703614.09218121</v>
      </c>
      <c r="AF97" s="542">
        <f t="shared" si="48"/>
        <v>812152188.06526518</v>
      </c>
      <c r="AG97" s="542">
        <f t="shared" si="48"/>
        <v>1057174991.7295213</v>
      </c>
      <c r="AH97" s="542">
        <f t="shared" si="48"/>
        <v>1243050752.858124</v>
      </c>
      <c r="AI97" s="542">
        <f t="shared" si="48"/>
        <v>1230184062.829428</v>
      </c>
      <c r="AJ97" s="542">
        <f t="shared" si="48"/>
        <v>1206913143.6593537</v>
      </c>
      <c r="AK97" s="542">
        <f t="shared" si="48"/>
        <v>1252513926.6917014</v>
      </c>
      <c r="AL97" s="542">
        <f t="shared" si="48"/>
        <v>1263033758.8746743</v>
      </c>
      <c r="AM97" s="542">
        <f t="shared" si="48"/>
        <v>1093393797.8818951</v>
      </c>
      <c r="AN97" s="542">
        <f t="shared" si="48"/>
        <v>1327094400.7580819</v>
      </c>
      <c r="AO97" s="542">
        <f t="shared" si="48"/>
        <v>1309947836.9698036</v>
      </c>
      <c r="AP97" s="542">
        <f t="shared" si="48"/>
        <v>1463718826.1200159</v>
      </c>
      <c r="AQ97" s="542">
        <f t="shared" si="48"/>
        <v>1237721798.3754349</v>
      </c>
      <c r="AR97" s="542">
        <f t="shared" si="48"/>
        <v>1104330668.9378324</v>
      </c>
      <c r="AS97" s="542">
        <f t="shared" si="48"/>
        <v>1281515843.4683039</v>
      </c>
      <c r="AT97" s="542">
        <f t="shared" si="48"/>
        <v>1177493606.7642922</v>
      </c>
      <c r="AU97" s="542">
        <f t="shared" si="48"/>
        <v>1376611093.1118789</v>
      </c>
      <c r="AV97" s="542">
        <f t="shared" si="48"/>
        <v>1457637016.659049</v>
      </c>
      <c r="AW97" s="179">
        <f t="shared" si="34"/>
        <v>1137389405.9551156</v>
      </c>
      <c r="BD97" s="364"/>
      <c r="BE97" s="609"/>
      <c r="BG97" s="190"/>
    </row>
    <row r="98" spans="3:59" s="361" customFormat="1" x14ac:dyDescent="0.25">
      <c r="C98" s="390" t="s">
        <v>600</v>
      </c>
      <c r="D98" s="542">
        <f t="shared" ref="D98:AV98" si="49">(0.00897*D7+0.00894*D7+0.0132*D8+0.00044*D7)*D26</f>
        <v>52462389.445415154</v>
      </c>
      <c r="E98" s="542">
        <f t="shared" si="49"/>
        <v>52633460.412723407</v>
      </c>
      <c r="F98" s="542">
        <f t="shared" si="49"/>
        <v>69973825.034659654</v>
      </c>
      <c r="G98" s="542">
        <f t="shared" si="49"/>
        <v>36217073.12144547</v>
      </c>
      <c r="H98" s="542">
        <f t="shared" si="49"/>
        <v>45488697.08737696</v>
      </c>
      <c r="I98" s="542">
        <f t="shared" si="49"/>
        <v>79431772.699254766</v>
      </c>
      <c r="J98" s="542">
        <f t="shared" si="49"/>
        <v>83418933.212215915</v>
      </c>
      <c r="K98" s="542">
        <f t="shared" si="49"/>
        <v>98030184.103111401</v>
      </c>
      <c r="L98" s="542">
        <f t="shared" si="49"/>
        <v>97019861.750242054</v>
      </c>
      <c r="M98" s="542">
        <f t="shared" si="49"/>
        <v>72105923.603090748</v>
      </c>
      <c r="N98" s="542">
        <f t="shared" si="49"/>
        <v>52037899.1592279</v>
      </c>
      <c r="O98" s="542">
        <f t="shared" si="49"/>
        <v>54283732.818683594</v>
      </c>
      <c r="P98" s="542">
        <f t="shared" si="49"/>
        <v>61902297.890380055</v>
      </c>
      <c r="Q98" s="542">
        <f t="shared" si="49"/>
        <v>62734046.07883735</v>
      </c>
      <c r="R98" s="542">
        <f t="shared" si="49"/>
        <v>79832016.767619699</v>
      </c>
      <c r="S98" s="542">
        <f t="shared" si="49"/>
        <v>81143607.233389825</v>
      </c>
      <c r="T98" s="542">
        <f t="shared" si="49"/>
        <v>80412985.689623058</v>
      </c>
      <c r="U98" s="542">
        <f t="shared" si="49"/>
        <v>73924961.071831122</v>
      </c>
      <c r="V98" s="542">
        <f t="shared" si="49"/>
        <v>75769423.241519675</v>
      </c>
      <c r="W98" s="542">
        <f t="shared" si="49"/>
        <v>55958357.658489682</v>
      </c>
      <c r="X98" s="542">
        <f t="shared" si="49"/>
        <v>59764474.911046967</v>
      </c>
      <c r="Y98" s="542">
        <f t="shared" si="49"/>
        <v>58451134.575759709</v>
      </c>
      <c r="Z98" s="542">
        <f t="shared" si="49"/>
        <v>73263669.275784209</v>
      </c>
      <c r="AA98" s="542">
        <f t="shared" si="49"/>
        <v>84839556.435598835</v>
      </c>
      <c r="AB98" s="542">
        <f t="shared" si="49"/>
        <v>94923368.394326583</v>
      </c>
      <c r="AC98" s="542">
        <f t="shared" si="49"/>
        <v>82946397.888757095</v>
      </c>
      <c r="AD98" s="542">
        <f t="shared" si="49"/>
        <v>68839874.021199629</v>
      </c>
      <c r="AE98" s="542">
        <f t="shared" si="49"/>
        <v>21709682.235087652</v>
      </c>
      <c r="AF98" s="542">
        <f t="shared" si="49"/>
        <v>38365172.074551605</v>
      </c>
      <c r="AG98" s="542">
        <f t="shared" si="49"/>
        <v>60004752.260760508</v>
      </c>
      <c r="AH98" s="542">
        <f t="shared" si="49"/>
        <v>72792969.759471208</v>
      </c>
      <c r="AI98" s="542">
        <f t="shared" si="49"/>
        <v>71230514.629047781</v>
      </c>
      <c r="AJ98" s="542">
        <f t="shared" si="49"/>
        <v>68147606.904539973</v>
      </c>
      <c r="AK98" s="542">
        <f t="shared" si="49"/>
        <v>66551803.478235759</v>
      </c>
      <c r="AL98" s="542">
        <f t="shared" si="49"/>
        <v>70204809.608672544</v>
      </c>
      <c r="AM98" s="542">
        <f t="shared" si="49"/>
        <v>59748959.904358424</v>
      </c>
      <c r="AN98" s="542">
        <f t="shared" si="49"/>
        <v>81658451.960951805</v>
      </c>
      <c r="AO98" s="542">
        <f t="shared" si="49"/>
        <v>81317949.331887171</v>
      </c>
      <c r="AP98" s="542">
        <f t="shared" si="49"/>
        <v>100237486.1135754</v>
      </c>
      <c r="AQ98" s="542">
        <f t="shared" si="49"/>
        <v>79943640.909675121</v>
      </c>
      <c r="AR98" s="542">
        <f t="shared" si="49"/>
        <v>63998014.437710166</v>
      </c>
      <c r="AS98" s="542">
        <f t="shared" si="49"/>
        <v>78932396.319880903</v>
      </c>
      <c r="AT98" s="542">
        <f t="shared" si="49"/>
        <v>75654667.49307254</v>
      </c>
      <c r="AU98" s="542">
        <f t="shared" si="49"/>
        <v>91440174.799338803</v>
      </c>
      <c r="AV98" s="542">
        <f t="shared" si="49"/>
        <v>96431241.07786268</v>
      </c>
      <c r="AW98" s="179">
        <f t="shared" si="34"/>
        <v>70359560.375117585</v>
      </c>
      <c r="BD98" s="364"/>
      <c r="BE98" s="609"/>
      <c r="BG98" s="190"/>
    </row>
    <row r="99" spans="3:59" s="361" customFormat="1" x14ac:dyDescent="0.25">
      <c r="C99" s="390" t="s">
        <v>601</v>
      </c>
      <c r="D99" s="542">
        <f t="shared" ref="D99:AV99" si="50">D52+D97+D98</f>
        <v>5074639186.1020145</v>
      </c>
      <c r="E99" s="542">
        <f t="shared" si="50"/>
        <v>5223210593.7037344</v>
      </c>
      <c r="F99" s="542">
        <f t="shared" si="50"/>
        <v>6111434913.605648</v>
      </c>
      <c r="G99" s="542">
        <f t="shared" si="50"/>
        <v>3747015154.3465443</v>
      </c>
      <c r="H99" s="542">
        <f t="shared" si="50"/>
        <v>5506475929.4432526</v>
      </c>
      <c r="I99" s="542">
        <f t="shared" si="50"/>
        <v>6730213863.1424294</v>
      </c>
      <c r="J99" s="542">
        <f t="shared" si="50"/>
        <v>7021344203.7628078</v>
      </c>
      <c r="K99" s="542">
        <f t="shared" si="50"/>
        <v>8108444506.5326061</v>
      </c>
      <c r="L99" s="542">
        <f t="shared" si="50"/>
        <v>7726175722.430027</v>
      </c>
      <c r="M99" s="542">
        <f t="shared" si="50"/>
        <v>6887891337.8317213</v>
      </c>
      <c r="N99" s="542">
        <f t="shared" si="50"/>
        <v>4824773492.0508976</v>
      </c>
      <c r="O99" s="542">
        <f t="shared" si="50"/>
        <v>4956567371.1909733</v>
      </c>
      <c r="P99" s="542">
        <f t="shared" si="50"/>
        <v>5794575686.4156599</v>
      </c>
      <c r="Q99" s="542">
        <f t="shared" si="50"/>
        <v>5962184776.1494093</v>
      </c>
      <c r="R99" s="542">
        <f t="shared" si="50"/>
        <v>7538627709.5379257</v>
      </c>
      <c r="S99" s="542">
        <f t="shared" si="50"/>
        <v>7307246717.9585428</v>
      </c>
      <c r="T99" s="542">
        <f t="shared" si="50"/>
        <v>7168012330.3397131</v>
      </c>
      <c r="U99" s="542">
        <f t="shared" si="50"/>
        <v>6420753194.7468681</v>
      </c>
      <c r="V99" s="542">
        <f t="shared" si="50"/>
        <v>7497474950.8155613</v>
      </c>
      <c r="W99" s="542">
        <f t="shared" si="50"/>
        <v>5579951574.6744671</v>
      </c>
      <c r="X99" s="542">
        <f t="shared" si="50"/>
        <v>5954607364.5487804</v>
      </c>
      <c r="Y99" s="542">
        <f t="shared" si="50"/>
        <v>5515696403.8230648</v>
      </c>
      <c r="Z99" s="542">
        <f t="shared" si="50"/>
        <v>7573781146.0781384</v>
      </c>
      <c r="AA99" s="542">
        <f t="shared" si="50"/>
        <v>8900890321.0115242</v>
      </c>
      <c r="AB99" s="542">
        <f t="shared" si="50"/>
        <v>8932133756.4476109</v>
      </c>
      <c r="AC99" s="542">
        <f t="shared" si="50"/>
        <v>7299752849.8966789</v>
      </c>
      <c r="AD99" s="542">
        <f t="shared" si="50"/>
        <v>5309874578.949729</v>
      </c>
      <c r="AE99" s="542">
        <f t="shared" si="50"/>
        <v>3343826348.8219485</v>
      </c>
      <c r="AF99" s="542">
        <f t="shared" si="50"/>
        <v>4677240836.0970755</v>
      </c>
      <c r="AG99" s="542">
        <f t="shared" si="50"/>
        <v>7025019458.7447519</v>
      </c>
      <c r="AH99" s="542">
        <f t="shared" si="50"/>
        <v>7043537975.9932966</v>
      </c>
      <c r="AI99" s="542">
        <f t="shared" si="50"/>
        <v>6731250961.4139423</v>
      </c>
      <c r="AJ99" s="542">
        <f t="shared" si="50"/>
        <v>6401178339.0984354</v>
      </c>
      <c r="AK99" s="542">
        <f t="shared" si="50"/>
        <v>6176807590.6196108</v>
      </c>
      <c r="AL99" s="542">
        <f t="shared" si="50"/>
        <v>6378491126.1289682</v>
      </c>
      <c r="AM99" s="542">
        <f t="shared" si="50"/>
        <v>5545279265.3787746</v>
      </c>
      <c r="AN99" s="542">
        <f t="shared" si="50"/>
        <v>7984256465.5398798</v>
      </c>
      <c r="AO99" s="542">
        <f t="shared" si="50"/>
        <v>7980254787.3233938</v>
      </c>
      <c r="AP99" s="542">
        <f t="shared" si="50"/>
        <v>10014803922.27236</v>
      </c>
      <c r="AQ99" s="542">
        <f t="shared" si="50"/>
        <v>7829069313.3792553</v>
      </c>
      <c r="AR99" s="542">
        <f t="shared" si="50"/>
        <v>6432402679.3499832</v>
      </c>
      <c r="AS99" s="542">
        <f t="shared" si="50"/>
        <v>8682792218.25704</v>
      </c>
      <c r="AT99" s="542">
        <f t="shared" si="50"/>
        <v>7766146311.517498</v>
      </c>
      <c r="AU99" s="542">
        <f t="shared" si="50"/>
        <v>9440041079.1145973</v>
      </c>
      <c r="AV99" s="542">
        <f t="shared" si="50"/>
        <v>10658189236.078285</v>
      </c>
      <c r="AW99" s="179">
        <f t="shared" si="34"/>
        <v>6772985278.9036779</v>
      </c>
      <c r="BD99" s="364"/>
      <c r="BE99" s="609"/>
      <c r="BG99" s="190"/>
    </row>
    <row r="100" spans="3:59" x14ac:dyDescent="0.25">
      <c r="C100" s="390" t="s">
        <v>602</v>
      </c>
      <c r="D100" s="542">
        <f>D99-D64-D69</f>
        <v>3907985284.4756761</v>
      </c>
      <c r="E100" s="542">
        <f t="shared" ref="E100:AU100" si="51">E99-E64-E69</f>
        <v>3957892462.4642305</v>
      </c>
      <c r="F100" s="542">
        <f t="shared" si="51"/>
        <v>4827513517.4754648</v>
      </c>
      <c r="G100" s="542">
        <f t="shared" si="51"/>
        <v>2522527664.4012709</v>
      </c>
      <c r="H100" s="542">
        <f t="shared" si="51"/>
        <v>4220561631.6730437</v>
      </c>
      <c r="I100" s="542">
        <f t="shared" si="51"/>
        <v>5036732574.8833828</v>
      </c>
      <c r="J100" s="542">
        <f t="shared" si="51"/>
        <v>5564070051.9098778</v>
      </c>
      <c r="K100" s="542">
        <f t="shared" si="51"/>
        <v>6092807833.3053474</v>
      </c>
      <c r="L100" s="542">
        <f t="shared" si="51"/>
        <v>6095427820.5709753</v>
      </c>
      <c r="M100" s="542">
        <f t="shared" si="51"/>
        <v>5336641842.157135</v>
      </c>
      <c r="N100" s="542">
        <f t="shared" si="51"/>
        <v>3325952282.6677585</v>
      </c>
      <c r="O100" s="542">
        <f t="shared" si="51"/>
        <v>3733081193.6186004</v>
      </c>
      <c r="P100" s="542">
        <f t="shared" si="51"/>
        <v>4323606156.9049091</v>
      </c>
      <c r="Q100" s="542">
        <f t="shared" si="51"/>
        <v>4500053765.9727821</v>
      </c>
      <c r="R100" s="542">
        <f t="shared" si="51"/>
        <v>5721991079.9730043</v>
      </c>
      <c r="S100" s="542">
        <f t="shared" si="51"/>
        <v>5847910195.2800932</v>
      </c>
      <c r="T100" s="542">
        <f t="shared" si="51"/>
        <v>5647001419.1780148</v>
      </c>
      <c r="U100" s="542">
        <f t="shared" si="51"/>
        <v>4830853153.8413</v>
      </c>
      <c r="V100" s="542">
        <f t="shared" si="51"/>
        <v>5577294845.3689613</v>
      </c>
      <c r="W100" s="542">
        <f t="shared" si="51"/>
        <v>4275217988.2176137</v>
      </c>
      <c r="X100" s="542">
        <f t="shared" si="51"/>
        <v>4096190813.6025333</v>
      </c>
      <c r="Y100" s="542">
        <f t="shared" si="51"/>
        <v>4175483248.9116135</v>
      </c>
      <c r="Z100" s="542">
        <f t="shared" si="51"/>
        <v>5558783261.6494417</v>
      </c>
      <c r="AA100" s="542">
        <f t="shared" si="51"/>
        <v>6795827260.4325905</v>
      </c>
      <c r="AB100" s="542">
        <f t="shared" si="51"/>
        <v>6466423753.2991571</v>
      </c>
      <c r="AC100" s="542">
        <f t="shared" si="51"/>
        <v>5471279994.0536575</v>
      </c>
      <c r="AD100" s="542">
        <f t="shared" si="51"/>
        <v>3709613889.266324</v>
      </c>
      <c r="AE100" s="542">
        <f t="shared" si="51"/>
        <v>2839166136.9742017</v>
      </c>
      <c r="AF100" s="542">
        <f t="shared" si="51"/>
        <v>3982630045.4725561</v>
      </c>
      <c r="AG100" s="542">
        <f t="shared" si="51"/>
        <v>6158845780.9979782</v>
      </c>
      <c r="AH100" s="542">
        <f t="shared" si="51"/>
        <v>5769747781.3535099</v>
      </c>
      <c r="AI100" s="542">
        <f t="shared" si="51"/>
        <v>5257225772.1400433</v>
      </c>
      <c r="AJ100" s="542">
        <f t="shared" si="51"/>
        <v>4856731932.7321663</v>
      </c>
      <c r="AK100" s="542">
        <f t="shared" si="51"/>
        <v>4379908742.086669</v>
      </c>
      <c r="AL100" s="542">
        <f t="shared" si="51"/>
        <v>4556799005.9572353</v>
      </c>
      <c r="AM100" s="542">
        <f t="shared" si="51"/>
        <v>4084949316.735178</v>
      </c>
      <c r="AN100" s="542">
        <f t="shared" si="51"/>
        <v>5760105679.5560942</v>
      </c>
      <c r="AO100" s="542">
        <f t="shared" si="51"/>
        <v>6152333082.132556</v>
      </c>
      <c r="AP100" s="542">
        <f t="shared" si="51"/>
        <v>7656944745.469717</v>
      </c>
      <c r="AQ100" s="542">
        <f t="shared" si="51"/>
        <v>5624365172.1289692</v>
      </c>
      <c r="AR100" s="542">
        <f t="shared" si="51"/>
        <v>4775211075.1148996</v>
      </c>
      <c r="AS100" s="542">
        <f t="shared" si="51"/>
        <v>6419706158.068861</v>
      </c>
      <c r="AT100" s="542">
        <f t="shared" si="51"/>
        <v>5859388355.0557489</v>
      </c>
      <c r="AU100" s="542">
        <f t="shared" si="51"/>
        <v>6695289438.55373</v>
      </c>
      <c r="AV100" s="542">
        <f>AV99-AV64-AV69</f>
        <v>7554798133.4601545</v>
      </c>
      <c r="AW100" s="179">
        <f t="shared" si="34"/>
        <v>5111174918.6565561</v>
      </c>
    </row>
    <row r="101" spans="3:59" s="361" customFormat="1" x14ac:dyDescent="0.25">
      <c r="C101" s="409" t="s">
        <v>351</v>
      </c>
      <c r="D101" s="624">
        <f t="shared" ref="D101:AV101" si="52">D100*D59/D26</f>
        <v>53510.617261249237</v>
      </c>
      <c r="E101" s="624">
        <f t="shared" si="52"/>
        <v>52283.264083431939</v>
      </c>
      <c r="F101" s="624">
        <f t="shared" si="52"/>
        <v>52877.212416888375</v>
      </c>
      <c r="G101" s="624">
        <f t="shared" si="52"/>
        <v>50347.728309156482</v>
      </c>
      <c r="H101" s="624">
        <f t="shared" si="52"/>
        <v>58644.078970118135</v>
      </c>
      <c r="I101" s="624">
        <f t="shared" si="52"/>
        <v>54554.424550535732</v>
      </c>
      <c r="J101" s="624">
        <f t="shared" si="52"/>
        <v>62248.408036118301</v>
      </c>
      <c r="K101" s="624">
        <f t="shared" si="52"/>
        <v>59194.47251764925</v>
      </c>
      <c r="L101" s="624">
        <f t="shared" si="52"/>
        <v>63395.919203486919</v>
      </c>
      <c r="M101" s="624">
        <f t="shared" si="52"/>
        <v>58281.912878423384</v>
      </c>
      <c r="N101" s="624">
        <f t="shared" si="52"/>
        <v>42856.187575278513</v>
      </c>
      <c r="O101" s="624">
        <f t="shared" si="52"/>
        <v>42934.532194926636</v>
      </c>
      <c r="P101" s="624">
        <f t="shared" si="52"/>
        <v>42558.916393136373</v>
      </c>
      <c r="Q101" s="624">
        <f t="shared" si="52"/>
        <v>43502.126599835683</v>
      </c>
      <c r="R101" s="624">
        <f t="shared" si="52"/>
        <v>44898.839332988675</v>
      </c>
      <c r="S101" s="624">
        <f t="shared" si="52"/>
        <v>48347.896105710657</v>
      </c>
      <c r="T101" s="624">
        <f t="shared" si="52"/>
        <v>47418.967193064287</v>
      </c>
      <c r="U101" s="624">
        <f t="shared" si="52"/>
        <v>40780.983739772848</v>
      </c>
      <c r="V101" s="624">
        <f t="shared" si="52"/>
        <v>42398.043215281854</v>
      </c>
      <c r="W101" s="624">
        <f t="shared" si="52"/>
        <v>45494.400645631824</v>
      </c>
      <c r="X101" s="624">
        <f t="shared" si="52"/>
        <v>38484.245819093034</v>
      </c>
      <c r="Y101" s="624">
        <f t="shared" si="52"/>
        <v>42329.285201640545</v>
      </c>
      <c r="Z101" s="624">
        <f t="shared" si="52"/>
        <v>44049.130007897918</v>
      </c>
      <c r="AA101" s="624">
        <f t="shared" si="52"/>
        <v>47327.541344309531</v>
      </c>
      <c r="AB101" s="624">
        <f t="shared" si="52"/>
        <v>46101.945081724247</v>
      </c>
      <c r="AC101" s="624">
        <f t="shared" si="52"/>
        <v>43424.280358827891</v>
      </c>
      <c r="AD101" s="624">
        <f t="shared" si="52"/>
        <v>33298.995807926593</v>
      </c>
      <c r="AE101" s="624">
        <f t="shared" si="52"/>
        <v>55285.387817541778</v>
      </c>
      <c r="AF101" s="624">
        <f t="shared" si="52"/>
        <v>51584.446756561389</v>
      </c>
      <c r="AG101" s="624">
        <f t="shared" si="52"/>
        <v>52951.152048992204</v>
      </c>
      <c r="AH101" s="624">
        <f t="shared" si="52"/>
        <v>41331.216706838568</v>
      </c>
      <c r="AI101" s="624">
        <f t="shared" si="52"/>
        <v>39202.792629090742</v>
      </c>
      <c r="AJ101" s="624">
        <f t="shared" si="52"/>
        <v>38296.255896928356</v>
      </c>
      <c r="AK101" s="624">
        <f t="shared" si="52"/>
        <v>32708.764597182577</v>
      </c>
      <c r="AL101" s="624">
        <f t="shared" si="52"/>
        <v>34821.235375881297</v>
      </c>
      <c r="AM101" s="624">
        <f t="shared" si="52"/>
        <v>39015.963314782792</v>
      </c>
      <c r="AN101" s="624">
        <f t="shared" si="52"/>
        <v>42641.138994297202</v>
      </c>
      <c r="AO101" s="624">
        <f t="shared" si="52"/>
        <v>49023.556382850387</v>
      </c>
      <c r="AP101" s="624">
        <f t="shared" si="52"/>
        <v>50184.627609662501</v>
      </c>
      <c r="AQ101" s="624">
        <f t="shared" si="52"/>
        <v>44009.330026953889</v>
      </c>
      <c r="AR101" s="624">
        <f t="shared" si="52"/>
        <v>44032.595262005387</v>
      </c>
      <c r="AS101" s="624">
        <f t="shared" si="52"/>
        <v>48577.103699741776</v>
      </c>
      <c r="AT101" s="624">
        <f t="shared" si="52"/>
        <v>51731.935321746067</v>
      </c>
      <c r="AU101" s="624">
        <f t="shared" si="52"/>
        <v>49678.711785097308</v>
      </c>
      <c r="AV101" s="624">
        <f t="shared" si="52"/>
        <v>52588.626945729324</v>
      </c>
      <c r="AW101" s="625">
        <f t="shared" si="34"/>
        <v>47093.537689244185</v>
      </c>
      <c r="BD101" s="364"/>
      <c r="BE101" s="609"/>
      <c r="BG101" s="190"/>
    </row>
    <row r="102" spans="3:59" s="361" customFormat="1" x14ac:dyDescent="0.25">
      <c r="C102" s="409" t="s">
        <v>352</v>
      </c>
      <c r="D102" s="624">
        <f t="shared" ref="D102:AV102" si="53">D60*D100/D27</f>
        <v>56076.553300252883</v>
      </c>
      <c r="E102" s="624">
        <f t="shared" si="53"/>
        <v>54969.231687727886</v>
      </c>
      <c r="F102" s="624">
        <f t="shared" si="53"/>
        <v>57305.40755141621</v>
      </c>
      <c r="G102" s="624">
        <f t="shared" si="53"/>
        <v>45904.577271254886</v>
      </c>
      <c r="H102" s="624">
        <f t="shared" si="53"/>
        <v>64678.598269604343</v>
      </c>
      <c r="I102" s="624">
        <f t="shared" si="53"/>
        <v>61755.195529415199</v>
      </c>
      <c r="J102" s="624">
        <f t="shared" si="53"/>
        <v>68778.722130475857</v>
      </c>
      <c r="K102" s="624">
        <f t="shared" si="53"/>
        <v>67362.36831326074</v>
      </c>
      <c r="L102" s="624">
        <f t="shared" si="53"/>
        <v>75106.126451246906</v>
      </c>
      <c r="M102" s="624">
        <f t="shared" si="53"/>
        <v>76657.855610940213</v>
      </c>
      <c r="N102" s="624">
        <f t="shared" si="53"/>
        <v>52830.514337375564</v>
      </c>
      <c r="O102" s="624">
        <f t="shared" si="53"/>
        <v>53264.038379578429</v>
      </c>
      <c r="P102" s="624">
        <f t="shared" si="53"/>
        <v>50145.940812202622</v>
      </c>
      <c r="Q102" s="624">
        <f t="shared" si="53"/>
        <v>53643.695664939412</v>
      </c>
      <c r="R102" s="624">
        <f t="shared" si="53"/>
        <v>58785.084186245607</v>
      </c>
      <c r="S102" s="624">
        <f t="shared" si="53"/>
        <v>63941.40549765031</v>
      </c>
      <c r="T102" s="624">
        <f t="shared" si="53"/>
        <v>64673.208346046544</v>
      </c>
      <c r="U102" s="624">
        <f t="shared" si="53"/>
        <v>50837.169285980737</v>
      </c>
      <c r="V102" s="624">
        <f t="shared" si="53"/>
        <v>51243.774112303749</v>
      </c>
      <c r="W102" s="624">
        <f t="shared" si="53"/>
        <v>53554.934479667601</v>
      </c>
      <c r="X102" s="624">
        <f t="shared" si="53"/>
        <v>44434.511324093139</v>
      </c>
      <c r="Y102" s="624">
        <f t="shared" si="53"/>
        <v>54556.43803724071</v>
      </c>
      <c r="Z102" s="624">
        <f t="shared" si="53"/>
        <v>55382.120734507916</v>
      </c>
      <c r="AA102" s="624">
        <f t="shared" si="53"/>
        <v>61128.40297263251</v>
      </c>
      <c r="AB102" s="624">
        <f t="shared" si="53"/>
        <v>59506.954764609152</v>
      </c>
      <c r="AC102" s="624">
        <f t="shared" si="53"/>
        <v>55440.424426011727</v>
      </c>
      <c r="AD102" s="624">
        <f t="shared" si="53"/>
        <v>37596.514922461422</v>
      </c>
      <c r="AE102" s="624">
        <f t="shared" si="53"/>
        <v>68513.947238132168</v>
      </c>
      <c r="AF102" s="624">
        <f t="shared" si="53"/>
        <v>59546.143551917201</v>
      </c>
      <c r="AG102" s="624">
        <f t="shared" si="53"/>
        <v>68786.986212047559</v>
      </c>
      <c r="AH102" s="624">
        <f t="shared" si="53"/>
        <v>49663.063463969869</v>
      </c>
      <c r="AI102" s="624">
        <f t="shared" si="53"/>
        <v>46549.045655257803</v>
      </c>
      <c r="AJ102" s="624">
        <f t="shared" si="53"/>
        <v>46879.944702400477</v>
      </c>
      <c r="AK102" s="624">
        <f t="shared" si="53"/>
        <v>38195.608721062817</v>
      </c>
      <c r="AL102" s="624">
        <f t="shared" si="53"/>
        <v>44926.778317548305</v>
      </c>
      <c r="AM102" s="624">
        <f t="shared" si="53"/>
        <v>52612.022446844523</v>
      </c>
      <c r="AN102" s="624">
        <f t="shared" si="53"/>
        <v>54343.931566689615</v>
      </c>
      <c r="AO102" s="624">
        <f t="shared" si="53"/>
        <v>64438.840625058321</v>
      </c>
      <c r="AP102" s="624">
        <f t="shared" si="53"/>
        <v>66724.994430856081</v>
      </c>
      <c r="AQ102" s="624">
        <f t="shared" si="53"/>
        <v>59257.557006578034</v>
      </c>
      <c r="AR102" s="624">
        <f t="shared" si="53"/>
        <v>62299.824263854105</v>
      </c>
      <c r="AS102" s="624">
        <f t="shared" si="53"/>
        <v>66031.375264730901</v>
      </c>
      <c r="AT102" s="624">
        <f t="shared" si="53"/>
        <v>74319.198994743361</v>
      </c>
      <c r="AU102" s="624">
        <f t="shared" si="53"/>
        <v>68476.251174190329</v>
      </c>
      <c r="AV102" s="624">
        <f t="shared" si="53"/>
        <v>70317.209249099004</v>
      </c>
      <c r="AW102" s="625">
        <f t="shared" si="34"/>
        <v>58032.055361869381</v>
      </c>
      <c r="BD102" s="364"/>
      <c r="BE102" s="609"/>
      <c r="BG102" s="190"/>
    </row>
    <row r="103" spans="3:59" x14ac:dyDescent="0.25">
      <c r="D103" s="1"/>
    </row>
    <row r="105" spans="3:59" x14ac:dyDescent="0.25">
      <c r="C105" s="390" t="s">
        <v>574</v>
      </c>
      <c r="D105" s="6">
        <f>VLOOKUP('Prices and COP model'!D5,'USD to INR'!$B$2:$G$560,6,TRUE)</f>
        <v>63.34</v>
      </c>
      <c r="E105" s="6">
        <f>VLOOKUP('Prices and COP model'!E5,'USD to INR'!$B$2:$G$560,6,TRUE)</f>
        <v>64.13</v>
      </c>
      <c r="F105" s="6">
        <f>VLOOKUP('Prices and COP model'!F5,'USD to INR'!$B$2:$G$560,6,TRUE)</f>
        <v>65.22</v>
      </c>
      <c r="G105" s="6">
        <f>VLOOKUP('Prices and COP model'!G5,'USD to INR'!$B$2:$G$560,6,TRUE)</f>
        <v>64.930000000000007</v>
      </c>
      <c r="H105" s="6">
        <f>VLOOKUP('Prices and COP model'!H5,'USD to INR'!$B$2:$G$560,6,TRUE)</f>
        <v>66.819999999999993</v>
      </c>
      <c r="I105" s="6">
        <f>VLOOKUP('Prices and COP model'!I5,'USD to INR'!$B$2:$G$560,6,TRUE)</f>
        <v>66.995000000000005</v>
      </c>
      <c r="J105" s="6">
        <f>VLOOKUP('Prices and COP model'!J5,'USD to INR'!$B$2:$G$560,6,TRUE)</f>
        <v>68.805000000000007</v>
      </c>
      <c r="K105" s="6">
        <f>VLOOKUP('Prices and COP model'!K5,'USD to INR'!$B$2:$G$560,6,TRUE)</f>
        <v>68.545000000000002</v>
      </c>
      <c r="L105" s="6">
        <f>VLOOKUP('Prices and COP model'!L5,'USD to INR'!$B$2:$G$560,6,TRUE)</f>
        <v>71.004999999999995</v>
      </c>
      <c r="M105" s="6">
        <f>VLOOKUP('Prices and COP model'!M5,'USD to INR'!$B$2:$G$560,6,TRUE)</f>
        <v>73.77</v>
      </c>
      <c r="N105" s="6">
        <f>VLOOKUP('Prices and COP model'!N5,'USD to INR'!$B$2:$G$560,6,TRUE)</f>
        <v>72.44</v>
      </c>
      <c r="O105" s="6">
        <f>VLOOKUP('Prices and COP model'!O5,'USD to INR'!$B$2:$G$560,6,TRUE)</f>
        <v>69.650000000000006</v>
      </c>
      <c r="P105" s="6">
        <f>VLOOKUP('Prices and COP model'!P5,'USD to INR'!$B$2:$G$560,6,TRUE)</f>
        <v>69.55</v>
      </c>
      <c r="Q105" s="6">
        <f>VLOOKUP('Prices and COP model'!Q5,'USD to INR'!$B$2:$G$560,6,TRUE)</f>
        <v>71.435000000000002</v>
      </c>
      <c r="R105" s="6">
        <f>VLOOKUP('Prices and COP model'!R5,'USD to INR'!$B$2:$G$560,6,TRUE)</f>
        <v>71</v>
      </c>
      <c r="S105" s="6">
        <f>VLOOKUP('Prices and COP model'!S5,'USD to INR'!$B$2:$G$560,6,TRUE)</f>
        <v>69.17</v>
      </c>
      <c r="T105" s="6">
        <f>VLOOKUP('Prices and COP model'!T5,'USD to INR'!$B$2:$G$560,6,TRUE)</f>
        <v>69.094999999999999</v>
      </c>
      <c r="U105" s="6">
        <f>VLOOKUP('Prices and COP model'!U5,'USD to INR'!$B$2:$G$560,6,TRUE)</f>
        <v>69.58</v>
      </c>
      <c r="V105" s="6">
        <f>VLOOKUP('Prices and COP model'!V5,'USD to INR'!$B$2:$G$560,6,TRUE)</f>
        <v>68.45</v>
      </c>
      <c r="W105" s="6">
        <f>VLOOKUP('Prices and COP model'!W5,'USD to INR'!$B$2:$G$560,6,TRUE)</f>
        <v>69.7</v>
      </c>
      <c r="X105" s="6">
        <f>VLOOKUP('Prices and COP model'!X5,'USD to INR'!$B$2:$G$560,6,TRUE)</f>
        <v>71.644999999999996</v>
      </c>
      <c r="Y105" s="6">
        <f>VLOOKUP('Prices and COP model'!Y5,'USD to INR'!$B$2:$G$560,6,TRUE)</f>
        <v>70.825000000000003</v>
      </c>
      <c r="Z105" s="6">
        <f>VLOOKUP('Prices and COP model'!Z5,'USD to INR'!$B$2:$G$560,6,TRUE)</f>
        <v>70.760000000000005</v>
      </c>
      <c r="AA105" s="6">
        <f>VLOOKUP('Prices and COP model'!AA5,'USD to INR'!$B$2:$G$560,6,TRUE)</f>
        <v>71.283000000000001</v>
      </c>
      <c r="AB105" s="6">
        <f>VLOOKUP('Prices and COP model'!AB5,'USD to INR'!$B$2:$G$560,6,TRUE)</f>
        <v>71.77</v>
      </c>
      <c r="AC105" s="6">
        <f>VLOOKUP('Prices and COP model'!AC5,'USD to INR'!$B$2:$G$560,6,TRUE)</f>
        <v>71.555000000000007</v>
      </c>
      <c r="AD105" s="6">
        <f>VLOOKUP('Prices and COP model'!AD5,'USD to INR'!$B$2:$G$560,6,TRUE)</f>
        <v>74.004000000000005</v>
      </c>
      <c r="AE105" s="6">
        <f>VLOOKUP('Prices and COP model'!AE5,'USD to INR'!$B$2:$G$560,6,TRUE)</f>
        <v>76.241</v>
      </c>
      <c r="AF105" s="6">
        <f>VLOOKUP('Prices and COP model'!AF5,'USD to INR'!$B$2:$G$560,6,TRUE)</f>
        <v>75.748999999999995</v>
      </c>
      <c r="AG105" s="6">
        <f>VLOOKUP('Prices and COP model'!AG5,'USD to INR'!$B$2:$G$560,6,TRUE)</f>
        <v>75.56</v>
      </c>
      <c r="AH105" s="6">
        <f>VLOOKUP('Prices and COP model'!AH5,'USD to INR'!$B$2:$G$560,6,TRUE)</f>
        <v>74.635999999999996</v>
      </c>
      <c r="AI105" s="6">
        <f>VLOOKUP('Prices and COP model'!AI5,'USD to INR'!$B$2:$G$560,6,TRUE)</f>
        <v>74.915999999999997</v>
      </c>
      <c r="AJ105" s="6">
        <f>VLOOKUP('Prices and COP model'!AJ5,'USD to INR'!$B$2:$G$560,6,TRUE)</f>
        <v>73.289000000000001</v>
      </c>
      <c r="AK105" s="6">
        <f>VLOOKUP('Prices and COP model'!AK5,'USD to INR'!$B$2:$G$560,6,TRUE)</f>
        <v>73.290000000000006</v>
      </c>
      <c r="AL105" s="6">
        <f>VLOOKUP('Prices and COP model'!AL5,'USD to INR'!$B$2:$G$560,6,TRUE)</f>
        <v>73.974000000000004</v>
      </c>
      <c r="AM105" s="6">
        <f>VLOOKUP('Prices and COP model'!AM5,'USD to INR'!$B$2:$G$560,6,TRUE)</f>
        <v>73.757000000000005</v>
      </c>
      <c r="AN105" s="6">
        <f>VLOOKUP('Prices and COP model'!AN5,'USD to INR'!$B$2:$G$560,6,TRUE)</f>
        <v>73.12</v>
      </c>
      <c r="AO105" s="6">
        <f>VLOOKUP('Prices and COP model'!AO5,'USD to INR'!$B$2:$G$560,6,TRUE)</f>
        <v>72.81</v>
      </c>
      <c r="AP105" s="6">
        <f>VLOOKUP('Prices and COP model'!AP5,'USD to INR'!$B$2:$G$560,6,TRUE)</f>
        <v>73.180000000000007</v>
      </c>
      <c r="AQ105" s="6">
        <f>VLOOKUP('Prices and COP model'!AQ5,'USD to INR'!$B$2:$G$560,6,TRUE)</f>
        <v>73.37</v>
      </c>
      <c r="AR105" s="6">
        <f>VLOOKUP('Prices and COP model'!AR5,'USD to INR'!$B$2:$G$560,6,TRUE)</f>
        <v>74.05</v>
      </c>
      <c r="AS105" s="6">
        <f>VLOOKUP('Prices and COP model'!AS5,'USD to INR'!$B$2:$G$560,6,TRUE)</f>
        <v>72.86</v>
      </c>
      <c r="AT105" s="6">
        <f>VLOOKUP('Prices and COP model'!AT5,'USD to INR'!$B$2:$G$560,6,TRUE)</f>
        <v>74.512</v>
      </c>
      <c r="AU105" s="6">
        <f>VLOOKUP('Prices and COP model'!AU5,'USD to INR'!$B$2:$G$560,6,TRUE)</f>
        <v>74.239999999999995</v>
      </c>
      <c r="AV105" s="6">
        <f>VLOOKUP('Prices and COP model'!AV5,'USD to INR'!$B$2:$G$560,6,TRUE)</f>
        <v>72.981999999999999</v>
      </c>
      <c r="BD105" s="364" t="str">
        <f t="shared" ref="BD105:BD137" si="54">C105</f>
        <v>USD rate in INR</v>
      </c>
      <c r="BE105" s="605">
        <f>VLOOKUP('Prices and COP model'!BE5,'USD to INR'!$B$2:$G$560,6,TRUE)</f>
        <v>72.981999999999999</v>
      </c>
      <c r="BG105" s="6">
        <f>VLOOKUP('Prices and COP model'!BG5,'USD to INR'!$B$2:$G$560,6,TRUE)</f>
        <v>72.981999999999999</v>
      </c>
    </row>
    <row r="106" spans="3:59" s="362" customFormat="1" x14ac:dyDescent="0.25">
      <c r="C106" s="8" t="s">
        <v>508</v>
      </c>
      <c r="D106" s="542">
        <f>SUM(D107:D112)</f>
        <v>65286.105655266707</v>
      </c>
      <c r="E106" s="542">
        <f t="shared" ref="E106:AV106" si="55">SUM(E107:E112)</f>
        <v>64002.294231269807</v>
      </c>
      <c r="F106" s="542">
        <f t="shared" si="55"/>
        <v>64623.56418806524</v>
      </c>
      <c r="G106" s="542">
        <f t="shared" si="55"/>
        <v>61977.723811377684</v>
      </c>
      <c r="H106" s="542">
        <f t="shared" si="55"/>
        <v>70655.706602743565</v>
      </c>
      <c r="I106" s="542">
        <f t="shared" si="55"/>
        <v>66377.928079860372</v>
      </c>
      <c r="J106" s="542">
        <f t="shared" si="55"/>
        <v>74425.834805779741</v>
      </c>
      <c r="K106" s="542">
        <f t="shared" si="55"/>
        <v>71231.418253461117</v>
      </c>
      <c r="L106" s="542">
        <f t="shared" si="55"/>
        <v>75626.131486847327</v>
      </c>
      <c r="M106" s="542">
        <f t="shared" si="55"/>
        <v>70276.880870830864</v>
      </c>
      <c r="N106" s="542">
        <f t="shared" si="55"/>
        <v>54141.572203741329</v>
      </c>
      <c r="O106" s="542">
        <f t="shared" si="55"/>
        <v>54223.520675893262</v>
      </c>
      <c r="P106" s="542">
        <f t="shared" si="55"/>
        <v>53830.626547220651</v>
      </c>
      <c r="Q106" s="542">
        <f t="shared" si="55"/>
        <v>54817.224423428124</v>
      </c>
      <c r="R106" s="542">
        <f t="shared" si="55"/>
        <v>56278.185942306154</v>
      </c>
      <c r="S106" s="542">
        <f t="shared" si="55"/>
        <v>59885.899326573352</v>
      </c>
      <c r="T106" s="542">
        <f t="shared" si="55"/>
        <v>58914.239683945249</v>
      </c>
      <c r="U106" s="542">
        <f t="shared" si="55"/>
        <v>51970.908991802404</v>
      </c>
      <c r="V106" s="542">
        <f t="shared" si="55"/>
        <v>53662.353203184823</v>
      </c>
      <c r="W106" s="542">
        <f t="shared" si="55"/>
        <v>56901.143075330889</v>
      </c>
      <c r="X106" s="542">
        <f t="shared" si="55"/>
        <v>49568.521126771317</v>
      </c>
      <c r="Y106" s="542">
        <f t="shared" si="55"/>
        <v>53590.432320916014</v>
      </c>
      <c r="Z106" s="542">
        <f t="shared" si="55"/>
        <v>55389.389988261224</v>
      </c>
      <c r="AA106" s="542">
        <f t="shared" si="55"/>
        <v>58818.608246147771</v>
      </c>
      <c r="AB106" s="542">
        <f t="shared" si="55"/>
        <v>57536.634555483564</v>
      </c>
      <c r="AC106" s="542">
        <f t="shared" si="55"/>
        <v>54735.797255333979</v>
      </c>
      <c r="AD106" s="542">
        <f t="shared" si="55"/>
        <v>44144.749615091219</v>
      </c>
      <c r="AE106" s="542">
        <f t="shared" si="55"/>
        <v>67142.515657148702</v>
      </c>
      <c r="AF106" s="542">
        <f t="shared" si="55"/>
        <v>63271.331307363216</v>
      </c>
      <c r="AG106" s="542">
        <f t="shared" si="55"/>
        <v>64700.905043245846</v>
      </c>
      <c r="AH106" s="542">
        <f t="shared" si="55"/>
        <v>52546.452675353146</v>
      </c>
      <c r="AI106" s="542">
        <f t="shared" si="55"/>
        <v>50320.121090028915</v>
      </c>
      <c r="AJ106" s="542">
        <f t="shared" si="55"/>
        <v>49371.88366818706</v>
      </c>
      <c r="AK106" s="542">
        <f t="shared" si="55"/>
        <v>43527.367768652977</v>
      </c>
      <c r="AL106" s="542">
        <f t="shared" si="55"/>
        <v>45737.012203171835</v>
      </c>
      <c r="AM106" s="542">
        <f t="shared" si="55"/>
        <v>50124.697627262802</v>
      </c>
      <c r="AN106" s="542">
        <f t="shared" si="55"/>
        <v>53916.631388034875</v>
      </c>
      <c r="AO106" s="542">
        <f t="shared" si="55"/>
        <v>60592.639976461505</v>
      </c>
      <c r="AP106" s="542">
        <f t="shared" si="55"/>
        <v>61807.12047970698</v>
      </c>
      <c r="AQ106" s="542">
        <f t="shared" si="55"/>
        <v>55347.759208193769</v>
      </c>
      <c r="AR106" s="542">
        <f t="shared" si="55"/>
        <v>55372.094644057637</v>
      </c>
      <c r="AS106" s="542">
        <f t="shared" si="55"/>
        <v>60125.650469929897</v>
      </c>
      <c r="AT106" s="542">
        <f t="shared" si="55"/>
        <v>63425.604346546388</v>
      </c>
      <c r="AU106" s="542">
        <f t="shared" si="55"/>
        <v>61277.932527211786</v>
      </c>
      <c r="AV106" s="542">
        <f t="shared" si="55"/>
        <v>64321.703785232872</v>
      </c>
      <c r="AW106" s="179">
        <f>AVERAGE(D106:AV106)</f>
        <v>58573.840422949419</v>
      </c>
      <c r="BD106" s="364" t="str">
        <f t="shared" si="54"/>
        <v>LLDPE Cost of Production</v>
      </c>
      <c r="BE106" s="608">
        <f>SUM(BE107:BE112)</f>
        <v>58506.967725801667</v>
      </c>
      <c r="BG106" s="542">
        <f>SUM(BG107:BG112)</f>
        <v>58184.962819802298</v>
      </c>
    </row>
    <row r="107" spans="3:59" hidden="1" x14ac:dyDescent="0.25">
      <c r="C107" s="6" t="s">
        <v>506</v>
      </c>
      <c r="D107" s="190">
        <f>1.046*D101</f>
        <v>55972.105655266707</v>
      </c>
      <c r="E107" s="190">
        <f t="shared" ref="E107:AV107" si="56">1.046*E101</f>
        <v>54688.294231269807</v>
      </c>
      <c r="F107" s="190">
        <f t="shared" si="56"/>
        <v>55309.56418806524</v>
      </c>
      <c r="G107" s="190">
        <f t="shared" si="56"/>
        <v>52663.723811377684</v>
      </c>
      <c r="H107" s="190">
        <f t="shared" si="56"/>
        <v>61341.706602743572</v>
      </c>
      <c r="I107" s="190">
        <f t="shared" si="56"/>
        <v>57063.92807986038</v>
      </c>
      <c r="J107" s="190">
        <f t="shared" si="56"/>
        <v>65111.834805779748</v>
      </c>
      <c r="K107" s="190">
        <f t="shared" si="56"/>
        <v>61917.418253461117</v>
      </c>
      <c r="L107" s="190">
        <f t="shared" si="56"/>
        <v>66312.131486847327</v>
      </c>
      <c r="M107" s="190">
        <f t="shared" si="56"/>
        <v>60962.880870830864</v>
      </c>
      <c r="N107" s="190">
        <f t="shared" si="56"/>
        <v>44827.572203741329</v>
      </c>
      <c r="O107" s="190">
        <f t="shared" si="56"/>
        <v>44909.520675893262</v>
      </c>
      <c r="P107" s="190">
        <f t="shared" si="56"/>
        <v>44516.626547220651</v>
      </c>
      <c r="Q107" s="190">
        <f t="shared" si="56"/>
        <v>45503.224423428124</v>
      </c>
      <c r="R107" s="190">
        <f t="shared" si="56"/>
        <v>46964.185942306154</v>
      </c>
      <c r="S107" s="190">
        <f t="shared" si="56"/>
        <v>50571.899326573352</v>
      </c>
      <c r="T107" s="190">
        <f t="shared" si="56"/>
        <v>49600.239683945249</v>
      </c>
      <c r="U107" s="190">
        <f t="shared" si="56"/>
        <v>42656.908991802404</v>
      </c>
      <c r="V107" s="190">
        <f t="shared" si="56"/>
        <v>44348.353203184823</v>
      </c>
      <c r="W107" s="190">
        <f t="shared" si="56"/>
        <v>47587.143075330889</v>
      </c>
      <c r="X107" s="190">
        <f t="shared" si="56"/>
        <v>40254.521126771317</v>
      </c>
      <c r="Y107" s="190">
        <f t="shared" si="56"/>
        <v>44276.432320916014</v>
      </c>
      <c r="Z107" s="190">
        <f t="shared" si="56"/>
        <v>46075.389988261224</v>
      </c>
      <c r="AA107" s="190">
        <f t="shared" si="56"/>
        <v>49504.608246147771</v>
      </c>
      <c r="AB107" s="190">
        <f t="shared" si="56"/>
        <v>48222.634555483564</v>
      </c>
      <c r="AC107" s="190">
        <f t="shared" si="56"/>
        <v>45421.797255333979</v>
      </c>
      <c r="AD107" s="190">
        <f t="shared" si="56"/>
        <v>34830.749615091219</v>
      </c>
      <c r="AE107" s="190">
        <f t="shared" si="56"/>
        <v>57828.515657148702</v>
      </c>
      <c r="AF107" s="190">
        <f t="shared" si="56"/>
        <v>53957.331307363216</v>
      </c>
      <c r="AG107" s="190">
        <f t="shared" si="56"/>
        <v>55386.905043245846</v>
      </c>
      <c r="AH107" s="190">
        <f t="shared" si="56"/>
        <v>43232.452675353146</v>
      </c>
      <c r="AI107" s="190">
        <f t="shared" si="56"/>
        <v>41006.121090028915</v>
      </c>
      <c r="AJ107" s="190">
        <f t="shared" si="56"/>
        <v>40057.88366818706</v>
      </c>
      <c r="AK107" s="190">
        <f t="shared" si="56"/>
        <v>34213.367768652977</v>
      </c>
      <c r="AL107" s="190">
        <f t="shared" si="56"/>
        <v>36423.012203171835</v>
      </c>
      <c r="AM107" s="190">
        <f t="shared" si="56"/>
        <v>40810.697627262802</v>
      </c>
      <c r="AN107" s="190">
        <f t="shared" si="56"/>
        <v>44602.631388034875</v>
      </c>
      <c r="AO107" s="190">
        <f t="shared" si="56"/>
        <v>51278.639976461505</v>
      </c>
      <c r="AP107" s="190">
        <f t="shared" si="56"/>
        <v>52493.12047970698</v>
      </c>
      <c r="AQ107" s="190">
        <f t="shared" si="56"/>
        <v>46033.759208193769</v>
      </c>
      <c r="AR107" s="190">
        <f t="shared" si="56"/>
        <v>46058.094644057637</v>
      </c>
      <c r="AS107" s="190">
        <f t="shared" si="56"/>
        <v>50811.650469929897</v>
      </c>
      <c r="AT107" s="190">
        <f t="shared" si="56"/>
        <v>54111.604346546388</v>
      </c>
      <c r="AU107" s="190">
        <f t="shared" si="56"/>
        <v>51963.932527211786</v>
      </c>
      <c r="AV107" s="190">
        <f t="shared" si="56"/>
        <v>55007.703785232872</v>
      </c>
      <c r="AW107" s="179">
        <f t="shared" ref="AW107:AW115" si="57">AVERAGE(D107:AV107)</f>
        <v>49259.840422949419</v>
      </c>
      <c r="BD107" s="364" t="str">
        <f t="shared" si="54"/>
        <v>Raw materials</v>
      </c>
      <c r="BE107" s="609">
        <f>1.046*BE65</f>
        <v>49192.967725801667</v>
      </c>
      <c r="BG107" s="190">
        <f>1.046*BG65</f>
        <v>48870.962819802298</v>
      </c>
    </row>
    <row r="108" spans="3:59" hidden="1" x14ac:dyDescent="0.25">
      <c r="C108" s="6" t="s">
        <v>510</v>
      </c>
      <c r="D108" s="190">
        <v>2500</v>
      </c>
      <c r="E108" s="190">
        <v>2500</v>
      </c>
      <c r="F108" s="190">
        <v>2500</v>
      </c>
      <c r="G108" s="190">
        <v>2500</v>
      </c>
      <c r="H108" s="190">
        <v>2500</v>
      </c>
      <c r="I108" s="190">
        <v>2500</v>
      </c>
      <c r="J108" s="190">
        <v>2500</v>
      </c>
      <c r="K108" s="190">
        <v>2500</v>
      </c>
      <c r="L108" s="190">
        <v>2500</v>
      </c>
      <c r="M108" s="190">
        <v>2500</v>
      </c>
      <c r="N108" s="190">
        <v>2500</v>
      </c>
      <c r="O108" s="190">
        <v>2500</v>
      </c>
      <c r="P108" s="190">
        <v>2500</v>
      </c>
      <c r="Q108" s="190">
        <v>2500</v>
      </c>
      <c r="R108" s="190">
        <v>2500</v>
      </c>
      <c r="S108" s="190">
        <v>2500</v>
      </c>
      <c r="T108" s="190">
        <v>2500</v>
      </c>
      <c r="U108" s="190">
        <v>2500</v>
      </c>
      <c r="V108" s="190">
        <v>2500</v>
      </c>
      <c r="W108" s="190">
        <v>2500</v>
      </c>
      <c r="X108" s="190">
        <v>2500</v>
      </c>
      <c r="Y108" s="190">
        <v>2500</v>
      </c>
      <c r="Z108" s="190">
        <v>2500</v>
      </c>
      <c r="AA108" s="190">
        <v>2500</v>
      </c>
      <c r="AB108" s="190">
        <v>2500</v>
      </c>
      <c r="AC108" s="190">
        <v>2500</v>
      </c>
      <c r="AD108" s="190">
        <v>2500</v>
      </c>
      <c r="AE108" s="190">
        <v>2500</v>
      </c>
      <c r="AF108" s="190">
        <v>2500</v>
      </c>
      <c r="AG108" s="190">
        <v>2500</v>
      </c>
      <c r="AH108" s="190">
        <v>2500</v>
      </c>
      <c r="AI108" s="190">
        <v>2500</v>
      </c>
      <c r="AJ108" s="190">
        <v>2500</v>
      </c>
      <c r="AK108" s="190">
        <v>2500</v>
      </c>
      <c r="AL108" s="190">
        <v>2500</v>
      </c>
      <c r="AM108" s="190">
        <v>2500</v>
      </c>
      <c r="AN108" s="190">
        <v>2500</v>
      </c>
      <c r="AO108" s="190">
        <v>2500</v>
      </c>
      <c r="AP108" s="190">
        <v>2500</v>
      </c>
      <c r="AQ108" s="190">
        <v>2500</v>
      </c>
      <c r="AR108" s="190">
        <v>2500</v>
      </c>
      <c r="AS108" s="190">
        <v>2500</v>
      </c>
      <c r="AT108" s="190">
        <v>2500</v>
      </c>
      <c r="AU108" s="190">
        <v>2500</v>
      </c>
      <c r="AV108" s="190">
        <v>2500</v>
      </c>
      <c r="AW108" s="179">
        <f t="shared" si="57"/>
        <v>2500</v>
      </c>
      <c r="BD108" s="364" t="str">
        <f t="shared" si="54"/>
        <v>Cat-Chem+ additive</v>
      </c>
      <c r="BE108" s="609">
        <v>2500</v>
      </c>
      <c r="BG108" s="190">
        <v>2500</v>
      </c>
    </row>
    <row r="109" spans="3:59" hidden="1" x14ac:dyDescent="0.25">
      <c r="C109" s="6" t="s">
        <v>511</v>
      </c>
      <c r="D109" s="190">
        <v>3000</v>
      </c>
      <c r="E109" s="190">
        <v>3000</v>
      </c>
      <c r="F109" s="190">
        <v>3000</v>
      </c>
      <c r="G109" s="190">
        <v>3000</v>
      </c>
      <c r="H109" s="190">
        <v>3000</v>
      </c>
      <c r="I109" s="190">
        <v>3000</v>
      </c>
      <c r="J109" s="190">
        <v>3000</v>
      </c>
      <c r="K109" s="190">
        <v>3000</v>
      </c>
      <c r="L109" s="190">
        <v>3000</v>
      </c>
      <c r="M109" s="190">
        <v>3000</v>
      </c>
      <c r="N109" s="190">
        <v>3000</v>
      </c>
      <c r="O109" s="190">
        <v>3000</v>
      </c>
      <c r="P109" s="190">
        <v>3000</v>
      </c>
      <c r="Q109" s="190">
        <v>3000</v>
      </c>
      <c r="R109" s="190">
        <v>3000</v>
      </c>
      <c r="S109" s="190">
        <v>3000</v>
      </c>
      <c r="T109" s="190">
        <v>3000</v>
      </c>
      <c r="U109" s="190">
        <v>3000</v>
      </c>
      <c r="V109" s="190">
        <v>3000</v>
      </c>
      <c r="W109" s="190">
        <v>3000</v>
      </c>
      <c r="X109" s="190">
        <v>3000</v>
      </c>
      <c r="Y109" s="190">
        <v>3000</v>
      </c>
      <c r="Z109" s="190">
        <v>3000</v>
      </c>
      <c r="AA109" s="190">
        <v>3000</v>
      </c>
      <c r="AB109" s="190">
        <v>3000</v>
      </c>
      <c r="AC109" s="190">
        <v>3000</v>
      </c>
      <c r="AD109" s="190">
        <v>3000</v>
      </c>
      <c r="AE109" s="190">
        <v>3000</v>
      </c>
      <c r="AF109" s="190">
        <v>3000</v>
      </c>
      <c r="AG109" s="190">
        <v>3000</v>
      </c>
      <c r="AH109" s="190">
        <v>3000</v>
      </c>
      <c r="AI109" s="190">
        <v>3000</v>
      </c>
      <c r="AJ109" s="190">
        <v>3000</v>
      </c>
      <c r="AK109" s="190">
        <v>3000</v>
      </c>
      <c r="AL109" s="190">
        <v>3000</v>
      </c>
      <c r="AM109" s="190">
        <v>3000</v>
      </c>
      <c r="AN109" s="190">
        <v>3000</v>
      </c>
      <c r="AO109" s="190">
        <v>3000</v>
      </c>
      <c r="AP109" s="190">
        <v>3000</v>
      </c>
      <c r="AQ109" s="190">
        <v>3000</v>
      </c>
      <c r="AR109" s="190">
        <v>3000</v>
      </c>
      <c r="AS109" s="190">
        <v>3000</v>
      </c>
      <c r="AT109" s="190">
        <v>3000</v>
      </c>
      <c r="AU109" s="190">
        <v>3000</v>
      </c>
      <c r="AV109" s="190">
        <v>3000</v>
      </c>
      <c r="AW109" s="179">
        <f t="shared" si="57"/>
        <v>3000</v>
      </c>
      <c r="BD109" s="364" t="str">
        <f t="shared" si="54"/>
        <v>Utilities</v>
      </c>
      <c r="BE109" s="609">
        <v>3000</v>
      </c>
      <c r="BG109" s="190">
        <v>3000</v>
      </c>
    </row>
    <row r="110" spans="3:59" hidden="1" x14ac:dyDescent="0.25">
      <c r="C110" s="6" t="s">
        <v>512</v>
      </c>
      <c r="D110" s="190">
        <v>2100</v>
      </c>
      <c r="E110" s="190">
        <v>2100</v>
      </c>
      <c r="F110" s="190">
        <v>2100</v>
      </c>
      <c r="G110" s="190">
        <v>2100</v>
      </c>
      <c r="H110" s="190">
        <v>2100</v>
      </c>
      <c r="I110" s="190">
        <v>2100</v>
      </c>
      <c r="J110" s="190">
        <v>2100</v>
      </c>
      <c r="K110" s="190">
        <v>2100</v>
      </c>
      <c r="L110" s="190">
        <v>2100</v>
      </c>
      <c r="M110" s="190">
        <v>2100</v>
      </c>
      <c r="N110" s="190">
        <v>2100</v>
      </c>
      <c r="O110" s="190">
        <v>2100</v>
      </c>
      <c r="P110" s="190">
        <v>2100</v>
      </c>
      <c r="Q110" s="190">
        <v>2100</v>
      </c>
      <c r="R110" s="190">
        <v>2100</v>
      </c>
      <c r="S110" s="190">
        <v>2100</v>
      </c>
      <c r="T110" s="190">
        <v>2100</v>
      </c>
      <c r="U110" s="190">
        <v>2100</v>
      </c>
      <c r="V110" s="190">
        <v>2100</v>
      </c>
      <c r="W110" s="190">
        <v>2100</v>
      </c>
      <c r="X110" s="190">
        <v>2100</v>
      </c>
      <c r="Y110" s="190">
        <v>2100</v>
      </c>
      <c r="Z110" s="190">
        <v>2100</v>
      </c>
      <c r="AA110" s="190">
        <v>2100</v>
      </c>
      <c r="AB110" s="190">
        <v>2100</v>
      </c>
      <c r="AC110" s="190">
        <v>2100</v>
      </c>
      <c r="AD110" s="190">
        <v>2100</v>
      </c>
      <c r="AE110" s="190">
        <v>2100</v>
      </c>
      <c r="AF110" s="190">
        <v>2100</v>
      </c>
      <c r="AG110" s="190">
        <v>2100</v>
      </c>
      <c r="AH110" s="190">
        <v>2100</v>
      </c>
      <c r="AI110" s="190">
        <v>2100</v>
      </c>
      <c r="AJ110" s="190">
        <v>2100</v>
      </c>
      <c r="AK110" s="190">
        <v>2100</v>
      </c>
      <c r="AL110" s="190">
        <v>2100</v>
      </c>
      <c r="AM110" s="190">
        <v>2100</v>
      </c>
      <c r="AN110" s="190">
        <v>2100</v>
      </c>
      <c r="AO110" s="190">
        <v>2100</v>
      </c>
      <c r="AP110" s="190">
        <v>2100</v>
      </c>
      <c r="AQ110" s="190">
        <v>2100</v>
      </c>
      <c r="AR110" s="190">
        <v>2100</v>
      </c>
      <c r="AS110" s="190">
        <v>2100</v>
      </c>
      <c r="AT110" s="190">
        <v>2100</v>
      </c>
      <c r="AU110" s="190">
        <v>2100</v>
      </c>
      <c r="AV110" s="190">
        <v>2100</v>
      </c>
      <c r="AW110" s="179">
        <f t="shared" si="57"/>
        <v>2100</v>
      </c>
      <c r="BD110" s="364" t="str">
        <f t="shared" si="54"/>
        <v>Overheads</v>
      </c>
      <c r="BE110" s="609">
        <v>2100</v>
      </c>
      <c r="BG110" s="190">
        <v>2100</v>
      </c>
    </row>
    <row r="111" spans="3:59" hidden="1" x14ac:dyDescent="0.25">
      <c r="C111" s="541" t="s">
        <v>513</v>
      </c>
      <c r="D111" s="190">
        <v>1814</v>
      </c>
      <c r="E111" s="190">
        <v>1814</v>
      </c>
      <c r="F111" s="190">
        <v>1814</v>
      </c>
      <c r="G111" s="190">
        <v>1814</v>
      </c>
      <c r="H111" s="190">
        <v>1814</v>
      </c>
      <c r="I111" s="190">
        <v>1814</v>
      </c>
      <c r="J111" s="190">
        <v>1814</v>
      </c>
      <c r="K111" s="190">
        <v>1814</v>
      </c>
      <c r="L111" s="190">
        <v>1814</v>
      </c>
      <c r="M111" s="190">
        <v>1814</v>
      </c>
      <c r="N111" s="190">
        <v>1814</v>
      </c>
      <c r="O111" s="190">
        <v>1814</v>
      </c>
      <c r="P111" s="190">
        <v>1814</v>
      </c>
      <c r="Q111" s="190">
        <v>1814</v>
      </c>
      <c r="R111" s="190">
        <v>1814</v>
      </c>
      <c r="S111" s="190">
        <v>1814</v>
      </c>
      <c r="T111" s="190">
        <v>1814</v>
      </c>
      <c r="U111" s="190">
        <v>1814</v>
      </c>
      <c r="V111" s="190">
        <v>1814</v>
      </c>
      <c r="W111" s="190">
        <v>1814</v>
      </c>
      <c r="X111" s="190">
        <v>1814</v>
      </c>
      <c r="Y111" s="190">
        <v>1814</v>
      </c>
      <c r="Z111" s="190">
        <v>1814</v>
      </c>
      <c r="AA111" s="190">
        <v>1814</v>
      </c>
      <c r="AB111" s="190">
        <v>1814</v>
      </c>
      <c r="AC111" s="190">
        <v>1814</v>
      </c>
      <c r="AD111" s="190">
        <v>1814</v>
      </c>
      <c r="AE111" s="190">
        <v>1814</v>
      </c>
      <c r="AF111" s="190">
        <v>1814</v>
      </c>
      <c r="AG111" s="190">
        <v>1814</v>
      </c>
      <c r="AH111" s="190">
        <v>1814</v>
      </c>
      <c r="AI111" s="190">
        <v>1814</v>
      </c>
      <c r="AJ111" s="190">
        <v>1814</v>
      </c>
      <c r="AK111" s="190">
        <v>1814</v>
      </c>
      <c r="AL111" s="190">
        <v>1814</v>
      </c>
      <c r="AM111" s="190">
        <v>1814</v>
      </c>
      <c r="AN111" s="190">
        <v>1814</v>
      </c>
      <c r="AO111" s="190">
        <v>1814</v>
      </c>
      <c r="AP111" s="190">
        <v>1814</v>
      </c>
      <c r="AQ111" s="190">
        <v>1814</v>
      </c>
      <c r="AR111" s="190">
        <v>1814</v>
      </c>
      <c r="AS111" s="190">
        <v>1814</v>
      </c>
      <c r="AT111" s="190">
        <v>1814</v>
      </c>
      <c r="AU111" s="190">
        <v>1814</v>
      </c>
      <c r="AV111" s="190">
        <v>1814</v>
      </c>
      <c r="AW111" s="179">
        <f t="shared" si="57"/>
        <v>1814</v>
      </c>
      <c r="BD111" s="364" t="str">
        <f t="shared" si="54"/>
        <v>Depreciation</v>
      </c>
      <c r="BE111" s="609">
        <v>1814</v>
      </c>
      <c r="BG111" s="190">
        <v>1814</v>
      </c>
    </row>
    <row r="112" spans="3:59" s="361" customFormat="1" hidden="1" x14ac:dyDescent="0.25">
      <c r="C112" s="541" t="s">
        <v>514</v>
      </c>
      <c r="D112" s="543">
        <v>-100</v>
      </c>
      <c r="E112" s="543">
        <v>-100</v>
      </c>
      <c r="F112" s="543">
        <v>-100</v>
      </c>
      <c r="G112" s="543">
        <v>-100</v>
      </c>
      <c r="H112" s="543">
        <v>-100</v>
      </c>
      <c r="I112" s="543">
        <v>-100</v>
      </c>
      <c r="J112" s="543">
        <v>-100</v>
      </c>
      <c r="K112" s="543">
        <v>-100</v>
      </c>
      <c r="L112" s="543">
        <v>-100</v>
      </c>
      <c r="M112" s="543">
        <v>-100</v>
      </c>
      <c r="N112" s="543">
        <v>-100</v>
      </c>
      <c r="O112" s="543">
        <v>-100</v>
      </c>
      <c r="P112" s="543">
        <v>-100</v>
      </c>
      <c r="Q112" s="543">
        <v>-100</v>
      </c>
      <c r="R112" s="543">
        <v>-100</v>
      </c>
      <c r="S112" s="543">
        <v>-100</v>
      </c>
      <c r="T112" s="543">
        <v>-100</v>
      </c>
      <c r="U112" s="543">
        <v>-100</v>
      </c>
      <c r="V112" s="543">
        <v>-100</v>
      </c>
      <c r="W112" s="543">
        <v>-100</v>
      </c>
      <c r="X112" s="543">
        <v>-100</v>
      </c>
      <c r="Y112" s="543">
        <v>-100</v>
      </c>
      <c r="Z112" s="543">
        <v>-100</v>
      </c>
      <c r="AA112" s="543">
        <v>-100</v>
      </c>
      <c r="AB112" s="543">
        <v>-100</v>
      </c>
      <c r="AC112" s="543">
        <v>-100</v>
      </c>
      <c r="AD112" s="543">
        <v>-100</v>
      </c>
      <c r="AE112" s="543">
        <v>-100</v>
      </c>
      <c r="AF112" s="543">
        <v>-100</v>
      </c>
      <c r="AG112" s="543">
        <v>-100</v>
      </c>
      <c r="AH112" s="543">
        <v>-100</v>
      </c>
      <c r="AI112" s="543">
        <v>-100</v>
      </c>
      <c r="AJ112" s="543">
        <v>-100</v>
      </c>
      <c r="AK112" s="543">
        <v>-100</v>
      </c>
      <c r="AL112" s="543">
        <v>-100</v>
      </c>
      <c r="AM112" s="543">
        <v>-100</v>
      </c>
      <c r="AN112" s="543">
        <v>-100</v>
      </c>
      <c r="AO112" s="543">
        <v>-100</v>
      </c>
      <c r="AP112" s="543">
        <v>-100</v>
      </c>
      <c r="AQ112" s="543">
        <v>-100</v>
      </c>
      <c r="AR112" s="543">
        <v>-100</v>
      </c>
      <c r="AS112" s="543">
        <v>-100</v>
      </c>
      <c r="AT112" s="543">
        <v>-100</v>
      </c>
      <c r="AU112" s="543">
        <v>-100</v>
      </c>
      <c r="AV112" s="543">
        <v>-100</v>
      </c>
      <c r="AW112" s="179">
        <f t="shared" si="57"/>
        <v>-100</v>
      </c>
      <c r="BD112" s="364" t="str">
        <f t="shared" si="54"/>
        <v>Co-product/Byprodcut Credit</v>
      </c>
      <c r="BE112" s="610">
        <v>-100</v>
      </c>
      <c r="BG112" s="543">
        <v>-100</v>
      </c>
    </row>
    <row r="113" spans="3:59" s="361" customFormat="1" x14ac:dyDescent="0.25">
      <c r="C113" s="541" t="s">
        <v>570</v>
      </c>
      <c r="D113" s="190">
        <f>'Polymer Prices'!E41</f>
        <v>77120</v>
      </c>
      <c r="E113" s="190">
        <f>'Polymer Prices'!F41</f>
        <v>78330</v>
      </c>
      <c r="F113" s="190">
        <f>'Polymer Prices'!G41</f>
        <v>78330</v>
      </c>
      <c r="G113" s="190">
        <f>'Polymer Prices'!H41</f>
        <v>79710</v>
      </c>
      <c r="H113" s="190">
        <f>'Polymer Prices'!I41</f>
        <v>81840</v>
      </c>
      <c r="I113" s="190">
        <f>'Polymer Prices'!J41</f>
        <v>82290</v>
      </c>
      <c r="J113" s="190">
        <f>'Polymer Prices'!K41</f>
        <v>81605</v>
      </c>
      <c r="K113" s="190">
        <f>'Polymer Prices'!L41</f>
        <v>80450</v>
      </c>
      <c r="L113" s="190">
        <f>'Polymer Prices'!M41</f>
        <v>82290</v>
      </c>
      <c r="M113" s="190">
        <f>'Polymer Prices'!N41</f>
        <v>84860</v>
      </c>
      <c r="N113" s="190">
        <f>'Polymer Prices'!O41</f>
        <v>82790</v>
      </c>
      <c r="O113" s="190">
        <f>'Polymer Prices'!P41</f>
        <v>75410</v>
      </c>
      <c r="P113" s="190">
        <f>'Polymer Prices'!Q41</f>
        <v>75535</v>
      </c>
      <c r="Q113" s="190">
        <f>'Polymer Prices'!R41</f>
        <v>75515</v>
      </c>
      <c r="R113" s="190">
        <f>'Polymer Prices'!S41</f>
        <v>76895</v>
      </c>
      <c r="S113" s="190">
        <f>'Polymer Prices'!T41</f>
        <v>76895</v>
      </c>
      <c r="T113" s="190">
        <f>'Polymer Prices'!U41</f>
        <v>73118.75</v>
      </c>
      <c r="U113" s="190">
        <f>'Polymer Prices'!V41</f>
        <v>69505.666666666672</v>
      </c>
      <c r="V113" s="190">
        <f>'Polymer Prices'!W41</f>
        <v>68825</v>
      </c>
      <c r="W113" s="190">
        <f>'Polymer Prices'!X41</f>
        <v>69518</v>
      </c>
      <c r="X113" s="190">
        <f>'Polymer Prices'!Y41</f>
        <v>66726.666666666672</v>
      </c>
      <c r="Y113" s="190">
        <f>'Polymer Prices'!Z41</f>
        <v>68260</v>
      </c>
      <c r="Z113" s="190">
        <f>'Polymer Prices'!AA41</f>
        <v>65340</v>
      </c>
      <c r="AA113" s="190">
        <f>'Polymer Prices'!AB41</f>
        <v>64110</v>
      </c>
      <c r="AB113" s="190">
        <f>'Polymer Prices'!AC41</f>
        <v>65725</v>
      </c>
      <c r="AC113" s="190">
        <f>'Polymer Prices'!AD41</f>
        <v>66420</v>
      </c>
      <c r="AD113" s="190">
        <f>'Polymer Prices'!AE41</f>
        <v>66430</v>
      </c>
      <c r="AE113" s="190">
        <f>'Polymer Prices'!AF41</f>
        <v>62745</v>
      </c>
      <c r="AF113" s="190">
        <f>'Polymer Prices'!AG41</f>
        <v>59985</v>
      </c>
      <c r="AG113" s="190">
        <f>'Polymer Prices'!AH41</f>
        <v>63743.333333333336</v>
      </c>
      <c r="AH113" s="190">
        <f>'Polymer Prices'!AI41</f>
        <v>67265</v>
      </c>
      <c r="AI113" s="190">
        <f>'Polymer Prices'!AJ41</f>
        <v>67680</v>
      </c>
      <c r="AJ113" s="190">
        <f>'Polymer Prices'!AK41</f>
        <v>68533.333333333328</v>
      </c>
      <c r="AK113" s="190">
        <f>'Polymer Prices'!AL41</f>
        <v>71170</v>
      </c>
      <c r="AL113" s="190">
        <f>'Polymer Prices'!AM41</f>
        <v>74566.666666666672</v>
      </c>
      <c r="AM113" s="190">
        <f>'Polymer Prices'!AN41</f>
        <v>80425</v>
      </c>
      <c r="AN113" s="190">
        <f>'Polymer Prices'!AO41</f>
        <v>79965</v>
      </c>
      <c r="AO113" s="190">
        <f>'Polymer Prices'!AP41</f>
        <v>83513.333333333328</v>
      </c>
      <c r="AP113" s="190">
        <f>'Polymer Prices'!AQ41</f>
        <v>94750</v>
      </c>
      <c r="AQ113" s="190">
        <f>'Polymer Prices'!AR41</f>
        <v>97356.666666666672</v>
      </c>
      <c r="AR113" s="190">
        <f>'Polymer Prices'!AS41</f>
        <v>88703.333333333328</v>
      </c>
      <c r="AS113" s="190">
        <f>'Polymer Prices'!AT41</f>
        <v>85010</v>
      </c>
      <c r="AT113" s="190">
        <f>'Polymer Prices'!AU41</f>
        <v>87430</v>
      </c>
      <c r="AU113" s="190">
        <f>'Polymer Prices'!AV41</f>
        <v>92103.333333333328</v>
      </c>
      <c r="AV113" s="190">
        <f>'Polymer Prices'!AW41</f>
        <v>94270</v>
      </c>
      <c r="AW113" s="179">
        <f t="shared" si="57"/>
        <v>76290.20185185186</v>
      </c>
      <c r="BD113" s="364" t="str">
        <f t="shared" si="54"/>
        <v>LLDPE OPaL Price</v>
      </c>
      <c r="BE113" s="609">
        <f>'Polymer Prices'!BB41</f>
        <v>0</v>
      </c>
      <c r="BG113" s="190">
        <f>'Polymer Prices'!BD41</f>
        <v>0</v>
      </c>
    </row>
    <row r="114" spans="3:59" s="361" customFormat="1" x14ac:dyDescent="0.25">
      <c r="C114" s="541" t="s">
        <v>571</v>
      </c>
      <c r="D114" s="190">
        <f>D113-D106</f>
        <v>11833.894344733293</v>
      </c>
      <c r="E114" s="190">
        <f t="shared" ref="E114:AV114" si="58">E113-E106</f>
        <v>14327.705768730193</v>
      </c>
      <c r="F114" s="190">
        <f t="shared" si="58"/>
        <v>13706.43581193476</v>
      </c>
      <c r="G114" s="190">
        <f t="shared" si="58"/>
        <v>17732.276188622316</v>
      </c>
      <c r="H114" s="190">
        <f t="shared" si="58"/>
        <v>11184.293397256435</v>
      </c>
      <c r="I114" s="190">
        <f t="shared" si="58"/>
        <v>15912.071920139628</v>
      </c>
      <c r="J114" s="190">
        <f t="shared" si="58"/>
        <v>7179.1651942202589</v>
      </c>
      <c r="K114" s="190">
        <f t="shared" si="58"/>
        <v>9218.5817465388827</v>
      </c>
      <c r="L114" s="190">
        <f t="shared" si="58"/>
        <v>6663.8685131526727</v>
      </c>
      <c r="M114" s="190">
        <f t="shared" si="58"/>
        <v>14583.119129169136</v>
      </c>
      <c r="N114" s="190">
        <f t="shared" si="58"/>
        <v>28648.427796258671</v>
      </c>
      <c r="O114" s="190">
        <f t="shared" si="58"/>
        <v>21186.479324106738</v>
      </c>
      <c r="P114" s="190">
        <f t="shared" si="58"/>
        <v>21704.373452779349</v>
      </c>
      <c r="Q114" s="190">
        <f t="shared" si="58"/>
        <v>20697.775576571876</v>
      </c>
      <c r="R114" s="190">
        <f t="shared" si="58"/>
        <v>20616.814057693846</v>
      </c>
      <c r="S114" s="190">
        <f t="shared" si="58"/>
        <v>17009.100673426648</v>
      </c>
      <c r="T114" s="190">
        <f t="shared" si="58"/>
        <v>14204.510316054751</v>
      </c>
      <c r="U114" s="190">
        <f t="shared" si="58"/>
        <v>17534.757674864268</v>
      </c>
      <c r="V114" s="190">
        <f t="shared" si="58"/>
        <v>15162.646796815177</v>
      </c>
      <c r="W114" s="190">
        <f t="shared" si="58"/>
        <v>12616.856924669111</v>
      </c>
      <c r="X114" s="190">
        <f t="shared" si="58"/>
        <v>17158.145539895355</v>
      </c>
      <c r="Y114" s="190">
        <f t="shared" si="58"/>
        <v>14669.567679083986</v>
      </c>
      <c r="Z114" s="190">
        <f t="shared" si="58"/>
        <v>9950.6100117387759</v>
      </c>
      <c r="AA114" s="190">
        <f t="shared" si="58"/>
        <v>5291.3917538522292</v>
      </c>
      <c r="AB114" s="190">
        <f t="shared" si="58"/>
        <v>8188.3654445164357</v>
      </c>
      <c r="AC114" s="190">
        <f t="shared" si="58"/>
        <v>11684.202744666021</v>
      </c>
      <c r="AD114" s="190">
        <f t="shared" si="58"/>
        <v>22285.250384908781</v>
      </c>
      <c r="AE114" s="190">
        <f t="shared" si="58"/>
        <v>-4397.5156571487023</v>
      </c>
      <c r="AF114" s="190">
        <f t="shared" si="58"/>
        <v>-3286.3313073632162</v>
      </c>
      <c r="AG114" s="190">
        <f t="shared" si="58"/>
        <v>-957.57170991251041</v>
      </c>
      <c r="AH114" s="190">
        <f t="shared" si="58"/>
        <v>14718.547324646854</v>
      </c>
      <c r="AI114" s="190">
        <f t="shared" si="58"/>
        <v>17359.878909971085</v>
      </c>
      <c r="AJ114" s="190">
        <f t="shared" si="58"/>
        <v>19161.449665146269</v>
      </c>
      <c r="AK114" s="190">
        <f t="shared" si="58"/>
        <v>27642.632231347023</v>
      </c>
      <c r="AL114" s="190">
        <f t="shared" si="58"/>
        <v>28829.654463494837</v>
      </c>
      <c r="AM114" s="190">
        <f t="shared" si="58"/>
        <v>30300.302372737198</v>
      </c>
      <c r="AN114" s="190">
        <f t="shared" si="58"/>
        <v>26048.368611965125</v>
      </c>
      <c r="AO114" s="190">
        <f t="shared" si="58"/>
        <v>22920.693356871823</v>
      </c>
      <c r="AP114" s="190">
        <f t="shared" si="58"/>
        <v>32942.87952029302</v>
      </c>
      <c r="AQ114" s="190">
        <f t="shared" si="58"/>
        <v>42008.907458472902</v>
      </c>
      <c r="AR114" s="190">
        <f t="shared" si="58"/>
        <v>33331.238689275691</v>
      </c>
      <c r="AS114" s="190">
        <f t="shared" si="58"/>
        <v>24884.349530070103</v>
      </c>
      <c r="AT114" s="190">
        <f t="shared" si="58"/>
        <v>24004.395653453612</v>
      </c>
      <c r="AU114" s="190">
        <f t="shared" si="58"/>
        <v>30825.400806121543</v>
      </c>
      <c r="AV114" s="190">
        <f t="shared" si="58"/>
        <v>29948.296214767128</v>
      </c>
      <c r="AW114" s="179">
        <f t="shared" si="57"/>
        <v>17716.361428902426</v>
      </c>
      <c r="BD114" s="364" t="str">
        <f t="shared" si="54"/>
        <v>Contribution Per MT INR</v>
      </c>
      <c r="BE114" s="609">
        <f>BE113-BE106</f>
        <v>-58506.967725801667</v>
      </c>
      <c r="BG114" s="190">
        <f>BG113-BG106</f>
        <v>-58184.962819802298</v>
      </c>
    </row>
    <row r="115" spans="3:59" s="361" customFormat="1" x14ac:dyDescent="0.25">
      <c r="C115" s="541" t="s">
        <v>572</v>
      </c>
      <c r="D115" s="190">
        <f>D114/D105</f>
        <v>186.83129688559035</v>
      </c>
      <c r="E115" s="190">
        <f t="shared" ref="E115:AV115" si="59">E114/E105</f>
        <v>223.41658769265857</v>
      </c>
      <c r="F115" s="190">
        <f t="shared" si="59"/>
        <v>210.15694283861944</v>
      </c>
      <c r="G115" s="190">
        <f t="shared" si="59"/>
        <v>273.0983549764718</v>
      </c>
      <c r="H115" s="190">
        <f t="shared" si="59"/>
        <v>167.37942827381676</v>
      </c>
      <c r="I115" s="190">
        <f t="shared" si="59"/>
        <v>237.51133547488061</v>
      </c>
      <c r="J115" s="190">
        <f t="shared" si="59"/>
        <v>104.34074840811363</v>
      </c>
      <c r="K115" s="190">
        <f t="shared" si="59"/>
        <v>134.48948495935346</v>
      </c>
      <c r="L115" s="190">
        <f t="shared" si="59"/>
        <v>93.850693798361704</v>
      </c>
      <c r="M115" s="190">
        <f t="shared" si="59"/>
        <v>197.68359941939997</v>
      </c>
      <c r="N115" s="190">
        <f t="shared" si="59"/>
        <v>395.47802037905399</v>
      </c>
      <c r="O115" s="190">
        <f t="shared" si="59"/>
        <v>304.18491491897686</v>
      </c>
      <c r="P115" s="190">
        <f t="shared" si="59"/>
        <v>312.06863339725879</v>
      </c>
      <c r="Q115" s="190">
        <f t="shared" si="59"/>
        <v>289.7427812216963</v>
      </c>
      <c r="R115" s="190">
        <f t="shared" si="59"/>
        <v>290.37766278442035</v>
      </c>
      <c r="S115" s="190">
        <f t="shared" si="59"/>
        <v>245.90285779133509</v>
      </c>
      <c r="T115" s="190">
        <f t="shared" si="59"/>
        <v>205.57942421383243</v>
      </c>
      <c r="U115" s="190">
        <f t="shared" si="59"/>
        <v>252.0085897508518</v>
      </c>
      <c r="V115" s="190">
        <f t="shared" si="59"/>
        <v>221.51419717772356</v>
      </c>
      <c r="W115" s="190">
        <f t="shared" si="59"/>
        <v>181.01659863226845</v>
      </c>
      <c r="X115" s="190">
        <f t="shared" si="59"/>
        <v>239.48838774367167</v>
      </c>
      <c r="Y115" s="190">
        <f t="shared" si="59"/>
        <v>207.12414654548516</v>
      </c>
      <c r="Z115" s="190">
        <f t="shared" si="59"/>
        <v>140.6247881817238</v>
      </c>
      <c r="AA115" s="190">
        <f t="shared" si="59"/>
        <v>74.230766856785337</v>
      </c>
      <c r="AB115" s="190">
        <f t="shared" si="59"/>
        <v>114.09175762179791</v>
      </c>
      <c r="AC115" s="190">
        <f t="shared" si="59"/>
        <v>163.28981545197428</v>
      </c>
      <c r="AD115" s="190">
        <f t="shared" si="59"/>
        <v>301.13575462013915</v>
      </c>
      <c r="AE115" s="190">
        <f t="shared" si="59"/>
        <v>-57.679144517368641</v>
      </c>
      <c r="AF115" s="190">
        <f t="shared" si="59"/>
        <v>-43.384484380826365</v>
      </c>
      <c r="AG115" s="190">
        <f t="shared" si="59"/>
        <v>-12.672997748974462</v>
      </c>
      <c r="AH115" s="190">
        <f t="shared" si="59"/>
        <v>197.20439633215679</v>
      </c>
      <c r="AI115" s="190">
        <f t="shared" si="59"/>
        <v>231.72458366665447</v>
      </c>
      <c r="AJ115" s="190">
        <f t="shared" si="59"/>
        <v>261.4505541779294</v>
      </c>
      <c r="AK115" s="190">
        <f t="shared" si="59"/>
        <v>377.16785688834796</v>
      </c>
      <c r="AL115" s="190">
        <f t="shared" si="59"/>
        <v>389.72685623996045</v>
      </c>
      <c r="AM115" s="190">
        <f t="shared" si="59"/>
        <v>410.81256521736509</v>
      </c>
      <c r="AN115" s="190">
        <f t="shared" si="59"/>
        <v>356.24136504328669</v>
      </c>
      <c r="AO115" s="190">
        <f t="shared" si="59"/>
        <v>314.80144701101256</v>
      </c>
      <c r="AP115" s="190">
        <f t="shared" si="59"/>
        <v>450.16233288183952</v>
      </c>
      <c r="AQ115" s="190">
        <f t="shared" si="59"/>
        <v>572.56245684166413</v>
      </c>
      <c r="AR115" s="190">
        <f t="shared" si="59"/>
        <v>450.11801065868593</v>
      </c>
      <c r="AS115" s="190">
        <f t="shared" si="59"/>
        <v>341.53650192245544</v>
      </c>
      <c r="AT115" s="190">
        <f t="shared" si="59"/>
        <v>322.15476236651295</v>
      </c>
      <c r="AU115" s="190">
        <f t="shared" si="59"/>
        <v>415.2128341341803</v>
      </c>
      <c r="AV115" s="190">
        <f t="shared" si="59"/>
        <v>410.35181571849398</v>
      </c>
      <c r="AW115" s="581">
        <f t="shared" si="57"/>
        <v>247.86909516599187</v>
      </c>
      <c r="BD115" s="364" t="str">
        <f t="shared" si="54"/>
        <v>Contribution Per MT USD</v>
      </c>
      <c r="BE115" s="609">
        <f>BE114/BE105</f>
        <v>-801.66298163659076</v>
      </c>
      <c r="BG115" s="190">
        <f>BG114/BG105</f>
        <v>-797.25086760848285</v>
      </c>
    </row>
    <row r="116" spans="3:59" s="361" customFormat="1" x14ac:dyDescent="0.25">
      <c r="C116" s="120"/>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BD116" s="364">
        <f t="shared" si="54"/>
        <v>0</v>
      </c>
      <c r="BE116" s="1"/>
      <c r="BG116" s="190"/>
    </row>
    <row r="117" spans="3:59" s="362" customFormat="1" x14ac:dyDescent="0.25">
      <c r="C117" s="8" t="s">
        <v>507</v>
      </c>
      <c r="D117" s="542">
        <f>SUM(D118:D123)</f>
        <v>70656.360469536681</v>
      </c>
      <c r="E117" s="542">
        <f t="shared" ref="E117:AV117" si="60">SUM(E118:E123)</f>
        <v>69343.092569272179</v>
      </c>
      <c r="F117" s="542">
        <f t="shared" si="60"/>
        <v>69978.61728607057</v>
      </c>
      <c r="G117" s="542">
        <f t="shared" si="60"/>
        <v>67272.06929079743</v>
      </c>
      <c r="H117" s="542">
        <f t="shared" si="60"/>
        <v>76149.16449802641</v>
      </c>
      <c r="I117" s="542">
        <f t="shared" si="60"/>
        <v>71773.234269073233</v>
      </c>
      <c r="J117" s="542">
        <f t="shared" si="60"/>
        <v>80005.796598646586</v>
      </c>
      <c r="K117" s="542">
        <f t="shared" si="60"/>
        <v>76738.085593884694</v>
      </c>
      <c r="L117" s="542">
        <f t="shared" si="60"/>
        <v>81233.633547731006</v>
      </c>
      <c r="M117" s="542">
        <f t="shared" si="60"/>
        <v>75761.646779913019</v>
      </c>
      <c r="N117" s="542">
        <f t="shared" si="60"/>
        <v>59256.120705548012</v>
      </c>
      <c r="O117" s="542">
        <f t="shared" si="60"/>
        <v>59339.949448571504</v>
      </c>
      <c r="P117" s="542">
        <f t="shared" si="60"/>
        <v>58938.040540655922</v>
      </c>
      <c r="Q117" s="542">
        <f t="shared" si="60"/>
        <v>59947.275461824182</v>
      </c>
      <c r="R117" s="542">
        <f t="shared" si="60"/>
        <v>61441.758086297887</v>
      </c>
      <c r="S117" s="542">
        <f t="shared" si="60"/>
        <v>65132.248833110403</v>
      </c>
      <c r="T117" s="542">
        <f t="shared" si="60"/>
        <v>64138.294896578787</v>
      </c>
      <c r="U117" s="542">
        <f t="shared" si="60"/>
        <v>57035.652601556947</v>
      </c>
      <c r="V117" s="542">
        <f t="shared" si="60"/>
        <v>58765.906240351585</v>
      </c>
      <c r="W117" s="542">
        <f t="shared" si="60"/>
        <v>62079.008690826056</v>
      </c>
      <c r="X117" s="542">
        <f t="shared" si="60"/>
        <v>54578.143026429549</v>
      </c>
      <c r="Y117" s="542">
        <f t="shared" si="60"/>
        <v>58692.335165755387</v>
      </c>
      <c r="Z117" s="542">
        <f t="shared" si="60"/>
        <v>60532.569108450778</v>
      </c>
      <c r="AA117" s="542">
        <f t="shared" si="60"/>
        <v>64040.469238411199</v>
      </c>
      <c r="AB117" s="542">
        <f t="shared" si="60"/>
        <v>62729.081237444945</v>
      </c>
      <c r="AC117" s="542">
        <f t="shared" si="60"/>
        <v>59863.979983945843</v>
      </c>
      <c r="AD117" s="542">
        <f t="shared" si="60"/>
        <v>49029.92551448146</v>
      </c>
      <c r="AE117" s="542">
        <f t="shared" si="60"/>
        <v>72555.364964769702</v>
      </c>
      <c r="AF117" s="542">
        <f t="shared" si="60"/>
        <v>68595.358029520692</v>
      </c>
      <c r="AG117" s="542">
        <f t="shared" si="60"/>
        <v>70057.732692421661</v>
      </c>
      <c r="AH117" s="542">
        <f t="shared" si="60"/>
        <v>57624.401876317272</v>
      </c>
      <c r="AI117" s="542">
        <f t="shared" si="60"/>
        <v>55346.988113127096</v>
      </c>
      <c r="AJ117" s="542">
        <f t="shared" si="60"/>
        <v>54376.993809713342</v>
      </c>
      <c r="AK117" s="542">
        <f t="shared" si="60"/>
        <v>48398.378118985362</v>
      </c>
      <c r="AL117" s="542">
        <f t="shared" si="60"/>
        <v>50658.72185219299</v>
      </c>
      <c r="AM117" s="542">
        <f t="shared" si="60"/>
        <v>55147.080746817592</v>
      </c>
      <c r="AN117" s="542">
        <f t="shared" si="60"/>
        <v>59026.018723898007</v>
      </c>
      <c r="AO117" s="542">
        <f t="shared" si="60"/>
        <v>65855.205329649907</v>
      </c>
      <c r="AP117" s="542">
        <f t="shared" si="60"/>
        <v>67097.551542338886</v>
      </c>
      <c r="AQ117" s="542">
        <f t="shared" si="60"/>
        <v>60489.983128840664</v>
      </c>
      <c r="AR117" s="542">
        <f t="shared" si="60"/>
        <v>60514.876930345767</v>
      </c>
      <c r="AS117" s="542">
        <f t="shared" si="60"/>
        <v>65377.5009587237</v>
      </c>
      <c r="AT117" s="542">
        <f t="shared" si="60"/>
        <v>68753.170794268284</v>
      </c>
      <c r="AU117" s="542">
        <f t="shared" si="60"/>
        <v>66556.221610054126</v>
      </c>
      <c r="AV117" s="542">
        <f t="shared" si="60"/>
        <v>69669.830831930391</v>
      </c>
      <c r="AW117" s="179">
        <f>AVERAGE(D117:AV117)</f>
        <v>63790.085327491266</v>
      </c>
      <c r="BD117" s="364" t="str">
        <f t="shared" si="54"/>
        <v>HDPE  Cost of Production</v>
      </c>
      <c r="BE117" s="608">
        <f>SUM(BE118:BE123)</f>
        <v>63721.678266355433</v>
      </c>
      <c r="BG117" s="542">
        <f>SUM(BG118:BG123)</f>
        <v>63392.285102474627</v>
      </c>
    </row>
    <row r="118" spans="3:59" s="361" customFormat="1" hidden="1" x14ac:dyDescent="0.25">
      <c r="C118" s="6" t="s">
        <v>506</v>
      </c>
      <c r="D118" s="190">
        <f>1.07*D101</f>
        <v>57256.360469536688</v>
      </c>
      <c r="E118" s="190">
        <f t="shared" ref="E118:AV118" si="61">1.07*E101</f>
        <v>55943.092569272179</v>
      </c>
      <c r="F118" s="190">
        <f t="shared" si="61"/>
        <v>56578.617286070563</v>
      </c>
      <c r="G118" s="190">
        <f t="shared" si="61"/>
        <v>53872.069290797437</v>
      </c>
      <c r="H118" s="190">
        <f t="shared" si="61"/>
        <v>62749.16449802641</v>
      </c>
      <c r="I118" s="190">
        <f t="shared" si="61"/>
        <v>58373.23426907324</v>
      </c>
      <c r="J118" s="190">
        <f t="shared" si="61"/>
        <v>66605.796598646586</v>
      </c>
      <c r="K118" s="190">
        <f t="shared" si="61"/>
        <v>63338.085593884702</v>
      </c>
      <c r="L118" s="190">
        <f t="shared" si="61"/>
        <v>67833.633547731006</v>
      </c>
      <c r="M118" s="190">
        <f t="shared" si="61"/>
        <v>62361.646779913026</v>
      </c>
      <c r="N118" s="190">
        <f t="shared" si="61"/>
        <v>45856.120705548012</v>
      </c>
      <c r="O118" s="190">
        <f t="shared" si="61"/>
        <v>45939.949448571504</v>
      </c>
      <c r="P118" s="190">
        <f t="shared" si="61"/>
        <v>45538.040540655922</v>
      </c>
      <c r="Q118" s="190">
        <f t="shared" si="61"/>
        <v>46547.275461824182</v>
      </c>
      <c r="R118" s="190">
        <f t="shared" si="61"/>
        <v>48041.758086297887</v>
      </c>
      <c r="S118" s="190">
        <f t="shared" si="61"/>
        <v>51732.248833110403</v>
      </c>
      <c r="T118" s="190">
        <f t="shared" si="61"/>
        <v>50738.294896578787</v>
      </c>
      <c r="U118" s="190">
        <f t="shared" si="61"/>
        <v>43635.652601556947</v>
      </c>
      <c r="V118" s="190">
        <f t="shared" si="61"/>
        <v>45365.906240351585</v>
      </c>
      <c r="W118" s="190">
        <f t="shared" si="61"/>
        <v>48679.008690826056</v>
      </c>
      <c r="X118" s="190">
        <f t="shared" si="61"/>
        <v>41178.143026429549</v>
      </c>
      <c r="Y118" s="190">
        <f t="shared" si="61"/>
        <v>45292.335165755387</v>
      </c>
      <c r="Z118" s="190">
        <f t="shared" si="61"/>
        <v>47132.569108450778</v>
      </c>
      <c r="AA118" s="190">
        <f t="shared" si="61"/>
        <v>50640.469238411199</v>
      </c>
      <c r="AB118" s="190">
        <f t="shared" si="61"/>
        <v>49329.081237444945</v>
      </c>
      <c r="AC118" s="190">
        <f t="shared" si="61"/>
        <v>46463.979983945843</v>
      </c>
      <c r="AD118" s="190">
        <f t="shared" si="61"/>
        <v>35629.92551448146</v>
      </c>
      <c r="AE118" s="190">
        <f t="shared" si="61"/>
        <v>59155.364964769702</v>
      </c>
      <c r="AF118" s="190">
        <f t="shared" si="61"/>
        <v>55195.358029520692</v>
      </c>
      <c r="AG118" s="190">
        <f t="shared" si="61"/>
        <v>56657.732692421661</v>
      </c>
      <c r="AH118" s="190">
        <f t="shared" si="61"/>
        <v>44224.401876317272</v>
      </c>
      <c r="AI118" s="190">
        <f t="shared" si="61"/>
        <v>41946.988113127096</v>
      </c>
      <c r="AJ118" s="190">
        <f t="shared" si="61"/>
        <v>40976.993809713342</v>
      </c>
      <c r="AK118" s="190">
        <f t="shared" si="61"/>
        <v>34998.378118985362</v>
      </c>
      <c r="AL118" s="190">
        <f t="shared" si="61"/>
        <v>37258.72185219299</v>
      </c>
      <c r="AM118" s="190">
        <f t="shared" si="61"/>
        <v>41747.080746817592</v>
      </c>
      <c r="AN118" s="190">
        <f t="shared" si="61"/>
        <v>45626.018723898007</v>
      </c>
      <c r="AO118" s="190">
        <f t="shared" si="61"/>
        <v>52455.205329649914</v>
      </c>
      <c r="AP118" s="190">
        <f t="shared" si="61"/>
        <v>53697.551542338879</v>
      </c>
      <c r="AQ118" s="190">
        <f t="shared" si="61"/>
        <v>47089.983128840664</v>
      </c>
      <c r="AR118" s="190">
        <f t="shared" si="61"/>
        <v>47114.876930345767</v>
      </c>
      <c r="AS118" s="190">
        <f t="shared" si="61"/>
        <v>51977.5009587237</v>
      </c>
      <c r="AT118" s="190">
        <f t="shared" si="61"/>
        <v>55353.170794268292</v>
      </c>
      <c r="AU118" s="190">
        <f t="shared" si="61"/>
        <v>53156.221610054126</v>
      </c>
      <c r="AV118" s="190">
        <f t="shared" si="61"/>
        <v>56269.830831930383</v>
      </c>
      <c r="AW118" s="179">
        <f t="shared" ref="AW118:AW126" si="62">AVERAGE(D118:AV118)</f>
        <v>50390.085327491266</v>
      </c>
      <c r="BD118" s="364" t="str">
        <f t="shared" si="54"/>
        <v>Raw materials</v>
      </c>
      <c r="BE118" s="609">
        <f>1.07*BE65</f>
        <v>50321.678266355433</v>
      </c>
      <c r="BG118" s="190">
        <f>1.07*BG65</f>
        <v>49992.285102474627</v>
      </c>
    </row>
    <row r="119" spans="3:59" s="361" customFormat="1" hidden="1" x14ac:dyDescent="0.25">
      <c r="C119" s="6" t="s">
        <v>510</v>
      </c>
      <c r="D119" s="190">
        <v>4000</v>
      </c>
      <c r="E119" s="190">
        <v>4000</v>
      </c>
      <c r="F119" s="190">
        <v>4000</v>
      </c>
      <c r="G119" s="190">
        <v>4000</v>
      </c>
      <c r="H119" s="190">
        <v>4000</v>
      </c>
      <c r="I119" s="190">
        <v>4000</v>
      </c>
      <c r="J119" s="190">
        <v>4000</v>
      </c>
      <c r="K119" s="190">
        <v>4000</v>
      </c>
      <c r="L119" s="190">
        <v>4000</v>
      </c>
      <c r="M119" s="190">
        <v>4000</v>
      </c>
      <c r="N119" s="190">
        <v>4000</v>
      </c>
      <c r="O119" s="190">
        <v>4000</v>
      </c>
      <c r="P119" s="190">
        <v>4000</v>
      </c>
      <c r="Q119" s="190">
        <v>4000</v>
      </c>
      <c r="R119" s="190">
        <v>4000</v>
      </c>
      <c r="S119" s="190">
        <v>4000</v>
      </c>
      <c r="T119" s="190">
        <v>4000</v>
      </c>
      <c r="U119" s="190">
        <v>4000</v>
      </c>
      <c r="V119" s="190">
        <v>4000</v>
      </c>
      <c r="W119" s="190">
        <v>4000</v>
      </c>
      <c r="X119" s="190">
        <v>4000</v>
      </c>
      <c r="Y119" s="190">
        <v>4000</v>
      </c>
      <c r="Z119" s="190">
        <v>4000</v>
      </c>
      <c r="AA119" s="190">
        <v>4000</v>
      </c>
      <c r="AB119" s="190">
        <v>4000</v>
      </c>
      <c r="AC119" s="190">
        <v>4000</v>
      </c>
      <c r="AD119" s="190">
        <v>4000</v>
      </c>
      <c r="AE119" s="190">
        <v>4000</v>
      </c>
      <c r="AF119" s="190">
        <v>4000</v>
      </c>
      <c r="AG119" s="190">
        <v>4000</v>
      </c>
      <c r="AH119" s="190">
        <v>4000</v>
      </c>
      <c r="AI119" s="190">
        <v>4000</v>
      </c>
      <c r="AJ119" s="190">
        <v>4000</v>
      </c>
      <c r="AK119" s="190">
        <v>4000</v>
      </c>
      <c r="AL119" s="190">
        <v>4000</v>
      </c>
      <c r="AM119" s="190">
        <v>4000</v>
      </c>
      <c r="AN119" s="190">
        <v>4000</v>
      </c>
      <c r="AO119" s="190">
        <v>4000</v>
      </c>
      <c r="AP119" s="190">
        <v>4000</v>
      </c>
      <c r="AQ119" s="190">
        <v>4000</v>
      </c>
      <c r="AR119" s="190">
        <v>4000</v>
      </c>
      <c r="AS119" s="190">
        <v>4000</v>
      </c>
      <c r="AT119" s="190">
        <v>4000</v>
      </c>
      <c r="AU119" s="190">
        <v>4000</v>
      </c>
      <c r="AV119" s="190">
        <v>4000</v>
      </c>
      <c r="AW119" s="179">
        <f t="shared" si="62"/>
        <v>4000</v>
      </c>
      <c r="BD119" s="364" t="str">
        <f t="shared" si="54"/>
        <v>Cat-Chem+ additive</v>
      </c>
      <c r="BE119" s="609">
        <v>4000</v>
      </c>
      <c r="BG119" s="190">
        <v>4000</v>
      </c>
    </row>
    <row r="120" spans="3:59" s="361" customFormat="1" hidden="1" x14ac:dyDescent="0.25">
      <c r="C120" s="6" t="s">
        <v>511</v>
      </c>
      <c r="D120" s="190">
        <v>3500</v>
      </c>
      <c r="E120" s="190">
        <v>3500</v>
      </c>
      <c r="F120" s="190">
        <v>3500</v>
      </c>
      <c r="G120" s="190">
        <v>3500</v>
      </c>
      <c r="H120" s="190">
        <v>3500</v>
      </c>
      <c r="I120" s="190">
        <v>3500</v>
      </c>
      <c r="J120" s="190">
        <v>3500</v>
      </c>
      <c r="K120" s="190">
        <v>3500</v>
      </c>
      <c r="L120" s="190">
        <v>3500</v>
      </c>
      <c r="M120" s="190">
        <v>3500</v>
      </c>
      <c r="N120" s="190">
        <v>3500</v>
      </c>
      <c r="O120" s="190">
        <v>3500</v>
      </c>
      <c r="P120" s="190">
        <v>3500</v>
      </c>
      <c r="Q120" s="190">
        <v>3500</v>
      </c>
      <c r="R120" s="190">
        <v>3500</v>
      </c>
      <c r="S120" s="190">
        <v>3500</v>
      </c>
      <c r="T120" s="190">
        <v>3500</v>
      </c>
      <c r="U120" s="190">
        <v>3500</v>
      </c>
      <c r="V120" s="190">
        <v>3500</v>
      </c>
      <c r="W120" s="190">
        <v>3500</v>
      </c>
      <c r="X120" s="190">
        <v>3500</v>
      </c>
      <c r="Y120" s="190">
        <v>3500</v>
      </c>
      <c r="Z120" s="190">
        <v>3500</v>
      </c>
      <c r="AA120" s="190">
        <v>3500</v>
      </c>
      <c r="AB120" s="190">
        <v>3500</v>
      </c>
      <c r="AC120" s="190">
        <v>3500</v>
      </c>
      <c r="AD120" s="190">
        <v>3500</v>
      </c>
      <c r="AE120" s="190">
        <v>3500</v>
      </c>
      <c r="AF120" s="190">
        <v>3500</v>
      </c>
      <c r="AG120" s="190">
        <v>3500</v>
      </c>
      <c r="AH120" s="190">
        <v>3500</v>
      </c>
      <c r="AI120" s="190">
        <v>3500</v>
      </c>
      <c r="AJ120" s="190">
        <v>3500</v>
      </c>
      <c r="AK120" s="190">
        <v>3500</v>
      </c>
      <c r="AL120" s="190">
        <v>3500</v>
      </c>
      <c r="AM120" s="190">
        <v>3500</v>
      </c>
      <c r="AN120" s="190">
        <v>3500</v>
      </c>
      <c r="AO120" s="190">
        <v>3500</v>
      </c>
      <c r="AP120" s="190">
        <v>3500</v>
      </c>
      <c r="AQ120" s="190">
        <v>3500</v>
      </c>
      <c r="AR120" s="190">
        <v>3500</v>
      </c>
      <c r="AS120" s="190">
        <v>3500</v>
      </c>
      <c r="AT120" s="190">
        <v>3500</v>
      </c>
      <c r="AU120" s="190">
        <v>3500</v>
      </c>
      <c r="AV120" s="190">
        <v>3500</v>
      </c>
      <c r="AW120" s="179">
        <f t="shared" si="62"/>
        <v>3500</v>
      </c>
      <c r="BD120" s="364" t="str">
        <f t="shared" si="54"/>
        <v>Utilities</v>
      </c>
      <c r="BE120" s="609">
        <v>3500</v>
      </c>
      <c r="BG120" s="190">
        <v>3500</v>
      </c>
    </row>
    <row r="121" spans="3:59" s="361" customFormat="1" hidden="1" x14ac:dyDescent="0.25">
      <c r="C121" s="6" t="s">
        <v>512</v>
      </c>
      <c r="D121" s="190">
        <v>1200</v>
      </c>
      <c r="E121" s="190">
        <v>1200</v>
      </c>
      <c r="F121" s="190">
        <v>1200</v>
      </c>
      <c r="G121" s="190">
        <v>1200</v>
      </c>
      <c r="H121" s="190">
        <v>1200</v>
      </c>
      <c r="I121" s="190">
        <v>1200</v>
      </c>
      <c r="J121" s="190">
        <v>1200</v>
      </c>
      <c r="K121" s="190">
        <v>1200</v>
      </c>
      <c r="L121" s="190">
        <v>1200</v>
      </c>
      <c r="M121" s="190">
        <v>1200</v>
      </c>
      <c r="N121" s="190">
        <v>1200</v>
      </c>
      <c r="O121" s="190">
        <v>1200</v>
      </c>
      <c r="P121" s="190">
        <v>1200</v>
      </c>
      <c r="Q121" s="190">
        <v>1200</v>
      </c>
      <c r="R121" s="190">
        <v>1200</v>
      </c>
      <c r="S121" s="190">
        <v>1200</v>
      </c>
      <c r="T121" s="190">
        <v>1200</v>
      </c>
      <c r="U121" s="190">
        <v>1200</v>
      </c>
      <c r="V121" s="190">
        <v>1200</v>
      </c>
      <c r="W121" s="190">
        <v>1200</v>
      </c>
      <c r="X121" s="190">
        <v>1200</v>
      </c>
      <c r="Y121" s="190">
        <v>1200</v>
      </c>
      <c r="Z121" s="190">
        <v>1200</v>
      </c>
      <c r="AA121" s="190">
        <v>1200</v>
      </c>
      <c r="AB121" s="190">
        <v>1200</v>
      </c>
      <c r="AC121" s="190">
        <v>1200</v>
      </c>
      <c r="AD121" s="190">
        <v>1200</v>
      </c>
      <c r="AE121" s="190">
        <v>1200</v>
      </c>
      <c r="AF121" s="190">
        <v>1200</v>
      </c>
      <c r="AG121" s="190">
        <v>1200</v>
      </c>
      <c r="AH121" s="190">
        <v>1200</v>
      </c>
      <c r="AI121" s="190">
        <v>1200</v>
      </c>
      <c r="AJ121" s="190">
        <v>1200</v>
      </c>
      <c r="AK121" s="190">
        <v>1200</v>
      </c>
      <c r="AL121" s="190">
        <v>1200</v>
      </c>
      <c r="AM121" s="190">
        <v>1200</v>
      </c>
      <c r="AN121" s="190">
        <v>1200</v>
      </c>
      <c r="AO121" s="190">
        <v>1200</v>
      </c>
      <c r="AP121" s="190">
        <v>1200</v>
      </c>
      <c r="AQ121" s="190">
        <v>1200</v>
      </c>
      <c r="AR121" s="190">
        <v>1200</v>
      </c>
      <c r="AS121" s="190">
        <v>1200</v>
      </c>
      <c r="AT121" s="190">
        <v>1200</v>
      </c>
      <c r="AU121" s="190">
        <v>1200</v>
      </c>
      <c r="AV121" s="190">
        <v>1200</v>
      </c>
      <c r="AW121" s="179">
        <f t="shared" si="62"/>
        <v>1200</v>
      </c>
      <c r="BD121" s="364" t="str">
        <f t="shared" si="54"/>
        <v>Overheads</v>
      </c>
      <c r="BE121" s="609">
        <v>1200</v>
      </c>
      <c r="BG121" s="190">
        <v>1200</v>
      </c>
    </row>
    <row r="122" spans="3:59" s="361" customFormat="1" hidden="1" x14ac:dyDescent="0.25">
      <c r="C122" s="541" t="s">
        <v>513</v>
      </c>
      <c r="D122" s="190">
        <v>2700</v>
      </c>
      <c r="E122" s="190">
        <v>2700</v>
      </c>
      <c r="F122" s="190">
        <v>2700</v>
      </c>
      <c r="G122" s="190">
        <v>2700</v>
      </c>
      <c r="H122" s="190">
        <v>2700</v>
      </c>
      <c r="I122" s="190">
        <v>2700</v>
      </c>
      <c r="J122" s="190">
        <v>2700</v>
      </c>
      <c r="K122" s="190">
        <v>2700</v>
      </c>
      <c r="L122" s="190">
        <v>2700</v>
      </c>
      <c r="M122" s="190">
        <v>2700</v>
      </c>
      <c r="N122" s="190">
        <v>2700</v>
      </c>
      <c r="O122" s="190">
        <v>2700</v>
      </c>
      <c r="P122" s="190">
        <v>2700</v>
      </c>
      <c r="Q122" s="190">
        <v>2700</v>
      </c>
      <c r="R122" s="190">
        <v>2700</v>
      </c>
      <c r="S122" s="190">
        <v>2700</v>
      </c>
      <c r="T122" s="190">
        <v>2700</v>
      </c>
      <c r="U122" s="190">
        <v>2700</v>
      </c>
      <c r="V122" s="190">
        <v>2700</v>
      </c>
      <c r="W122" s="190">
        <v>2700</v>
      </c>
      <c r="X122" s="190">
        <v>2700</v>
      </c>
      <c r="Y122" s="190">
        <v>2700</v>
      </c>
      <c r="Z122" s="190">
        <v>2700</v>
      </c>
      <c r="AA122" s="190">
        <v>2700</v>
      </c>
      <c r="AB122" s="190">
        <v>2700</v>
      </c>
      <c r="AC122" s="190">
        <v>2700</v>
      </c>
      <c r="AD122" s="190">
        <v>2700</v>
      </c>
      <c r="AE122" s="190">
        <v>2700</v>
      </c>
      <c r="AF122" s="190">
        <v>2700</v>
      </c>
      <c r="AG122" s="190">
        <v>2700</v>
      </c>
      <c r="AH122" s="190">
        <v>2700</v>
      </c>
      <c r="AI122" s="190">
        <v>2700</v>
      </c>
      <c r="AJ122" s="190">
        <v>2700</v>
      </c>
      <c r="AK122" s="190">
        <v>2700</v>
      </c>
      <c r="AL122" s="190">
        <v>2700</v>
      </c>
      <c r="AM122" s="190">
        <v>2700</v>
      </c>
      <c r="AN122" s="190">
        <v>2700</v>
      </c>
      <c r="AO122" s="190">
        <v>2700</v>
      </c>
      <c r="AP122" s="190">
        <v>2700</v>
      </c>
      <c r="AQ122" s="190">
        <v>2700</v>
      </c>
      <c r="AR122" s="190">
        <v>2700</v>
      </c>
      <c r="AS122" s="190">
        <v>2700</v>
      </c>
      <c r="AT122" s="190">
        <v>2700</v>
      </c>
      <c r="AU122" s="190">
        <v>2700</v>
      </c>
      <c r="AV122" s="190">
        <v>2700</v>
      </c>
      <c r="AW122" s="179">
        <f t="shared" si="62"/>
        <v>2700</v>
      </c>
      <c r="BD122" s="364" t="str">
        <f t="shared" si="54"/>
        <v>Depreciation</v>
      </c>
      <c r="BE122" s="609">
        <v>2700</v>
      </c>
      <c r="BG122" s="190">
        <v>2700</v>
      </c>
    </row>
    <row r="123" spans="3:59" s="361" customFormat="1" hidden="1" x14ac:dyDescent="0.25">
      <c r="C123" s="541" t="s">
        <v>514</v>
      </c>
      <c r="D123" s="543">
        <v>2000</v>
      </c>
      <c r="E123" s="543">
        <v>2000</v>
      </c>
      <c r="F123" s="543">
        <v>2000</v>
      </c>
      <c r="G123" s="543">
        <v>2000</v>
      </c>
      <c r="H123" s="543">
        <v>2000</v>
      </c>
      <c r="I123" s="543">
        <v>2000</v>
      </c>
      <c r="J123" s="543">
        <v>2000</v>
      </c>
      <c r="K123" s="543">
        <v>2000</v>
      </c>
      <c r="L123" s="543">
        <v>2000</v>
      </c>
      <c r="M123" s="543">
        <v>2000</v>
      </c>
      <c r="N123" s="543">
        <v>2000</v>
      </c>
      <c r="O123" s="543">
        <v>2000</v>
      </c>
      <c r="P123" s="543">
        <v>2000</v>
      </c>
      <c r="Q123" s="543">
        <v>2000</v>
      </c>
      <c r="R123" s="543">
        <v>2000</v>
      </c>
      <c r="S123" s="543">
        <v>2000</v>
      </c>
      <c r="T123" s="543">
        <v>2000</v>
      </c>
      <c r="U123" s="543">
        <v>2000</v>
      </c>
      <c r="V123" s="543">
        <v>2000</v>
      </c>
      <c r="W123" s="543">
        <v>2000</v>
      </c>
      <c r="X123" s="543">
        <v>2000</v>
      </c>
      <c r="Y123" s="543">
        <v>2000</v>
      </c>
      <c r="Z123" s="543">
        <v>2000</v>
      </c>
      <c r="AA123" s="543">
        <v>2000</v>
      </c>
      <c r="AB123" s="543">
        <v>2000</v>
      </c>
      <c r="AC123" s="543">
        <v>2000</v>
      </c>
      <c r="AD123" s="543">
        <v>2000</v>
      </c>
      <c r="AE123" s="543">
        <v>2000</v>
      </c>
      <c r="AF123" s="543">
        <v>2000</v>
      </c>
      <c r="AG123" s="543">
        <v>2000</v>
      </c>
      <c r="AH123" s="543">
        <v>2000</v>
      </c>
      <c r="AI123" s="543">
        <v>2000</v>
      </c>
      <c r="AJ123" s="543">
        <v>2000</v>
      </c>
      <c r="AK123" s="543">
        <v>2000</v>
      </c>
      <c r="AL123" s="543">
        <v>2000</v>
      </c>
      <c r="AM123" s="543">
        <v>2000</v>
      </c>
      <c r="AN123" s="543">
        <v>2000</v>
      </c>
      <c r="AO123" s="543">
        <v>2000</v>
      </c>
      <c r="AP123" s="543">
        <v>2000</v>
      </c>
      <c r="AQ123" s="543">
        <v>2000</v>
      </c>
      <c r="AR123" s="543">
        <v>2000</v>
      </c>
      <c r="AS123" s="543">
        <v>2000</v>
      </c>
      <c r="AT123" s="543">
        <v>2000</v>
      </c>
      <c r="AU123" s="543">
        <v>2000</v>
      </c>
      <c r="AV123" s="543">
        <v>2000</v>
      </c>
      <c r="AW123" s="179">
        <f t="shared" si="62"/>
        <v>2000</v>
      </c>
      <c r="BD123" s="364" t="str">
        <f t="shared" si="54"/>
        <v>Co-product/Byprodcut Credit</v>
      </c>
      <c r="BE123" s="610">
        <v>2000</v>
      </c>
      <c r="BG123" s="543">
        <v>2000</v>
      </c>
    </row>
    <row r="124" spans="3:59" x14ac:dyDescent="0.25">
      <c r="C124" s="541" t="s">
        <v>573</v>
      </c>
      <c r="D124" s="190">
        <f>'Polymer Prices'!E40</f>
        <v>80539.58795362903</v>
      </c>
      <c r="E124" s="190">
        <f>'Polymer Prices'!F40</f>
        <v>86934.170866935485</v>
      </c>
      <c r="F124" s="190">
        <f>'Polymer Prices'!G40</f>
        <v>89341.653225806454</v>
      </c>
      <c r="G124" s="190">
        <f>'Polymer Prices'!H40</f>
        <v>91140.766129032243</v>
      </c>
      <c r="H124" s="190">
        <f>'Polymer Prices'!I40</f>
        <v>96099.868951612909</v>
      </c>
      <c r="I124" s="190">
        <f>'Polymer Prices'!J40</f>
        <v>97828.508064516122</v>
      </c>
      <c r="J124" s="190">
        <f>'Polymer Prices'!K40</f>
        <v>97836.572580645152</v>
      </c>
      <c r="K124" s="190">
        <f>'Polymer Prices'!L40</f>
        <v>97190.645161290318</v>
      </c>
      <c r="L124" s="190">
        <f>'Polymer Prices'!M40</f>
        <v>97364.107862903213</v>
      </c>
      <c r="M124" s="190">
        <f>'Polymer Prices'!N40</f>
        <v>98086.408770161288</v>
      </c>
      <c r="N124" s="190">
        <f>'Polymer Prices'!O40</f>
        <v>93706.549059139783</v>
      </c>
      <c r="O124" s="190">
        <f>'Polymer Prices'!P40</f>
        <v>83380.277217741939</v>
      </c>
      <c r="P124" s="190">
        <f>'Polymer Prices'!Q40</f>
        <v>81038.145161290318</v>
      </c>
      <c r="Q124" s="190">
        <f>'Polymer Prices'!R40</f>
        <v>79961.224798387091</v>
      </c>
      <c r="R124" s="190">
        <f>'Polymer Prices'!S40</f>
        <v>79961.224798387091</v>
      </c>
      <c r="S124" s="190">
        <f>'Polymer Prices'!T40</f>
        <v>79961.224798387091</v>
      </c>
      <c r="T124" s="190">
        <f>'Polymer Prices'!U40</f>
        <v>77660.846774193546</v>
      </c>
      <c r="U124" s="190">
        <f>'Polymer Prices'!V40</f>
        <v>72853.889616935485</v>
      </c>
      <c r="V124" s="190">
        <f>'Polymer Prices'!W40</f>
        <v>70820.866935483864</v>
      </c>
      <c r="W124" s="190">
        <f>'Polymer Prices'!X40</f>
        <v>71429.147177419349</v>
      </c>
      <c r="X124" s="190">
        <f>'Polymer Prices'!Y40</f>
        <v>70584.057459677424</v>
      </c>
      <c r="Y124" s="190">
        <f>'Polymer Prices'!Z40</f>
        <v>70105.042002688162</v>
      </c>
      <c r="Z124" s="190">
        <f>'Polymer Prices'!AA40</f>
        <v>67182.930947580651</v>
      </c>
      <c r="AA124" s="190">
        <f>'Polymer Prices'!AB40</f>
        <v>66724.662298387091</v>
      </c>
      <c r="AB124" s="190">
        <f>'Polymer Prices'!AC40</f>
        <v>67824.059979838712</v>
      </c>
      <c r="AC124" s="190">
        <f>'Polymer Prices'!AD40</f>
        <v>68500.904737903227</v>
      </c>
      <c r="AD124" s="190">
        <f>'Polymer Prices'!AE40</f>
        <v>68724.480846774197</v>
      </c>
      <c r="AE124" s="190">
        <f>'Polymer Prices'!AF40</f>
        <v>66429.480846774182</v>
      </c>
      <c r="AF124" s="190">
        <f>'Polymer Prices'!AG40</f>
        <v>63588.351814516129</v>
      </c>
      <c r="AG124" s="190">
        <f>'Polymer Prices'!AH40</f>
        <v>66402.384072580651</v>
      </c>
      <c r="AH124" s="190">
        <f>'Polymer Prices'!AI40</f>
        <v>70905.260416666657</v>
      </c>
      <c r="AI124" s="190">
        <f>'Polymer Prices'!AJ40</f>
        <v>72930.645161290318</v>
      </c>
      <c r="AJ124" s="190">
        <f>'Polymer Prices'!AK40</f>
        <v>74167.31182795699</v>
      </c>
      <c r="AK124" s="190">
        <f>'Polymer Prices'!AL40</f>
        <v>76190.645161290318</v>
      </c>
      <c r="AL124" s="190">
        <f>'Polymer Prices'!AM40</f>
        <v>78563.440860215051</v>
      </c>
      <c r="AM124" s="190">
        <f>'Polymer Prices'!AN40</f>
        <v>82576.774193548394</v>
      </c>
      <c r="AN124" s="190">
        <f>'Polymer Prices'!AO40</f>
        <v>83057.285786290318</v>
      </c>
      <c r="AO124" s="190">
        <f>'Polymer Prices'!AP40</f>
        <v>87461.036626344096</v>
      </c>
      <c r="AP124" s="190">
        <f>'Polymer Prices'!AQ40</f>
        <v>95744.682459677424</v>
      </c>
      <c r="AQ124" s="190">
        <f>'Polymer Prices'!AR40</f>
        <v>100247.4932795699</v>
      </c>
      <c r="AR124" s="190">
        <f>'Polymer Prices'!AS40</f>
        <v>93822.923387096787</v>
      </c>
      <c r="AS124" s="190">
        <f>'Polymer Prices'!AT40</f>
        <v>89059.213709677409</v>
      </c>
      <c r="AT124" s="190">
        <f>'Polymer Prices'!AU40</f>
        <v>89672.547043010738</v>
      </c>
      <c r="AU124" s="190">
        <f>'Polymer Prices'!AV40</f>
        <v>92655.342741935485</v>
      </c>
      <c r="AV124" s="190">
        <f>'Polymer Prices'!AW40</f>
        <v>93595.342741935485</v>
      </c>
      <c r="AW124" s="179">
        <f t="shared" si="62"/>
        <v>81774.488584602761</v>
      </c>
      <c r="BD124" s="364" t="str">
        <f t="shared" si="54"/>
        <v>HDPE OPaL Price</v>
      </c>
      <c r="BE124" s="609">
        <f>'Polymer Prices'!BB40</f>
        <v>0</v>
      </c>
      <c r="BG124" s="190">
        <f>'Polymer Prices'!BD40</f>
        <v>0</v>
      </c>
    </row>
    <row r="125" spans="3:59" s="361" customFormat="1" x14ac:dyDescent="0.25">
      <c r="C125" s="541" t="s">
        <v>571</v>
      </c>
      <c r="D125" s="190">
        <f>D124-D117</f>
        <v>9883.2274840923492</v>
      </c>
      <c r="E125" s="190">
        <f t="shared" ref="E125:AV125" si="63">E124-E117</f>
        <v>17591.078297663305</v>
      </c>
      <c r="F125" s="190">
        <f t="shared" si="63"/>
        <v>19363.035939735884</v>
      </c>
      <c r="G125" s="190">
        <f t="shared" si="63"/>
        <v>23868.696838234813</v>
      </c>
      <c r="H125" s="190">
        <f t="shared" si="63"/>
        <v>19950.704453586499</v>
      </c>
      <c r="I125" s="190">
        <f t="shared" si="63"/>
        <v>26055.273795442889</v>
      </c>
      <c r="J125" s="190">
        <f t="shared" si="63"/>
        <v>17830.775981998566</v>
      </c>
      <c r="K125" s="190">
        <f t="shared" si="63"/>
        <v>20452.559567405624</v>
      </c>
      <c r="L125" s="190">
        <f t="shared" si="63"/>
        <v>16130.474315172207</v>
      </c>
      <c r="M125" s="190">
        <f t="shared" si="63"/>
        <v>22324.761990248269</v>
      </c>
      <c r="N125" s="190">
        <f t="shared" si="63"/>
        <v>34450.428353591771</v>
      </c>
      <c r="O125" s="190">
        <f t="shared" si="63"/>
        <v>24040.327769170435</v>
      </c>
      <c r="P125" s="190">
        <f t="shared" si="63"/>
        <v>22100.104620634396</v>
      </c>
      <c r="Q125" s="190">
        <f t="shared" si="63"/>
        <v>20013.94933656291</v>
      </c>
      <c r="R125" s="190">
        <f t="shared" si="63"/>
        <v>18519.466712089205</v>
      </c>
      <c r="S125" s="190">
        <f t="shared" si="63"/>
        <v>14828.975965276688</v>
      </c>
      <c r="T125" s="190">
        <f t="shared" si="63"/>
        <v>13522.551877614758</v>
      </c>
      <c r="U125" s="190">
        <f t="shared" si="63"/>
        <v>15818.237015378538</v>
      </c>
      <c r="V125" s="190">
        <f t="shared" si="63"/>
        <v>12054.960695132278</v>
      </c>
      <c r="W125" s="190">
        <f t="shared" si="63"/>
        <v>9350.1384865932923</v>
      </c>
      <c r="X125" s="190">
        <f t="shared" si="63"/>
        <v>16005.914433247875</v>
      </c>
      <c r="Y125" s="190">
        <f t="shared" si="63"/>
        <v>11412.706836932775</v>
      </c>
      <c r="Z125" s="190">
        <f t="shared" si="63"/>
        <v>6650.3618391298733</v>
      </c>
      <c r="AA125" s="190">
        <f t="shared" si="63"/>
        <v>2684.1930599758925</v>
      </c>
      <c r="AB125" s="190">
        <f t="shared" si="63"/>
        <v>5094.9787423937669</v>
      </c>
      <c r="AC125" s="190">
        <f t="shared" si="63"/>
        <v>8636.9247539573844</v>
      </c>
      <c r="AD125" s="190">
        <f t="shared" si="63"/>
        <v>19694.555332292737</v>
      </c>
      <c r="AE125" s="190">
        <f t="shared" si="63"/>
        <v>-6125.8841179955198</v>
      </c>
      <c r="AF125" s="190">
        <f t="shared" si="63"/>
        <v>-5007.0062150045633</v>
      </c>
      <c r="AG125" s="190">
        <f t="shared" si="63"/>
        <v>-3655.3486198410101</v>
      </c>
      <c r="AH125" s="190">
        <f t="shared" si="63"/>
        <v>13280.858540349385</v>
      </c>
      <c r="AI125" s="190">
        <f t="shared" si="63"/>
        <v>17583.657048163222</v>
      </c>
      <c r="AJ125" s="190">
        <f t="shared" si="63"/>
        <v>19790.318018243648</v>
      </c>
      <c r="AK125" s="190">
        <f t="shared" si="63"/>
        <v>27792.267042304957</v>
      </c>
      <c r="AL125" s="190">
        <f t="shared" si="63"/>
        <v>27904.719008022061</v>
      </c>
      <c r="AM125" s="190">
        <f t="shared" si="63"/>
        <v>27429.693446730802</v>
      </c>
      <c r="AN125" s="190">
        <f t="shared" si="63"/>
        <v>24031.267062392311</v>
      </c>
      <c r="AO125" s="190">
        <f t="shared" si="63"/>
        <v>21605.831296694188</v>
      </c>
      <c r="AP125" s="190">
        <f t="shared" si="63"/>
        <v>28647.130917338538</v>
      </c>
      <c r="AQ125" s="190">
        <f t="shared" si="63"/>
        <v>39757.510150729235</v>
      </c>
      <c r="AR125" s="190">
        <f t="shared" si="63"/>
        <v>33308.046456751021</v>
      </c>
      <c r="AS125" s="190">
        <f t="shared" si="63"/>
        <v>23681.712750953709</v>
      </c>
      <c r="AT125" s="190">
        <f t="shared" si="63"/>
        <v>20919.376248742454</v>
      </c>
      <c r="AU125" s="190">
        <f t="shared" si="63"/>
        <v>26099.121131881358</v>
      </c>
      <c r="AV125" s="190">
        <f t="shared" si="63"/>
        <v>23925.511910005094</v>
      </c>
      <c r="AW125" s="179">
        <f t="shared" si="62"/>
        <v>17984.403257111469</v>
      </c>
      <c r="BD125" s="364" t="str">
        <f t="shared" si="54"/>
        <v>Contribution Per MT INR</v>
      </c>
      <c r="BE125" s="609">
        <f>BE124-BE117</f>
        <v>-63721.678266355433</v>
      </c>
      <c r="BG125" s="190">
        <f>BG124-BG117</f>
        <v>-63392.285102474627</v>
      </c>
    </row>
    <row r="126" spans="3:59" s="361" customFormat="1" x14ac:dyDescent="0.25">
      <c r="C126" s="541" t="s">
        <v>572</v>
      </c>
      <c r="D126" s="190">
        <f>D125/D105</f>
        <v>156.03453558718581</v>
      </c>
      <c r="E126" s="190">
        <f t="shared" ref="E126:AV126" si="64">E125/E105</f>
        <v>274.30341957996734</v>
      </c>
      <c r="F126" s="190">
        <f t="shared" si="64"/>
        <v>296.88800888892803</v>
      </c>
      <c r="G126" s="190">
        <f t="shared" si="64"/>
        <v>367.60660462397675</v>
      </c>
      <c r="H126" s="190">
        <f t="shared" si="64"/>
        <v>298.57384695579918</v>
      </c>
      <c r="I126" s="190">
        <f t="shared" si="64"/>
        <v>388.9137069250375</v>
      </c>
      <c r="J126" s="190">
        <f t="shared" si="64"/>
        <v>259.14942201872776</v>
      </c>
      <c r="K126" s="190">
        <f t="shared" si="64"/>
        <v>298.38149489248849</v>
      </c>
      <c r="L126" s="190">
        <f t="shared" si="64"/>
        <v>227.17378093334565</v>
      </c>
      <c r="M126" s="190">
        <f t="shared" si="64"/>
        <v>302.62656893382501</v>
      </c>
      <c r="N126" s="190">
        <f t="shared" si="64"/>
        <v>475.57189886239331</v>
      </c>
      <c r="O126" s="190">
        <f t="shared" si="64"/>
        <v>345.15904909074561</v>
      </c>
      <c r="P126" s="190">
        <f t="shared" si="64"/>
        <v>317.75851359646867</v>
      </c>
      <c r="Q126" s="190">
        <f t="shared" si="64"/>
        <v>280.17007540509428</v>
      </c>
      <c r="R126" s="190">
        <f t="shared" si="64"/>
        <v>260.83755932520006</v>
      </c>
      <c r="S126" s="190">
        <f t="shared" si="64"/>
        <v>214.38450144971358</v>
      </c>
      <c r="T126" s="190">
        <f t="shared" si="64"/>
        <v>195.70955753114927</v>
      </c>
      <c r="U126" s="190">
        <f t="shared" si="64"/>
        <v>227.33884759095341</v>
      </c>
      <c r="V126" s="190">
        <f t="shared" si="64"/>
        <v>176.11337757680465</v>
      </c>
      <c r="W126" s="190">
        <f t="shared" si="64"/>
        <v>134.14832835858383</v>
      </c>
      <c r="X126" s="190">
        <f t="shared" si="64"/>
        <v>223.40588224227616</v>
      </c>
      <c r="Y126" s="190">
        <f t="shared" si="64"/>
        <v>161.13952470078044</v>
      </c>
      <c r="Z126" s="190">
        <f t="shared" si="64"/>
        <v>93.984763130721774</v>
      </c>
      <c r="AA126" s="190">
        <f t="shared" si="64"/>
        <v>37.655444635830314</v>
      </c>
      <c r="AB126" s="190">
        <f t="shared" si="64"/>
        <v>70.990368432405845</v>
      </c>
      <c r="AC126" s="190">
        <f t="shared" si="64"/>
        <v>120.70330171137424</v>
      </c>
      <c r="AD126" s="190">
        <f t="shared" si="64"/>
        <v>266.12825431453348</v>
      </c>
      <c r="AE126" s="190">
        <f t="shared" si="64"/>
        <v>-80.348947652778946</v>
      </c>
      <c r="AF126" s="190">
        <f t="shared" si="64"/>
        <v>-66.099964554047759</v>
      </c>
      <c r="AG126" s="190">
        <f t="shared" si="64"/>
        <v>-48.376768393872553</v>
      </c>
      <c r="AH126" s="190">
        <f t="shared" si="64"/>
        <v>177.94172437361846</v>
      </c>
      <c r="AI126" s="190">
        <f t="shared" si="64"/>
        <v>234.71163767637384</v>
      </c>
      <c r="AJ126" s="190">
        <f t="shared" si="64"/>
        <v>270.03121912215539</v>
      </c>
      <c r="AK126" s="190">
        <f t="shared" si="64"/>
        <v>379.20953803117692</v>
      </c>
      <c r="AL126" s="190">
        <f t="shared" si="64"/>
        <v>377.22333533433448</v>
      </c>
      <c r="AM126" s="190">
        <f t="shared" si="64"/>
        <v>371.89274844056564</v>
      </c>
      <c r="AN126" s="190">
        <f t="shared" si="64"/>
        <v>328.65518411368038</v>
      </c>
      <c r="AO126" s="190">
        <f t="shared" si="64"/>
        <v>296.74263558157105</v>
      </c>
      <c r="AP126" s="190">
        <f t="shared" si="64"/>
        <v>391.46120411777173</v>
      </c>
      <c r="AQ126" s="190">
        <f t="shared" si="64"/>
        <v>541.87692722814813</v>
      </c>
      <c r="AR126" s="190">
        <f t="shared" si="64"/>
        <v>449.80481373060127</v>
      </c>
      <c r="AS126" s="190">
        <f t="shared" si="64"/>
        <v>325.030369900545</v>
      </c>
      <c r="AT126" s="190">
        <f t="shared" si="64"/>
        <v>280.7517748650211</v>
      </c>
      <c r="AU126" s="190">
        <f t="shared" si="64"/>
        <v>351.55066179797092</v>
      </c>
      <c r="AV126" s="190">
        <f t="shared" si="64"/>
        <v>327.82757268922603</v>
      </c>
      <c r="AW126" s="581">
        <f t="shared" si="62"/>
        <v>252.90525119325281</v>
      </c>
      <c r="BD126" s="364" t="str">
        <f t="shared" si="54"/>
        <v>Contribution Per MT USD</v>
      </c>
      <c r="BE126" s="609">
        <f>BE125/BE105</f>
        <v>-873.11499090673635</v>
      </c>
      <c r="BG126" s="190">
        <f>BG125/BG105</f>
        <v>-868.60164290475223</v>
      </c>
    </row>
    <row r="127" spans="3:59" s="361" customFormat="1" x14ac:dyDescent="0.25">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BD127" s="364">
        <f t="shared" si="54"/>
        <v>0</v>
      </c>
      <c r="BE127" s="1"/>
      <c r="BG127" s="190"/>
    </row>
    <row r="128" spans="3:59" s="362" customFormat="1" x14ac:dyDescent="0.25">
      <c r="C128" s="8" t="s">
        <v>509</v>
      </c>
      <c r="D128" s="542">
        <f>SUM(D129:D134)</f>
        <v>65624.304411965277</v>
      </c>
      <c r="E128" s="542">
        <f t="shared" ref="E128:AV128" si="65">SUM(E129:E134)</f>
        <v>64462.724040426547</v>
      </c>
      <c r="F128" s="542">
        <f t="shared" si="65"/>
        <v>66913.372521435609</v>
      </c>
      <c r="G128" s="542">
        <f t="shared" si="65"/>
        <v>54953.901557546371</v>
      </c>
      <c r="H128" s="542">
        <f t="shared" si="65"/>
        <v>74647.849584814947</v>
      </c>
      <c r="I128" s="542">
        <f t="shared" si="65"/>
        <v>71581.200110356542</v>
      </c>
      <c r="J128" s="542">
        <f t="shared" si="65"/>
        <v>78948.879514869172</v>
      </c>
      <c r="K128" s="542">
        <f t="shared" si="65"/>
        <v>77463.124360610513</v>
      </c>
      <c r="L128" s="542">
        <f t="shared" si="65"/>
        <v>85586.326647358001</v>
      </c>
      <c r="M128" s="542">
        <f t="shared" si="65"/>
        <v>87214.090535876283</v>
      </c>
      <c r="N128" s="542">
        <f t="shared" si="65"/>
        <v>62219.209539906966</v>
      </c>
      <c r="O128" s="542">
        <f t="shared" si="65"/>
        <v>62673.976260177769</v>
      </c>
      <c r="P128" s="542">
        <f t="shared" si="65"/>
        <v>59403.091912000549</v>
      </c>
      <c r="Q128" s="542">
        <f t="shared" si="65"/>
        <v>63072.236752521443</v>
      </c>
      <c r="R128" s="542">
        <f t="shared" si="65"/>
        <v>68465.553311371637</v>
      </c>
      <c r="S128" s="542">
        <f t="shared" si="65"/>
        <v>73874.534367035172</v>
      </c>
      <c r="T128" s="542">
        <f t="shared" si="65"/>
        <v>74642.195555002821</v>
      </c>
      <c r="U128" s="542">
        <f t="shared" si="65"/>
        <v>60128.190580993789</v>
      </c>
      <c r="V128" s="542">
        <f t="shared" si="65"/>
        <v>60554.719043806632</v>
      </c>
      <c r="W128" s="542">
        <f t="shared" si="65"/>
        <v>62979.126269171313</v>
      </c>
      <c r="X128" s="542">
        <f t="shared" si="65"/>
        <v>53411.802378973698</v>
      </c>
      <c r="Y128" s="542">
        <f t="shared" si="65"/>
        <v>64029.703501065494</v>
      </c>
      <c r="Z128" s="542">
        <f t="shared" si="65"/>
        <v>64895.844650498795</v>
      </c>
      <c r="AA128" s="542">
        <f t="shared" si="65"/>
        <v>70923.694718291488</v>
      </c>
      <c r="AB128" s="542">
        <f t="shared" si="65"/>
        <v>69222.795548074995</v>
      </c>
      <c r="AC128" s="542">
        <f t="shared" si="65"/>
        <v>64957.005222886306</v>
      </c>
      <c r="AD128" s="542">
        <f t="shared" si="65"/>
        <v>46238.744153662032</v>
      </c>
      <c r="AE128" s="542">
        <f t="shared" si="65"/>
        <v>78671.130652800639</v>
      </c>
      <c r="AF128" s="542">
        <f t="shared" si="65"/>
        <v>69263.904585961136</v>
      </c>
      <c r="AG128" s="542">
        <f t="shared" si="65"/>
        <v>78957.548536437884</v>
      </c>
      <c r="AH128" s="542">
        <f t="shared" si="65"/>
        <v>58896.55357370439</v>
      </c>
      <c r="AI128" s="542">
        <f t="shared" si="65"/>
        <v>55629.948892365435</v>
      </c>
      <c r="AJ128" s="542">
        <f t="shared" si="65"/>
        <v>55977.061992818097</v>
      </c>
      <c r="AK128" s="542">
        <f t="shared" si="65"/>
        <v>46867.193548394891</v>
      </c>
      <c r="AL128" s="542">
        <f t="shared" si="65"/>
        <v>53928.190455108168</v>
      </c>
      <c r="AM128" s="542">
        <f t="shared" si="65"/>
        <v>61990.011546739901</v>
      </c>
      <c r="AN128" s="542">
        <f t="shared" si="65"/>
        <v>63806.784213457402</v>
      </c>
      <c r="AO128" s="542">
        <f t="shared" si="65"/>
        <v>74396.343815686181</v>
      </c>
      <c r="AP128" s="542">
        <f t="shared" si="65"/>
        <v>76794.519157968025</v>
      </c>
      <c r="AQ128" s="542">
        <f t="shared" si="65"/>
        <v>68961.177299900359</v>
      </c>
      <c r="AR128" s="542">
        <f t="shared" si="65"/>
        <v>72152.515652782953</v>
      </c>
      <c r="AS128" s="542">
        <f t="shared" si="65"/>
        <v>76066.912652702711</v>
      </c>
      <c r="AT128" s="542">
        <f t="shared" si="65"/>
        <v>84760.839745485777</v>
      </c>
      <c r="AU128" s="542">
        <f t="shared" si="65"/>
        <v>78631.587481725655</v>
      </c>
      <c r="AV128" s="542">
        <f t="shared" si="65"/>
        <v>80562.752502304851</v>
      </c>
      <c r="AW128" s="179">
        <f>AVERAGE(D128:AV128)</f>
        <v>67675.626074600979</v>
      </c>
      <c r="BD128" s="364" t="str">
        <f t="shared" si="54"/>
        <v>PP Cost of Production</v>
      </c>
      <c r="BE128" s="608">
        <f>SUM(BE129:BE134)</f>
        <v>73274.712219867753</v>
      </c>
      <c r="BG128" s="542">
        <f>SUM(BG129:BG134)</f>
        <v>72839.585321669525</v>
      </c>
    </row>
    <row r="129" spans="3:59" s="361" customFormat="1" hidden="1" x14ac:dyDescent="0.25">
      <c r="C129" s="6" t="s">
        <v>506</v>
      </c>
      <c r="D129" s="190">
        <f>1.049*D102</f>
        <v>58824.30441196527</v>
      </c>
      <c r="E129" s="190">
        <f t="shared" ref="E129:AV129" si="66">1.049*E102</f>
        <v>57662.724040426547</v>
      </c>
      <c r="F129" s="190">
        <f t="shared" si="66"/>
        <v>60113.372521435602</v>
      </c>
      <c r="G129" s="190">
        <f t="shared" si="66"/>
        <v>48153.901557546371</v>
      </c>
      <c r="H129" s="190">
        <f t="shared" si="66"/>
        <v>67847.849584814947</v>
      </c>
      <c r="I129" s="190">
        <f t="shared" si="66"/>
        <v>64781.200110356542</v>
      </c>
      <c r="J129" s="190">
        <f t="shared" si="66"/>
        <v>72148.879514869172</v>
      </c>
      <c r="K129" s="190">
        <f t="shared" si="66"/>
        <v>70663.124360610513</v>
      </c>
      <c r="L129" s="190">
        <f t="shared" si="66"/>
        <v>78786.326647358001</v>
      </c>
      <c r="M129" s="190">
        <f t="shared" si="66"/>
        <v>80414.090535876283</v>
      </c>
      <c r="N129" s="190">
        <f t="shared" si="66"/>
        <v>55419.209539906966</v>
      </c>
      <c r="O129" s="190">
        <f t="shared" si="66"/>
        <v>55873.976260177769</v>
      </c>
      <c r="P129" s="190">
        <f t="shared" si="66"/>
        <v>52603.091912000549</v>
      </c>
      <c r="Q129" s="190">
        <f t="shared" si="66"/>
        <v>56272.236752521443</v>
      </c>
      <c r="R129" s="190">
        <f t="shared" si="66"/>
        <v>61665.553311371637</v>
      </c>
      <c r="S129" s="190">
        <f t="shared" si="66"/>
        <v>67074.534367035172</v>
      </c>
      <c r="T129" s="190">
        <f t="shared" si="66"/>
        <v>67842.195555002821</v>
      </c>
      <c r="U129" s="190">
        <f t="shared" si="66"/>
        <v>53328.190580993789</v>
      </c>
      <c r="V129" s="190">
        <f t="shared" si="66"/>
        <v>53754.719043806632</v>
      </c>
      <c r="W129" s="190">
        <f t="shared" si="66"/>
        <v>56179.126269171313</v>
      </c>
      <c r="X129" s="190">
        <f t="shared" si="66"/>
        <v>46611.802378973698</v>
      </c>
      <c r="Y129" s="190">
        <f t="shared" si="66"/>
        <v>57229.703501065502</v>
      </c>
      <c r="Z129" s="190">
        <f t="shared" si="66"/>
        <v>58095.844650498802</v>
      </c>
      <c r="AA129" s="190">
        <f t="shared" si="66"/>
        <v>64123.694718291496</v>
      </c>
      <c r="AB129" s="190">
        <f t="shared" si="66"/>
        <v>62422.795548074995</v>
      </c>
      <c r="AC129" s="190">
        <f t="shared" si="66"/>
        <v>58157.005222886299</v>
      </c>
      <c r="AD129" s="190">
        <f t="shared" si="66"/>
        <v>39438.744153662032</v>
      </c>
      <c r="AE129" s="190">
        <f t="shared" si="66"/>
        <v>71871.130652800639</v>
      </c>
      <c r="AF129" s="190">
        <f t="shared" si="66"/>
        <v>62463.904585961143</v>
      </c>
      <c r="AG129" s="190">
        <f t="shared" si="66"/>
        <v>72157.548536437884</v>
      </c>
      <c r="AH129" s="190">
        <f t="shared" si="66"/>
        <v>52096.55357370439</v>
      </c>
      <c r="AI129" s="190">
        <f t="shared" si="66"/>
        <v>48829.948892365435</v>
      </c>
      <c r="AJ129" s="190">
        <f t="shared" si="66"/>
        <v>49177.061992818097</v>
      </c>
      <c r="AK129" s="190">
        <f t="shared" si="66"/>
        <v>40067.193548394891</v>
      </c>
      <c r="AL129" s="190">
        <f t="shared" si="66"/>
        <v>47128.190455108168</v>
      </c>
      <c r="AM129" s="190">
        <f t="shared" si="66"/>
        <v>55190.011546739901</v>
      </c>
      <c r="AN129" s="190">
        <f t="shared" si="66"/>
        <v>57006.784213457402</v>
      </c>
      <c r="AO129" s="190">
        <f t="shared" si="66"/>
        <v>67596.343815686181</v>
      </c>
      <c r="AP129" s="190">
        <f t="shared" si="66"/>
        <v>69994.519157968025</v>
      </c>
      <c r="AQ129" s="190">
        <f t="shared" si="66"/>
        <v>62161.177299900351</v>
      </c>
      <c r="AR129" s="190">
        <f t="shared" si="66"/>
        <v>65352.515652782953</v>
      </c>
      <c r="AS129" s="190">
        <f t="shared" si="66"/>
        <v>69266.912652702711</v>
      </c>
      <c r="AT129" s="190">
        <f t="shared" si="66"/>
        <v>77960.839745485777</v>
      </c>
      <c r="AU129" s="190">
        <f t="shared" si="66"/>
        <v>71831.587481725655</v>
      </c>
      <c r="AV129" s="190">
        <f t="shared" si="66"/>
        <v>73762.752502304851</v>
      </c>
      <c r="AW129" s="179">
        <f t="shared" ref="AW129:AW137" si="67">AVERAGE(D129:AV129)</f>
        <v>60875.626074600987</v>
      </c>
      <c r="BD129" s="364" t="str">
        <f t="shared" si="54"/>
        <v>Raw materials</v>
      </c>
      <c r="BE129" s="609">
        <f>1.049*BE66</f>
        <v>66474.712219867753</v>
      </c>
      <c r="BG129" s="190">
        <f>1.049*BG66</f>
        <v>66039.585321669525</v>
      </c>
    </row>
    <row r="130" spans="3:59" s="361" customFormat="1" hidden="1" x14ac:dyDescent="0.25">
      <c r="C130" s="6" t="s">
        <v>510</v>
      </c>
      <c r="D130" s="190">
        <v>2500</v>
      </c>
      <c r="E130" s="190">
        <v>2500</v>
      </c>
      <c r="F130" s="190">
        <v>2500</v>
      </c>
      <c r="G130" s="190">
        <v>2500</v>
      </c>
      <c r="H130" s="190">
        <v>2500</v>
      </c>
      <c r="I130" s="190">
        <v>2500</v>
      </c>
      <c r="J130" s="190">
        <v>2500</v>
      </c>
      <c r="K130" s="190">
        <v>2500</v>
      </c>
      <c r="L130" s="190">
        <v>2500</v>
      </c>
      <c r="M130" s="190">
        <v>2500</v>
      </c>
      <c r="N130" s="190">
        <v>2500</v>
      </c>
      <c r="O130" s="190">
        <v>2500</v>
      </c>
      <c r="P130" s="190">
        <v>2500</v>
      </c>
      <c r="Q130" s="190">
        <v>2500</v>
      </c>
      <c r="R130" s="190">
        <v>2500</v>
      </c>
      <c r="S130" s="190">
        <v>2500</v>
      </c>
      <c r="T130" s="190">
        <v>2500</v>
      </c>
      <c r="U130" s="190">
        <v>2500</v>
      </c>
      <c r="V130" s="190">
        <v>2500</v>
      </c>
      <c r="W130" s="190">
        <v>2500</v>
      </c>
      <c r="X130" s="190">
        <v>2500</v>
      </c>
      <c r="Y130" s="190">
        <v>2500</v>
      </c>
      <c r="Z130" s="190">
        <v>2500</v>
      </c>
      <c r="AA130" s="190">
        <v>2500</v>
      </c>
      <c r="AB130" s="190">
        <v>2500</v>
      </c>
      <c r="AC130" s="190">
        <v>2500</v>
      </c>
      <c r="AD130" s="190">
        <v>2500</v>
      </c>
      <c r="AE130" s="190">
        <v>2500</v>
      </c>
      <c r="AF130" s="190">
        <v>2500</v>
      </c>
      <c r="AG130" s="190">
        <v>2500</v>
      </c>
      <c r="AH130" s="190">
        <v>2500</v>
      </c>
      <c r="AI130" s="190">
        <v>2500</v>
      </c>
      <c r="AJ130" s="190">
        <v>2500</v>
      </c>
      <c r="AK130" s="190">
        <v>2500</v>
      </c>
      <c r="AL130" s="190">
        <v>2500</v>
      </c>
      <c r="AM130" s="190">
        <v>2500</v>
      </c>
      <c r="AN130" s="190">
        <v>2500</v>
      </c>
      <c r="AO130" s="190">
        <v>2500</v>
      </c>
      <c r="AP130" s="190">
        <v>2500</v>
      </c>
      <c r="AQ130" s="190">
        <v>2500</v>
      </c>
      <c r="AR130" s="190">
        <v>2500</v>
      </c>
      <c r="AS130" s="190">
        <v>2500</v>
      </c>
      <c r="AT130" s="190">
        <v>2500</v>
      </c>
      <c r="AU130" s="190">
        <v>2500</v>
      </c>
      <c r="AV130" s="190">
        <v>2500</v>
      </c>
      <c r="AW130" s="179">
        <f t="shared" si="67"/>
        <v>2500</v>
      </c>
      <c r="BD130" s="364" t="str">
        <f t="shared" si="54"/>
        <v>Cat-Chem+ additive</v>
      </c>
      <c r="BE130" s="609">
        <v>2500</v>
      </c>
      <c r="BG130" s="190">
        <v>2500</v>
      </c>
    </row>
    <row r="131" spans="3:59" s="361" customFormat="1" hidden="1" x14ac:dyDescent="0.25">
      <c r="C131" s="6" t="s">
        <v>511</v>
      </c>
      <c r="D131" s="190">
        <v>2500</v>
      </c>
      <c r="E131" s="190">
        <v>2500</v>
      </c>
      <c r="F131" s="190">
        <v>2500</v>
      </c>
      <c r="G131" s="190">
        <v>2500</v>
      </c>
      <c r="H131" s="190">
        <v>2500</v>
      </c>
      <c r="I131" s="190">
        <v>2500</v>
      </c>
      <c r="J131" s="190">
        <v>2500</v>
      </c>
      <c r="K131" s="190">
        <v>2500</v>
      </c>
      <c r="L131" s="190">
        <v>2500</v>
      </c>
      <c r="M131" s="190">
        <v>2500</v>
      </c>
      <c r="N131" s="190">
        <v>2500</v>
      </c>
      <c r="O131" s="190">
        <v>2500</v>
      </c>
      <c r="P131" s="190">
        <v>2500</v>
      </c>
      <c r="Q131" s="190">
        <v>2500</v>
      </c>
      <c r="R131" s="190">
        <v>2500</v>
      </c>
      <c r="S131" s="190">
        <v>2500</v>
      </c>
      <c r="T131" s="190">
        <v>2500</v>
      </c>
      <c r="U131" s="190">
        <v>2500</v>
      </c>
      <c r="V131" s="190">
        <v>2500</v>
      </c>
      <c r="W131" s="190">
        <v>2500</v>
      </c>
      <c r="X131" s="190">
        <v>2500</v>
      </c>
      <c r="Y131" s="190">
        <v>2500</v>
      </c>
      <c r="Z131" s="190">
        <v>2500</v>
      </c>
      <c r="AA131" s="190">
        <v>2500</v>
      </c>
      <c r="AB131" s="190">
        <v>2500</v>
      </c>
      <c r="AC131" s="190">
        <v>2500</v>
      </c>
      <c r="AD131" s="190">
        <v>2500</v>
      </c>
      <c r="AE131" s="190">
        <v>2500</v>
      </c>
      <c r="AF131" s="190">
        <v>2500</v>
      </c>
      <c r="AG131" s="190">
        <v>2500</v>
      </c>
      <c r="AH131" s="190">
        <v>2500</v>
      </c>
      <c r="AI131" s="190">
        <v>2500</v>
      </c>
      <c r="AJ131" s="190">
        <v>2500</v>
      </c>
      <c r="AK131" s="190">
        <v>2500</v>
      </c>
      <c r="AL131" s="190">
        <v>2500</v>
      </c>
      <c r="AM131" s="190">
        <v>2500</v>
      </c>
      <c r="AN131" s="190">
        <v>2500</v>
      </c>
      <c r="AO131" s="190">
        <v>2500</v>
      </c>
      <c r="AP131" s="190">
        <v>2500</v>
      </c>
      <c r="AQ131" s="190">
        <v>2500</v>
      </c>
      <c r="AR131" s="190">
        <v>2500</v>
      </c>
      <c r="AS131" s="190">
        <v>2500</v>
      </c>
      <c r="AT131" s="190">
        <v>2500</v>
      </c>
      <c r="AU131" s="190">
        <v>2500</v>
      </c>
      <c r="AV131" s="190">
        <v>2500</v>
      </c>
      <c r="AW131" s="179">
        <f t="shared" si="67"/>
        <v>2500</v>
      </c>
      <c r="BD131" s="364" t="str">
        <f t="shared" si="54"/>
        <v>Utilities</v>
      </c>
      <c r="BE131" s="609">
        <v>2500</v>
      </c>
      <c r="BG131" s="190">
        <v>2500</v>
      </c>
    </row>
    <row r="132" spans="3:59" s="361" customFormat="1" hidden="1" x14ac:dyDescent="0.25">
      <c r="C132" s="6" t="s">
        <v>512</v>
      </c>
      <c r="D132" s="190">
        <v>1600</v>
      </c>
      <c r="E132" s="190">
        <v>1600</v>
      </c>
      <c r="F132" s="190">
        <v>1600</v>
      </c>
      <c r="G132" s="190">
        <v>1600</v>
      </c>
      <c r="H132" s="190">
        <v>1600</v>
      </c>
      <c r="I132" s="190">
        <v>1600</v>
      </c>
      <c r="J132" s="190">
        <v>1600</v>
      </c>
      <c r="K132" s="190">
        <v>1600</v>
      </c>
      <c r="L132" s="190">
        <v>1600</v>
      </c>
      <c r="M132" s="190">
        <v>1600</v>
      </c>
      <c r="N132" s="190">
        <v>1600</v>
      </c>
      <c r="O132" s="190">
        <v>1600</v>
      </c>
      <c r="P132" s="190">
        <v>1600</v>
      </c>
      <c r="Q132" s="190">
        <v>1600</v>
      </c>
      <c r="R132" s="190">
        <v>1600</v>
      </c>
      <c r="S132" s="190">
        <v>1600</v>
      </c>
      <c r="T132" s="190">
        <v>1600</v>
      </c>
      <c r="U132" s="190">
        <v>1600</v>
      </c>
      <c r="V132" s="190">
        <v>1600</v>
      </c>
      <c r="W132" s="190">
        <v>1600</v>
      </c>
      <c r="X132" s="190">
        <v>1600</v>
      </c>
      <c r="Y132" s="190">
        <v>1600</v>
      </c>
      <c r="Z132" s="190">
        <v>1600</v>
      </c>
      <c r="AA132" s="190">
        <v>1600</v>
      </c>
      <c r="AB132" s="190">
        <v>1600</v>
      </c>
      <c r="AC132" s="190">
        <v>1600</v>
      </c>
      <c r="AD132" s="190">
        <v>1600</v>
      </c>
      <c r="AE132" s="190">
        <v>1600</v>
      </c>
      <c r="AF132" s="190">
        <v>1600</v>
      </c>
      <c r="AG132" s="190">
        <v>1600</v>
      </c>
      <c r="AH132" s="190">
        <v>1600</v>
      </c>
      <c r="AI132" s="190">
        <v>1600</v>
      </c>
      <c r="AJ132" s="190">
        <v>1600</v>
      </c>
      <c r="AK132" s="190">
        <v>1600</v>
      </c>
      <c r="AL132" s="190">
        <v>1600</v>
      </c>
      <c r="AM132" s="190">
        <v>1600</v>
      </c>
      <c r="AN132" s="190">
        <v>1600</v>
      </c>
      <c r="AO132" s="190">
        <v>1600</v>
      </c>
      <c r="AP132" s="190">
        <v>1600</v>
      </c>
      <c r="AQ132" s="190">
        <v>1600</v>
      </c>
      <c r="AR132" s="190">
        <v>1600</v>
      </c>
      <c r="AS132" s="190">
        <v>1600</v>
      </c>
      <c r="AT132" s="190">
        <v>1600</v>
      </c>
      <c r="AU132" s="190">
        <v>1600</v>
      </c>
      <c r="AV132" s="190">
        <v>1600</v>
      </c>
      <c r="AW132" s="179">
        <f t="shared" si="67"/>
        <v>1600</v>
      </c>
      <c r="BD132" s="364" t="str">
        <f t="shared" si="54"/>
        <v>Overheads</v>
      </c>
      <c r="BE132" s="609">
        <v>1600</v>
      </c>
      <c r="BG132" s="190">
        <v>1600</v>
      </c>
    </row>
    <row r="133" spans="3:59" s="361" customFormat="1" hidden="1" x14ac:dyDescent="0.25">
      <c r="C133" s="541" t="s">
        <v>513</v>
      </c>
      <c r="D133" s="190">
        <v>1900</v>
      </c>
      <c r="E133" s="190">
        <v>1900</v>
      </c>
      <c r="F133" s="190">
        <v>1900</v>
      </c>
      <c r="G133" s="190">
        <v>1900</v>
      </c>
      <c r="H133" s="190">
        <v>1900</v>
      </c>
      <c r="I133" s="190">
        <v>1900</v>
      </c>
      <c r="J133" s="190">
        <v>1900</v>
      </c>
      <c r="K133" s="190">
        <v>1900</v>
      </c>
      <c r="L133" s="190">
        <v>1900</v>
      </c>
      <c r="M133" s="190">
        <v>1900</v>
      </c>
      <c r="N133" s="190">
        <v>1900</v>
      </c>
      <c r="O133" s="190">
        <v>1900</v>
      </c>
      <c r="P133" s="190">
        <v>1900</v>
      </c>
      <c r="Q133" s="190">
        <v>1900</v>
      </c>
      <c r="R133" s="190">
        <v>1900</v>
      </c>
      <c r="S133" s="190">
        <v>1900</v>
      </c>
      <c r="T133" s="190">
        <v>1900</v>
      </c>
      <c r="U133" s="190">
        <v>1900</v>
      </c>
      <c r="V133" s="190">
        <v>1900</v>
      </c>
      <c r="W133" s="190">
        <v>1900</v>
      </c>
      <c r="X133" s="190">
        <v>1900</v>
      </c>
      <c r="Y133" s="190">
        <v>1900</v>
      </c>
      <c r="Z133" s="190">
        <v>1900</v>
      </c>
      <c r="AA133" s="190">
        <v>1900</v>
      </c>
      <c r="AB133" s="190">
        <v>1900</v>
      </c>
      <c r="AC133" s="190">
        <v>1900</v>
      </c>
      <c r="AD133" s="190">
        <v>1900</v>
      </c>
      <c r="AE133" s="190">
        <v>1900</v>
      </c>
      <c r="AF133" s="190">
        <v>1900</v>
      </c>
      <c r="AG133" s="190">
        <v>1900</v>
      </c>
      <c r="AH133" s="190">
        <v>1900</v>
      </c>
      <c r="AI133" s="190">
        <v>1900</v>
      </c>
      <c r="AJ133" s="190">
        <v>1900</v>
      </c>
      <c r="AK133" s="190">
        <v>1900</v>
      </c>
      <c r="AL133" s="190">
        <v>1900</v>
      </c>
      <c r="AM133" s="190">
        <v>1900</v>
      </c>
      <c r="AN133" s="190">
        <v>1900</v>
      </c>
      <c r="AO133" s="190">
        <v>1900</v>
      </c>
      <c r="AP133" s="190">
        <v>1900</v>
      </c>
      <c r="AQ133" s="190">
        <v>1900</v>
      </c>
      <c r="AR133" s="190">
        <v>1900</v>
      </c>
      <c r="AS133" s="190">
        <v>1900</v>
      </c>
      <c r="AT133" s="190">
        <v>1900</v>
      </c>
      <c r="AU133" s="190">
        <v>1900</v>
      </c>
      <c r="AV133" s="190">
        <v>1900</v>
      </c>
      <c r="AW133" s="179">
        <f t="shared" si="67"/>
        <v>1900</v>
      </c>
      <c r="BD133" s="364" t="str">
        <f t="shared" si="54"/>
        <v>Depreciation</v>
      </c>
      <c r="BE133" s="609">
        <v>1900</v>
      </c>
      <c r="BG133" s="190">
        <v>1900</v>
      </c>
    </row>
    <row r="134" spans="3:59" hidden="1" x14ac:dyDescent="0.25">
      <c r="C134" s="541" t="s">
        <v>514</v>
      </c>
      <c r="D134" s="543">
        <v>-1700</v>
      </c>
      <c r="E134" s="543">
        <v>-1700</v>
      </c>
      <c r="F134" s="543">
        <v>-1700</v>
      </c>
      <c r="G134" s="543">
        <v>-1700</v>
      </c>
      <c r="H134" s="543">
        <v>-1700</v>
      </c>
      <c r="I134" s="543">
        <v>-1700</v>
      </c>
      <c r="J134" s="543">
        <v>-1700</v>
      </c>
      <c r="K134" s="543">
        <v>-1700</v>
      </c>
      <c r="L134" s="543">
        <v>-1700</v>
      </c>
      <c r="M134" s="543">
        <v>-1700</v>
      </c>
      <c r="N134" s="543">
        <v>-1700</v>
      </c>
      <c r="O134" s="543">
        <v>-1700</v>
      </c>
      <c r="P134" s="543">
        <v>-1700</v>
      </c>
      <c r="Q134" s="543">
        <v>-1700</v>
      </c>
      <c r="R134" s="543">
        <v>-1700</v>
      </c>
      <c r="S134" s="543">
        <v>-1700</v>
      </c>
      <c r="T134" s="543">
        <v>-1700</v>
      </c>
      <c r="U134" s="543">
        <v>-1700</v>
      </c>
      <c r="V134" s="543">
        <v>-1700</v>
      </c>
      <c r="W134" s="543">
        <v>-1700</v>
      </c>
      <c r="X134" s="543">
        <v>-1700</v>
      </c>
      <c r="Y134" s="543">
        <v>-1700</v>
      </c>
      <c r="Z134" s="543">
        <v>-1700</v>
      </c>
      <c r="AA134" s="543">
        <v>-1700</v>
      </c>
      <c r="AB134" s="543">
        <v>-1700</v>
      </c>
      <c r="AC134" s="543">
        <v>-1700</v>
      </c>
      <c r="AD134" s="543">
        <v>-1700</v>
      </c>
      <c r="AE134" s="543">
        <v>-1700</v>
      </c>
      <c r="AF134" s="543">
        <v>-1700</v>
      </c>
      <c r="AG134" s="543">
        <v>-1700</v>
      </c>
      <c r="AH134" s="543">
        <v>-1700</v>
      </c>
      <c r="AI134" s="543">
        <v>-1700</v>
      </c>
      <c r="AJ134" s="543">
        <v>-1700</v>
      </c>
      <c r="AK134" s="543">
        <v>-1700</v>
      </c>
      <c r="AL134" s="543">
        <v>-1700</v>
      </c>
      <c r="AM134" s="543">
        <v>-1700</v>
      </c>
      <c r="AN134" s="543">
        <v>-1700</v>
      </c>
      <c r="AO134" s="543">
        <v>-1700</v>
      </c>
      <c r="AP134" s="543">
        <v>-1700</v>
      </c>
      <c r="AQ134" s="543">
        <v>-1700</v>
      </c>
      <c r="AR134" s="543">
        <v>-1700</v>
      </c>
      <c r="AS134" s="543">
        <v>-1700</v>
      </c>
      <c r="AT134" s="543">
        <v>-1700</v>
      </c>
      <c r="AU134" s="543">
        <v>-1700</v>
      </c>
      <c r="AV134" s="543">
        <v>-1700</v>
      </c>
      <c r="AW134" s="179">
        <f t="shared" si="67"/>
        <v>-1700</v>
      </c>
      <c r="BD134" s="364" t="str">
        <f t="shared" si="54"/>
        <v>Co-product/Byprodcut Credit</v>
      </c>
      <c r="BE134" s="610">
        <v>-1700</v>
      </c>
      <c r="BG134" s="543">
        <v>-1700</v>
      </c>
    </row>
    <row r="135" spans="3:59" x14ac:dyDescent="0.25">
      <c r="C135" s="541" t="s">
        <v>573</v>
      </c>
      <c r="D135" s="190">
        <f>'Polymer Prices'!E42</f>
        <v>82316.144548146898</v>
      </c>
      <c r="E135" s="190">
        <f>'Polymer Prices'!F42</f>
        <v>87120.247838398529</v>
      </c>
      <c r="F135" s="190">
        <f>'Polymer Prices'!G42</f>
        <v>88230.55929702321</v>
      </c>
      <c r="G135" s="190">
        <f>'Polymer Prices'!H42</f>
        <v>88137.702676638582</v>
      </c>
      <c r="H135" s="190">
        <f>'Polymer Prices'!I42</f>
        <v>90726.081075997456</v>
      </c>
      <c r="I135" s="190">
        <f>'Polymer Prices'!J42</f>
        <v>93640.936364928682</v>
      </c>
      <c r="J135" s="190">
        <f>'Polymer Prices'!K42</f>
        <v>92952.565226764884</v>
      </c>
      <c r="K135" s="190">
        <f>'Polymer Prices'!L42</f>
        <v>90410.936364928682</v>
      </c>
      <c r="L135" s="190">
        <f>'Polymer Prices'!M42</f>
        <v>92250.936364928682</v>
      </c>
      <c r="M135" s="190">
        <f>'Polymer Prices'!N42</f>
        <v>94825.936364928682</v>
      </c>
      <c r="N135" s="190">
        <f>'Polymer Prices'!O42</f>
        <v>91827.603031595354</v>
      </c>
      <c r="O135" s="190">
        <f>'Polymer Prices'!P42</f>
        <v>79800.936364928682</v>
      </c>
      <c r="P135" s="190">
        <f>'Polymer Prices'!Q42</f>
        <v>79925.936364928668</v>
      </c>
      <c r="Q135" s="190">
        <f>'Polymer Prices'!R42</f>
        <v>82092.565226764898</v>
      </c>
      <c r="R135" s="190">
        <f>'Polymer Prices'!S42</f>
        <v>83705.936364928682</v>
      </c>
      <c r="S135" s="190">
        <f>'Polymer Prices'!T42</f>
        <v>86337.244991853178</v>
      </c>
      <c r="T135" s="190">
        <f>'Polymer Prices'!U42</f>
        <v>88343.09322299331</v>
      </c>
      <c r="U135" s="190">
        <f>'Polymer Prices'!V42</f>
        <v>84371.0867978694</v>
      </c>
      <c r="V135" s="190">
        <f>'Polymer Prices'!W42</f>
        <v>82533.667556645247</v>
      </c>
      <c r="W135" s="190">
        <f>'Polymer Prices'!X42</f>
        <v>83915.296418481477</v>
      </c>
      <c r="X135" s="190">
        <f>'Polymer Prices'!Y42</f>
        <v>85998.353851846667</v>
      </c>
      <c r="Y135" s="190">
        <f>'Polymer Prices'!Z42</f>
        <v>83680.839372426868</v>
      </c>
      <c r="Z135" s="190">
        <f>'Polymer Prices'!AA42</f>
        <v>78296.420131202744</v>
      </c>
      <c r="AA135" s="190">
        <f>'Polymer Prices'!AB42</f>
        <v>74908.667556645261</v>
      </c>
      <c r="AB135" s="190">
        <f>'Polymer Prices'!AC42</f>
        <v>75368.667556645261</v>
      </c>
      <c r="AC135" s="190">
        <f>'Polymer Prices'!AD42</f>
        <v>74755.334223311933</v>
      </c>
      <c r="AD135" s="190">
        <f>'Polymer Prices'!AE42</f>
        <v>71698.667556645261</v>
      </c>
      <c r="AE135" s="190">
        <f>'Polymer Prices'!AF42</f>
        <v>67093.667556645261</v>
      </c>
      <c r="AF135" s="190">
        <f>'Polymer Prices'!AG42</f>
        <v>66173.667556645261</v>
      </c>
      <c r="AG135" s="190">
        <f>'Polymer Prices'!AH42</f>
        <v>70296.297866503111</v>
      </c>
      <c r="AH135" s="190">
        <f>'Polymer Prices'!AI42</f>
        <v>73811.225510968739</v>
      </c>
      <c r="AI135" s="190">
        <f>'Polymer Prices'!AJ42</f>
        <v>73104.932138219243</v>
      </c>
      <c r="AJ135" s="190">
        <f>'Polymer Prices'!AK42</f>
        <v>73109.932138219243</v>
      </c>
      <c r="AK135" s="190">
        <f>'Polymer Prices'!AL42</f>
        <v>76518.265471552571</v>
      </c>
      <c r="AL135" s="190">
        <f>'Polymer Prices'!AM42</f>
        <v>82074.932138219243</v>
      </c>
      <c r="AM135" s="190">
        <f>'Polymer Prices'!AN42</f>
        <v>90244.932138219243</v>
      </c>
      <c r="AN135" s="190">
        <f>'Polymer Prices'!AO42</f>
        <v>93047.449038505991</v>
      </c>
      <c r="AO135" s="190">
        <f>'Polymer Prices'!AP42</f>
        <v>98603.920574120828</v>
      </c>
      <c r="AP135" s="190">
        <f>'Polymer Prices'!AQ42</f>
        <v>112597.05572119531</v>
      </c>
      <c r="AQ135" s="190">
        <f>'Polymer Prices'!AR42</f>
        <v>112518.32981716725</v>
      </c>
      <c r="AR135" s="190">
        <f>'Polymer Prices'!AS42</f>
        <v>106216.66315050058</v>
      </c>
      <c r="AS135" s="190">
        <f>'Polymer Prices'!AT42</f>
        <v>98978.114255042339</v>
      </c>
      <c r="AT135" s="190">
        <f>'Polymer Prices'!AU42</f>
        <v>99434.349797459188</v>
      </c>
      <c r="AU135" s="190">
        <f>'Polymer Prices'!AV42</f>
        <v>103781.54397226339</v>
      </c>
      <c r="AV135" s="190">
        <f>'Polymer Prices'!AW42</f>
        <v>105181.5439722634</v>
      </c>
      <c r="AW135" s="179">
        <f t="shared" si="67"/>
        <v>86465.759678357994</v>
      </c>
      <c r="BD135" s="364" t="str">
        <f t="shared" si="54"/>
        <v>HDPE OPaL Price</v>
      </c>
      <c r="BE135" s="609">
        <f>'Polymer Prices'!BB42</f>
        <v>0</v>
      </c>
      <c r="BG135" s="190">
        <f>'Polymer Prices'!BD42</f>
        <v>0</v>
      </c>
    </row>
    <row r="136" spans="3:59" x14ac:dyDescent="0.25">
      <c r="C136" s="541" t="s">
        <v>571</v>
      </c>
      <c r="D136" s="190">
        <f>D135-D128</f>
        <v>16691.840136181621</v>
      </c>
      <c r="E136" s="190">
        <f t="shared" ref="E136:AV136" si="68">E135-E128</f>
        <v>22657.523797971982</v>
      </c>
      <c r="F136" s="190">
        <f t="shared" si="68"/>
        <v>21317.186775587601</v>
      </c>
      <c r="G136" s="190">
        <f t="shared" si="68"/>
        <v>33183.801119092212</v>
      </c>
      <c r="H136" s="190">
        <f t="shared" si="68"/>
        <v>16078.231491182509</v>
      </c>
      <c r="I136" s="190">
        <f t="shared" si="68"/>
        <v>22059.736254572141</v>
      </c>
      <c r="J136" s="190">
        <f t="shared" si="68"/>
        <v>14003.685711895712</v>
      </c>
      <c r="K136" s="190">
        <f t="shared" si="68"/>
        <v>12947.81200431817</v>
      </c>
      <c r="L136" s="190">
        <f t="shared" si="68"/>
        <v>6664.6097175706818</v>
      </c>
      <c r="M136" s="190">
        <f t="shared" si="68"/>
        <v>7611.8458290523995</v>
      </c>
      <c r="N136" s="190">
        <f t="shared" si="68"/>
        <v>29608.393491688388</v>
      </c>
      <c r="O136" s="190">
        <f t="shared" si="68"/>
        <v>17126.960104750913</v>
      </c>
      <c r="P136" s="190">
        <f t="shared" si="68"/>
        <v>20522.844452928119</v>
      </c>
      <c r="Q136" s="190">
        <f t="shared" si="68"/>
        <v>19020.328474243455</v>
      </c>
      <c r="R136" s="190">
        <f t="shared" si="68"/>
        <v>15240.383053557045</v>
      </c>
      <c r="S136" s="190">
        <f t="shared" si="68"/>
        <v>12462.710624818006</v>
      </c>
      <c r="T136" s="190">
        <f t="shared" si="68"/>
        <v>13700.897667990488</v>
      </c>
      <c r="U136" s="190">
        <f t="shared" si="68"/>
        <v>24242.896216875612</v>
      </c>
      <c r="V136" s="190">
        <f t="shared" si="68"/>
        <v>21978.948512838615</v>
      </c>
      <c r="W136" s="190">
        <f t="shared" si="68"/>
        <v>20936.170149310165</v>
      </c>
      <c r="X136" s="190">
        <f t="shared" si="68"/>
        <v>32586.551472872969</v>
      </c>
      <c r="Y136" s="190">
        <f t="shared" si="68"/>
        <v>19651.135871361374</v>
      </c>
      <c r="Z136" s="190">
        <f t="shared" si="68"/>
        <v>13400.575480703948</v>
      </c>
      <c r="AA136" s="190">
        <f t="shared" si="68"/>
        <v>3984.9728383537731</v>
      </c>
      <c r="AB136" s="190">
        <f t="shared" si="68"/>
        <v>6145.8720085702662</v>
      </c>
      <c r="AC136" s="190">
        <f t="shared" si="68"/>
        <v>9798.3290004256269</v>
      </c>
      <c r="AD136" s="190">
        <f t="shared" si="68"/>
        <v>25459.92340298323</v>
      </c>
      <c r="AE136" s="190">
        <f t="shared" si="68"/>
        <v>-11577.463096155378</v>
      </c>
      <c r="AF136" s="190">
        <f t="shared" si="68"/>
        <v>-3090.2370293158747</v>
      </c>
      <c r="AG136" s="190">
        <f t="shared" si="68"/>
        <v>-8661.2506699347723</v>
      </c>
      <c r="AH136" s="190">
        <f t="shared" si="68"/>
        <v>14914.671937264349</v>
      </c>
      <c r="AI136" s="190">
        <f t="shared" si="68"/>
        <v>17474.983245853808</v>
      </c>
      <c r="AJ136" s="190">
        <f t="shared" si="68"/>
        <v>17132.870145401146</v>
      </c>
      <c r="AK136" s="190">
        <f t="shared" si="68"/>
        <v>29651.07192315768</v>
      </c>
      <c r="AL136" s="190">
        <f t="shared" si="68"/>
        <v>28146.741683111075</v>
      </c>
      <c r="AM136" s="190">
        <f t="shared" si="68"/>
        <v>28254.920591479342</v>
      </c>
      <c r="AN136" s="190">
        <f t="shared" si="68"/>
        <v>29240.664825048589</v>
      </c>
      <c r="AO136" s="190">
        <f t="shared" si="68"/>
        <v>24207.576758434647</v>
      </c>
      <c r="AP136" s="190">
        <f t="shared" si="68"/>
        <v>35802.536563227288</v>
      </c>
      <c r="AQ136" s="190">
        <f t="shared" si="68"/>
        <v>43557.152517266892</v>
      </c>
      <c r="AR136" s="190">
        <f t="shared" si="68"/>
        <v>34064.147497717626</v>
      </c>
      <c r="AS136" s="190">
        <f t="shared" si="68"/>
        <v>22911.201602339628</v>
      </c>
      <c r="AT136" s="190">
        <f t="shared" si="68"/>
        <v>14673.510051973411</v>
      </c>
      <c r="AU136" s="190">
        <f t="shared" si="68"/>
        <v>25149.956490537734</v>
      </c>
      <c r="AV136" s="190">
        <f t="shared" si="68"/>
        <v>24618.791469958553</v>
      </c>
      <c r="AW136" s="179">
        <f t="shared" si="67"/>
        <v>18790.133603756949</v>
      </c>
      <c r="BD136" s="364" t="str">
        <f t="shared" si="54"/>
        <v>Contribution Per MT INR</v>
      </c>
      <c r="BE136" s="609">
        <f>BE135-BE128</f>
        <v>-73274.712219867753</v>
      </c>
      <c r="BG136" s="190">
        <f>BG135-BG128</f>
        <v>-72839.585321669525</v>
      </c>
    </row>
    <row r="137" spans="3:59" x14ac:dyDescent="0.25">
      <c r="C137" s="541" t="s">
        <v>572</v>
      </c>
      <c r="D137" s="190">
        <f>D136/D105</f>
        <v>263.52763082067605</v>
      </c>
      <c r="E137" s="190">
        <f t="shared" ref="E137:AV137" si="69">E136/E105</f>
        <v>353.30615621350358</v>
      </c>
      <c r="F137" s="190">
        <f t="shared" si="69"/>
        <v>326.85045654074827</v>
      </c>
      <c r="G137" s="190">
        <f t="shared" si="69"/>
        <v>511.07040072527656</v>
      </c>
      <c r="H137" s="190">
        <f t="shared" si="69"/>
        <v>240.62004626133657</v>
      </c>
      <c r="I137" s="190">
        <f t="shared" si="69"/>
        <v>329.2743675583572</v>
      </c>
      <c r="J137" s="190">
        <f t="shared" si="69"/>
        <v>203.52715226939483</v>
      </c>
      <c r="K137" s="190">
        <f t="shared" si="69"/>
        <v>188.89506170133737</v>
      </c>
      <c r="L137" s="190">
        <f t="shared" si="69"/>
        <v>93.861132562082702</v>
      </c>
      <c r="M137" s="190">
        <f t="shared" si="69"/>
        <v>103.18348690595634</v>
      </c>
      <c r="N137" s="190">
        <f t="shared" si="69"/>
        <v>408.72989359039741</v>
      </c>
      <c r="O137" s="190">
        <f t="shared" si="69"/>
        <v>245.90036044150628</v>
      </c>
      <c r="P137" s="190">
        <f t="shared" si="69"/>
        <v>295.08043785662284</v>
      </c>
      <c r="Q137" s="190">
        <f t="shared" si="69"/>
        <v>266.26063518224197</v>
      </c>
      <c r="R137" s="190">
        <f t="shared" si="69"/>
        <v>214.65328244446542</v>
      </c>
      <c r="S137" s="190">
        <f t="shared" si="69"/>
        <v>180.17508493303464</v>
      </c>
      <c r="T137" s="190">
        <f t="shared" si="69"/>
        <v>198.29072534901931</v>
      </c>
      <c r="U137" s="190">
        <f t="shared" si="69"/>
        <v>348.41759437878142</v>
      </c>
      <c r="V137" s="190">
        <f t="shared" si="69"/>
        <v>321.09493809844577</v>
      </c>
      <c r="W137" s="190">
        <f t="shared" si="69"/>
        <v>300.37546842625773</v>
      </c>
      <c r="X137" s="190">
        <f t="shared" si="69"/>
        <v>454.83357488831001</v>
      </c>
      <c r="Y137" s="190">
        <f t="shared" si="69"/>
        <v>277.46044294191842</v>
      </c>
      <c r="Z137" s="190">
        <f t="shared" si="69"/>
        <v>189.38065970469117</v>
      </c>
      <c r="AA137" s="190">
        <f t="shared" si="69"/>
        <v>55.903551174245933</v>
      </c>
      <c r="AB137" s="190">
        <f t="shared" si="69"/>
        <v>85.632882939532763</v>
      </c>
      <c r="AC137" s="190">
        <f t="shared" si="69"/>
        <v>136.93423241458495</v>
      </c>
      <c r="AD137" s="190">
        <f t="shared" si="69"/>
        <v>344.03442250396233</v>
      </c>
      <c r="AE137" s="190">
        <f t="shared" si="69"/>
        <v>-151.85350528134964</v>
      </c>
      <c r="AF137" s="190">
        <f t="shared" si="69"/>
        <v>-40.795746865514722</v>
      </c>
      <c r="AG137" s="190">
        <f t="shared" si="69"/>
        <v>-114.62745725165129</v>
      </c>
      <c r="AH137" s="190">
        <f t="shared" si="69"/>
        <v>199.83214450485491</v>
      </c>
      <c r="AI137" s="190">
        <f t="shared" si="69"/>
        <v>233.26102896382361</v>
      </c>
      <c r="AJ137" s="190">
        <f t="shared" si="69"/>
        <v>233.7713728581526</v>
      </c>
      <c r="AK137" s="190">
        <f t="shared" si="69"/>
        <v>404.57186414459926</v>
      </c>
      <c r="AL137" s="190">
        <f t="shared" si="69"/>
        <v>380.49506155015376</v>
      </c>
      <c r="AM137" s="190">
        <f t="shared" si="69"/>
        <v>383.08120709192809</v>
      </c>
      <c r="AN137" s="190">
        <f t="shared" si="69"/>
        <v>399.89968305591611</v>
      </c>
      <c r="AO137" s="190">
        <f t="shared" si="69"/>
        <v>332.4759889909991</v>
      </c>
      <c r="AP137" s="190">
        <f t="shared" si="69"/>
        <v>489.23936271149609</v>
      </c>
      <c r="AQ137" s="190">
        <f t="shared" si="69"/>
        <v>593.6643385207426</v>
      </c>
      <c r="AR137" s="190">
        <f t="shared" si="69"/>
        <v>460.01549625547102</v>
      </c>
      <c r="AS137" s="190">
        <f t="shared" si="69"/>
        <v>314.45514139911648</v>
      </c>
      <c r="AT137" s="190">
        <f t="shared" si="69"/>
        <v>196.92814649953579</v>
      </c>
      <c r="AU137" s="190">
        <f t="shared" si="69"/>
        <v>338.7655777281484</v>
      </c>
      <c r="AV137" s="190">
        <f t="shared" si="69"/>
        <v>337.32689526127746</v>
      </c>
      <c r="AW137" s="581">
        <f t="shared" si="67"/>
        <v>265.06179286587525</v>
      </c>
      <c r="BD137" s="364" t="str">
        <f t="shared" si="54"/>
        <v>Contribution Per MT USD</v>
      </c>
      <c r="BE137" s="609">
        <f>BE136/BE105</f>
        <v>-1004.0107453874621</v>
      </c>
      <c r="BG137" s="190">
        <f>BG136/BG105</f>
        <v>-998.04863283644636</v>
      </c>
    </row>
  </sheetData>
  <mergeCells count="5">
    <mergeCell ref="C79:AW79"/>
    <mergeCell ref="BD39:BG39"/>
    <mergeCell ref="C39:AE39"/>
    <mergeCell ref="C72:AW72"/>
    <mergeCell ref="C77:AW7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3:EA14"/>
  <sheetViews>
    <sheetView workbookViewId="0">
      <selection activeCell="A3" sqref="A3"/>
    </sheetView>
  </sheetViews>
  <sheetFormatPr defaultRowHeight="15" x14ac:dyDescent="0.25"/>
  <cols>
    <col min="1" max="1" width="18.5703125" customWidth="1"/>
    <col min="2" max="2" width="16.28515625" bestFit="1" customWidth="1"/>
    <col min="3" max="130" width="10.42578125" bestFit="1" customWidth="1"/>
    <col min="131" max="131" width="11.28515625" bestFit="1" customWidth="1"/>
  </cols>
  <sheetData>
    <row r="3" spans="1:131" x14ac:dyDescent="0.25">
      <c r="A3" s="564" t="s">
        <v>563</v>
      </c>
      <c r="B3" s="564" t="s">
        <v>562</v>
      </c>
    </row>
    <row r="4" spans="1:131" x14ac:dyDescent="0.25">
      <c r="A4" s="564" t="s">
        <v>560</v>
      </c>
      <c r="B4" s="544">
        <v>43110</v>
      </c>
      <c r="C4" s="544">
        <v>43117</v>
      </c>
      <c r="D4" s="544">
        <v>43124</v>
      </c>
      <c r="E4" s="544">
        <v>43131</v>
      </c>
      <c r="F4" s="544">
        <v>43145</v>
      </c>
      <c r="G4" s="544">
        <v>43159</v>
      </c>
      <c r="H4" s="544">
        <v>43180</v>
      </c>
      <c r="I4" s="544">
        <v>43190</v>
      </c>
      <c r="J4" s="544">
        <v>43208</v>
      </c>
      <c r="K4" s="544">
        <v>43220</v>
      </c>
      <c r="L4" s="544">
        <v>43236</v>
      </c>
      <c r="M4" s="544">
        <v>43251</v>
      </c>
      <c r="N4" s="544">
        <v>43281</v>
      </c>
      <c r="O4" s="544">
        <v>43292</v>
      </c>
      <c r="P4" s="544">
        <v>43312</v>
      </c>
      <c r="Q4" s="544">
        <v>43328</v>
      </c>
      <c r="R4" s="544">
        <v>43343</v>
      </c>
      <c r="S4" s="544">
        <v>43373</v>
      </c>
      <c r="T4" s="544">
        <v>43383</v>
      </c>
      <c r="U4" s="544">
        <v>43404</v>
      </c>
      <c r="V4" s="544">
        <v>43418</v>
      </c>
      <c r="W4" s="544">
        <v>43425</v>
      </c>
      <c r="X4" s="544">
        <v>43434</v>
      </c>
      <c r="Y4" s="544">
        <v>43465</v>
      </c>
      <c r="Z4" s="544">
        <v>43474</v>
      </c>
      <c r="AA4" s="544">
        <v>43496</v>
      </c>
      <c r="AB4" s="544">
        <v>43516</v>
      </c>
      <c r="AC4" s="544">
        <v>43524</v>
      </c>
      <c r="AD4" s="544">
        <v>43555</v>
      </c>
      <c r="AE4" s="544">
        <v>43565</v>
      </c>
      <c r="AF4" s="544">
        <v>43572</v>
      </c>
      <c r="AG4" s="544">
        <v>43579</v>
      </c>
      <c r="AH4" s="544">
        <v>43585</v>
      </c>
      <c r="AI4" s="544">
        <v>43586</v>
      </c>
      <c r="AJ4" s="544">
        <v>43593</v>
      </c>
      <c r="AK4" s="544">
        <v>43600</v>
      </c>
      <c r="AL4" s="544">
        <v>43616</v>
      </c>
      <c r="AM4" s="544">
        <v>43620</v>
      </c>
      <c r="AN4" s="544">
        <v>43628</v>
      </c>
      <c r="AO4" s="544">
        <v>43635</v>
      </c>
      <c r="AP4" s="544">
        <v>43646</v>
      </c>
      <c r="AQ4" s="544">
        <v>43656</v>
      </c>
      <c r="AR4" s="544">
        <v>43677</v>
      </c>
      <c r="AS4" s="544">
        <v>43684</v>
      </c>
      <c r="AT4" s="544">
        <v>43708</v>
      </c>
      <c r="AU4" s="544">
        <v>43719</v>
      </c>
      <c r="AV4" s="544">
        <v>43726</v>
      </c>
      <c r="AW4" s="544">
        <v>43738</v>
      </c>
      <c r="AX4" s="544">
        <v>43747</v>
      </c>
      <c r="AY4" s="544">
        <v>43754</v>
      </c>
      <c r="AZ4" s="544">
        <v>43769</v>
      </c>
      <c r="BA4" s="544">
        <v>43775</v>
      </c>
      <c r="BB4" s="544">
        <v>43782</v>
      </c>
      <c r="BC4" s="544">
        <v>43789</v>
      </c>
      <c r="BD4" s="544">
        <v>43799</v>
      </c>
      <c r="BE4" s="544">
        <v>43830</v>
      </c>
      <c r="BF4" s="544">
        <v>43838</v>
      </c>
      <c r="BG4" s="544">
        <v>43845</v>
      </c>
      <c r="BH4" s="544">
        <v>43861</v>
      </c>
      <c r="BI4" s="544">
        <v>43873</v>
      </c>
      <c r="BJ4" s="544">
        <v>43880</v>
      </c>
      <c r="BK4" s="544">
        <v>43890</v>
      </c>
      <c r="BL4" s="544">
        <v>43908</v>
      </c>
      <c r="BM4" s="544">
        <v>43921</v>
      </c>
      <c r="BN4" s="544">
        <v>43930</v>
      </c>
      <c r="BO4" s="544">
        <v>43951</v>
      </c>
      <c r="BP4" s="544">
        <v>43964</v>
      </c>
      <c r="BQ4" s="544">
        <v>43971</v>
      </c>
      <c r="BR4" s="544">
        <v>43982</v>
      </c>
      <c r="BS4" s="544">
        <v>43992</v>
      </c>
      <c r="BT4" s="544">
        <v>43999</v>
      </c>
      <c r="BU4" s="544">
        <v>44012</v>
      </c>
      <c r="BV4" s="544">
        <v>44027</v>
      </c>
      <c r="BW4" s="544">
        <v>44034</v>
      </c>
      <c r="BX4" s="544">
        <v>44043</v>
      </c>
      <c r="BY4" s="544">
        <v>44048</v>
      </c>
      <c r="BZ4" s="544">
        <v>44055</v>
      </c>
      <c r="CA4" s="544">
        <v>44074</v>
      </c>
      <c r="CB4" s="544">
        <v>44076</v>
      </c>
      <c r="CC4" s="544">
        <v>44083</v>
      </c>
      <c r="CD4" s="544">
        <v>44090</v>
      </c>
      <c r="CE4" s="544">
        <v>44104</v>
      </c>
      <c r="CF4" s="544">
        <v>44118</v>
      </c>
      <c r="CG4" s="544">
        <v>44125</v>
      </c>
      <c r="CH4" s="544">
        <v>44135</v>
      </c>
      <c r="CI4" s="544">
        <v>44153</v>
      </c>
      <c r="CJ4" s="544">
        <v>44160</v>
      </c>
      <c r="CK4" s="544">
        <v>44165</v>
      </c>
      <c r="CL4" s="544">
        <v>44174</v>
      </c>
      <c r="CM4" s="544">
        <v>44181</v>
      </c>
      <c r="CN4" s="544">
        <v>44196</v>
      </c>
      <c r="CO4" s="544">
        <v>44202</v>
      </c>
      <c r="CP4" s="544">
        <v>44209</v>
      </c>
      <c r="CQ4" s="544">
        <v>44216</v>
      </c>
      <c r="CR4" s="544">
        <v>44227</v>
      </c>
      <c r="CS4" s="544">
        <v>44230</v>
      </c>
      <c r="CT4" s="544">
        <v>44238</v>
      </c>
      <c r="CU4" s="544">
        <v>44244</v>
      </c>
      <c r="CV4" s="544">
        <v>44251</v>
      </c>
      <c r="CW4" s="544">
        <v>44255</v>
      </c>
      <c r="CX4" s="544">
        <v>44258</v>
      </c>
      <c r="CY4" s="544">
        <v>44265</v>
      </c>
      <c r="CZ4" s="544">
        <v>44286</v>
      </c>
      <c r="DA4" s="544">
        <v>44300</v>
      </c>
      <c r="DB4" s="544">
        <v>44307</v>
      </c>
      <c r="DC4" s="544">
        <v>44316</v>
      </c>
      <c r="DD4" s="544">
        <v>44321</v>
      </c>
      <c r="DE4" s="544">
        <v>44335</v>
      </c>
      <c r="DF4" s="544">
        <v>44347</v>
      </c>
      <c r="DG4" s="544">
        <v>44356</v>
      </c>
      <c r="DH4" s="544">
        <v>44363</v>
      </c>
      <c r="DI4" s="544">
        <v>44377</v>
      </c>
      <c r="DJ4" s="544">
        <v>44384</v>
      </c>
      <c r="DK4" s="544">
        <v>44391</v>
      </c>
      <c r="DL4" s="544">
        <v>44398</v>
      </c>
      <c r="DM4" s="544">
        <v>44408</v>
      </c>
      <c r="DN4" s="544">
        <v>44419</v>
      </c>
      <c r="DO4" s="544">
        <v>44426</v>
      </c>
      <c r="DP4" s="544">
        <v>44439</v>
      </c>
      <c r="DQ4" s="544">
        <v>44461</v>
      </c>
      <c r="DR4" s="544">
        <v>44469</v>
      </c>
      <c r="DS4" s="544">
        <v>44475</v>
      </c>
      <c r="DT4" s="544">
        <v>44482</v>
      </c>
      <c r="DU4" s="544">
        <v>44500</v>
      </c>
      <c r="DV4" s="544">
        <v>44517</v>
      </c>
      <c r="DW4" s="544">
        <v>44530</v>
      </c>
      <c r="DX4" s="544">
        <v>44538</v>
      </c>
      <c r="DY4" s="544">
        <v>44545</v>
      </c>
      <c r="DZ4" s="544">
        <v>44561</v>
      </c>
      <c r="EA4" s="361" t="s">
        <v>561</v>
      </c>
    </row>
    <row r="5" spans="1:131" x14ac:dyDescent="0.25">
      <c r="A5" s="565" t="s">
        <v>549</v>
      </c>
      <c r="B5" s="4">
        <v>77450</v>
      </c>
      <c r="C5" s="4">
        <v>80240</v>
      </c>
      <c r="D5" s="4">
        <v>81630</v>
      </c>
      <c r="E5" s="4">
        <v>82560</v>
      </c>
      <c r="F5" s="4">
        <v>86260</v>
      </c>
      <c r="G5" s="4">
        <v>88560</v>
      </c>
      <c r="H5" s="4"/>
      <c r="I5" s="4">
        <v>90410</v>
      </c>
      <c r="J5" s="4">
        <v>91790</v>
      </c>
      <c r="K5" s="4">
        <v>93180</v>
      </c>
      <c r="L5" s="4">
        <v>95320</v>
      </c>
      <c r="M5" s="4">
        <v>98090</v>
      </c>
      <c r="N5" s="4">
        <v>98080</v>
      </c>
      <c r="O5" s="4">
        <v>98090</v>
      </c>
      <c r="P5" s="4">
        <v>98090</v>
      </c>
      <c r="Q5" s="4"/>
      <c r="R5" s="4">
        <v>98080</v>
      </c>
      <c r="S5" s="4">
        <v>98080</v>
      </c>
      <c r="T5" s="4">
        <v>98110</v>
      </c>
      <c r="U5" s="4">
        <v>99490</v>
      </c>
      <c r="V5" s="4">
        <v>99500</v>
      </c>
      <c r="W5" s="4">
        <v>94880</v>
      </c>
      <c r="X5" s="4">
        <v>88410</v>
      </c>
      <c r="Y5" s="4">
        <v>84730</v>
      </c>
      <c r="Z5" s="4">
        <v>82085</v>
      </c>
      <c r="AA5" s="4">
        <v>79315</v>
      </c>
      <c r="AB5" s="4"/>
      <c r="AC5" s="4">
        <v>79305</v>
      </c>
      <c r="AD5" s="4">
        <v>79305</v>
      </c>
      <c r="AE5" s="4"/>
      <c r="AF5" s="4"/>
      <c r="AG5" s="4"/>
      <c r="AH5" s="4">
        <v>79305</v>
      </c>
      <c r="AI5" s="4">
        <v>78705</v>
      </c>
      <c r="AJ5" s="4">
        <v>76855</v>
      </c>
      <c r="AK5" s="4">
        <v>76855</v>
      </c>
      <c r="AL5" s="4">
        <v>75470</v>
      </c>
      <c r="AM5" s="4">
        <v>73166</v>
      </c>
      <c r="AN5" s="4">
        <v>71779</v>
      </c>
      <c r="AO5" s="4"/>
      <c r="AP5" s="4">
        <v>69927</v>
      </c>
      <c r="AQ5" s="4"/>
      <c r="AR5" s="4">
        <v>69865</v>
      </c>
      <c r="AS5" s="4">
        <v>69865</v>
      </c>
      <c r="AT5" s="4">
        <v>71251</v>
      </c>
      <c r="AU5" s="4">
        <v>71255</v>
      </c>
      <c r="AV5" s="4">
        <v>68484</v>
      </c>
      <c r="AW5" s="4">
        <v>69399</v>
      </c>
      <c r="AX5" s="4">
        <v>70320</v>
      </c>
      <c r="AY5" s="4">
        <v>68470</v>
      </c>
      <c r="AZ5" s="4">
        <v>67090</v>
      </c>
      <c r="BA5" s="4"/>
      <c r="BB5" s="4"/>
      <c r="BC5" s="4">
        <v>66170</v>
      </c>
      <c r="BD5" s="4">
        <v>65240</v>
      </c>
      <c r="BE5" s="4">
        <v>65250</v>
      </c>
      <c r="BF5" s="4">
        <v>66170</v>
      </c>
      <c r="BG5" s="4"/>
      <c r="BH5" s="4">
        <v>67090</v>
      </c>
      <c r="BI5" s="4"/>
      <c r="BJ5" s="4">
        <v>67090</v>
      </c>
      <c r="BK5" s="4">
        <v>67090</v>
      </c>
      <c r="BL5" s="4"/>
      <c r="BM5" s="4">
        <v>67100</v>
      </c>
      <c r="BN5" s="4">
        <v>66190</v>
      </c>
      <c r="BO5" s="4">
        <v>63420</v>
      </c>
      <c r="BP5" s="4"/>
      <c r="BQ5" s="4">
        <v>60650</v>
      </c>
      <c r="BR5" s="4">
        <v>61580</v>
      </c>
      <c r="BS5" s="4">
        <v>62510</v>
      </c>
      <c r="BT5" s="4">
        <v>64360</v>
      </c>
      <c r="BU5" s="4">
        <v>65750</v>
      </c>
      <c r="BV5" s="4">
        <v>67110</v>
      </c>
      <c r="BW5" s="4">
        <v>69890</v>
      </c>
      <c r="BX5" s="4">
        <v>70820</v>
      </c>
      <c r="BY5" s="4"/>
      <c r="BZ5" s="4"/>
      <c r="CA5" s="4">
        <v>71830</v>
      </c>
      <c r="CB5" s="4">
        <v>71830</v>
      </c>
      <c r="CC5" s="4">
        <v>73220</v>
      </c>
      <c r="CD5" s="4"/>
      <c r="CE5" s="4">
        <v>74150</v>
      </c>
      <c r="CF5" s="4"/>
      <c r="CG5" s="4"/>
      <c r="CH5" s="4">
        <v>75090</v>
      </c>
      <c r="CI5" s="4">
        <v>76020</v>
      </c>
      <c r="CJ5" s="4">
        <v>76950</v>
      </c>
      <c r="CK5" s="4">
        <v>79730</v>
      </c>
      <c r="CL5" s="4"/>
      <c r="CM5" s="4"/>
      <c r="CN5" s="4">
        <v>81580</v>
      </c>
      <c r="CO5" s="4"/>
      <c r="CP5" s="4">
        <v>81580</v>
      </c>
      <c r="CQ5" s="4"/>
      <c r="CR5" s="4">
        <v>82510</v>
      </c>
      <c r="CS5" s="4"/>
      <c r="CT5" s="4"/>
      <c r="CU5" s="4">
        <v>82510</v>
      </c>
      <c r="CV5" s="4">
        <v>87600</v>
      </c>
      <c r="CW5" s="4">
        <v>90380</v>
      </c>
      <c r="CX5" s="4">
        <v>92220</v>
      </c>
      <c r="CY5" s="4">
        <v>96380</v>
      </c>
      <c r="CZ5" s="4">
        <v>99160</v>
      </c>
      <c r="DA5" s="4">
        <v>101940</v>
      </c>
      <c r="DB5" s="4">
        <v>100280</v>
      </c>
      <c r="DC5" s="4">
        <v>97240</v>
      </c>
      <c r="DD5" s="4">
        <v>95400</v>
      </c>
      <c r="DE5" s="4">
        <v>92630</v>
      </c>
      <c r="DF5" s="4">
        <v>90790</v>
      </c>
      <c r="DG5" s="4">
        <v>88010</v>
      </c>
      <c r="DH5" s="4"/>
      <c r="DI5" s="4">
        <v>86170</v>
      </c>
      <c r="DJ5" s="4">
        <v>86160</v>
      </c>
      <c r="DK5" s="4">
        <v>88010</v>
      </c>
      <c r="DL5" s="4"/>
      <c r="DM5" s="4">
        <v>88940</v>
      </c>
      <c r="DN5" s="4">
        <v>89860</v>
      </c>
      <c r="DO5" s="4">
        <v>90790</v>
      </c>
      <c r="DP5" s="4">
        <v>91720</v>
      </c>
      <c r="DQ5" s="4"/>
      <c r="DR5" s="4">
        <v>91730</v>
      </c>
      <c r="DS5" s="4"/>
      <c r="DT5" s="4">
        <v>93580</v>
      </c>
      <c r="DU5" s="4">
        <v>99130</v>
      </c>
      <c r="DV5" s="4"/>
      <c r="DW5" s="4">
        <v>100500</v>
      </c>
      <c r="DX5" s="4">
        <v>97770</v>
      </c>
      <c r="DY5" s="4">
        <v>95930</v>
      </c>
      <c r="DZ5" s="4">
        <v>95930</v>
      </c>
      <c r="EA5" s="4">
        <v>8107831</v>
      </c>
    </row>
    <row r="6" spans="1:131" x14ac:dyDescent="0.25">
      <c r="A6" s="565" t="s">
        <v>550</v>
      </c>
      <c r="B6" s="4">
        <v>80170</v>
      </c>
      <c r="C6" s="4">
        <v>82030</v>
      </c>
      <c r="D6" s="4">
        <v>83420</v>
      </c>
      <c r="E6" s="4">
        <v>84350</v>
      </c>
      <c r="F6" s="4">
        <v>88050</v>
      </c>
      <c r="G6" s="4">
        <v>90360</v>
      </c>
      <c r="H6" s="4"/>
      <c r="I6" s="4">
        <v>91290</v>
      </c>
      <c r="J6" s="4">
        <v>92670</v>
      </c>
      <c r="K6" s="4">
        <v>94060</v>
      </c>
      <c r="L6" s="4">
        <v>97120</v>
      </c>
      <c r="M6" s="4">
        <v>100890</v>
      </c>
      <c r="N6" s="4">
        <v>100880</v>
      </c>
      <c r="O6" s="4">
        <v>100890</v>
      </c>
      <c r="P6" s="4">
        <v>100890</v>
      </c>
      <c r="Q6" s="4"/>
      <c r="R6" s="4">
        <v>99040</v>
      </c>
      <c r="S6" s="4">
        <v>99030</v>
      </c>
      <c r="T6" s="4">
        <v>99060</v>
      </c>
      <c r="U6" s="4">
        <v>100450</v>
      </c>
      <c r="V6" s="4">
        <v>100450</v>
      </c>
      <c r="W6" s="4">
        <v>95330</v>
      </c>
      <c r="X6" s="4">
        <v>88870</v>
      </c>
      <c r="Y6" s="4">
        <v>81920</v>
      </c>
      <c r="Z6" s="4">
        <v>80775</v>
      </c>
      <c r="AA6" s="4">
        <v>79025</v>
      </c>
      <c r="AB6" s="4"/>
      <c r="AC6" s="4">
        <v>79015</v>
      </c>
      <c r="AD6" s="4">
        <v>79015</v>
      </c>
      <c r="AE6" s="4"/>
      <c r="AF6" s="4"/>
      <c r="AG6" s="4"/>
      <c r="AH6" s="4">
        <v>79015</v>
      </c>
      <c r="AI6" s="4">
        <v>79105</v>
      </c>
      <c r="AJ6" s="4">
        <v>77255</v>
      </c>
      <c r="AK6" s="4">
        <v>77255</v>
      </c>
      <c r="AL6" s="4">
        <v>75870</v>
      </c>
      <c r="AM6" s="4">
        <v>74941</v>
      </c>
      <c r="AN6" s="4">
        <v>73563</v>
      </c>
      <c r="AO6" s="4"/>
      <c r="AP6" s="4">
        <v>71711</v>
      </c>
      <c r="AQ6" s="4"/>
      <c r="AR6" s="4">
        <v>71649</v>
      </c>
      <c r="AS6" s="4">
        <v>71629</v>
      </c>
      <c r="AT6" s="4">
        <v>73015</v>
      </c>
      <c r="AU6" s="4">
        <v>73019</v>
      </c>
      <c r="AV6" s="4">
        <v>70248</v>
      </c>
      <c r="AW6" s="4">
        <v>71173</v>
      </c>
      <c r="AX6" s="4">
        <v>73020</v>
      </c>
      <c r="AY6" s="4">
        <v>71170</v>
      </c>
      <c r="AZ6" s="4">
        <v>69780</v>
      </c>
      <c r="BA6" s="4"/>
      <c r="BB6" s="4"/>
      <c r="BC6" s="4">
        <v>68860</v>
      </c>
      <c r="BD6" s="4">
        <v>67940</v>
      </c>
      <c r="BE6" s="4">
        <v>67940</v>
      </c>
      <c r="BF6" s="4">
        <v>68860</v>
      </c>
      <c r="BG6" s="4"/>
      <c r="BH6" s="4">
        <v>69790</v>
      </c>
      <c r="BI6" s="4"/>
      <c r="BJ6" s="4">
        <v>69790</v>
      </c>
      <c r="BK6" s="4">
        <v>71020</v>
      </c>
      <c r="BL6" s="4"/>
      <c r="BM6" s="4">
        <v>71030</v>
      </c>
      <c r="BN6" s="4">
        <v>70120</v>
      </c>
      <c r="BO6" s="4">
        <v>67350</v>
      </c>
      <c r="BP6" s="4"/>
      <c r="BQ6" s="4">
        <v>64580</v>
      </c>
      <c r="BR6" s="4">
        <v>65510</v>
      </c>
      <c r="BS6" s="4">
        <v>66440</v>
      </c>
      <c r="BT6" s="4">
        <v>68290</v>
      </c>
      <c r="BU6" s="4">
        <v>69680</v>
      </c>
      <c r="BV6" s="4">
        <v>71040</v>
      </c>
      <c r="BW6" s="4">
        <v>73820</v>
      </c>
      <c r="BX6" s="4">
        <v>74750</v>
      </c>
      <c r="BY6" s="4"/>
      <c r="BZ6" s="4"/>
      <c r="CA6" s="4">
        <v>75670</v>
      </c>
      <c r="CB6" s="4">
        <v>75670</v>
      </c>
      <c r="CC6" s="4">
        <v>77060</v>
      </c>
      <c r="CD6" s="4"/>
      <c r="CE6" s="4">
        <v>77990</v>
      </c>
      <c r="CF6" s="4"/>
      <c r="CG6" s="4"/>
      <c r="CH6" s="4">
        <v>78930</v>
      </c>
      <c r="CI6" s="4">
        <v>79860</v>
      </c>
      <c r="CJ6" s="4">
        <v>80790</v>
      </c>
      <c r="CK6" s="4">
        <v>83570</v>
      </c>
      <c r="CL6" s="4"/>
      <c r="CM6" s="4"/>
      <c r="CN6" s="4">
        <v>85420</v>
      </c>
      <c r="CO6" s="4"/>
      <c r="CP6" s="4"/>
      <c r="CQ6" s="4"/>
      <c r="CR6" s="4">
        <v>86340</v>
      </c>
      <c r="CS6" s="4"/>
      <c r="CT6" s="4"/>
      <c r="CU6" s="4">
        <v>86340</v>
      </c>
      <c r="CV6" s="4">
        <v>91890</v>
      </c>
      <c r="CW6" s="4">
        <v>94670</v>
      </c>
      <c r="CX6" s="4">
        <v>96510</v>
      </c>
      <c r="CY6" s="4">
        <v>99290</v>
      </c>
      <c r="CZ6" s="4">
        <v>102070</v>
      </c>
      <c r="DA6" s="4">
        <v>105770</v>
      </c>
      <c r="DB6" s="4">
        <v>104850</v>
      </c>
      <c r="DC6" s="4">
        <v>102080</v>
      </c>
      <c r="DD6" s="4">
        <v>100240</v>
      </c>
      <c r="DE6" s="4">
        <v>97470</v>
      </c>
      <c r="DF6" s="4">
        <v>95630</v>
      </c>
      <c r="DG6" s="4">
        <v>92850</v>
      </c>
      <c r="DH6" s="4"/>
      <c r="DI6" s="4">
        <v>91010</v>
      </c>
      <c r="DJ6" s="4">
        <v>91000</v>
      </c>
      <c r="DK6" s="4">
        <v>92850</v>
      </c>
      <c r="DL6" s="4"/>
      <c r="DM6" s="4">
        <v>93780</v>
      </c>
      <c r="DN6" s="4">
        <v>94700</v>
      </c>
      <c r="DO6" s="4">
        <v>95630</v>
      </c>
      <c r="DP6" s="4">
        <v>96560</v>
      </c>
      <c r="DQ6" s="4"/>
      <c r="DR6" s="4">
        <v>96570</v>
      </c>
      <c r="DS6" s="4"/>
      <c r="DT6" s="4">
        <v>97960</v>
      </c>
      <c r="DU6" s="4">
        <v>103510</v>
      </c>
      <c r="DV6" s="4"/>
      <c r="DW6" s="4">
        <v>104880</v>
      </c>
      <c r="DX6" s="4">
        <v>102150</v>
      </c>
      <c r="DY6" s="4">
        <v>100310</v>
      </c>
      <c r="DZ6" s="4">
        <v>100310</v>
      </c>
      <c r="EA6" s="4">
        <v>8301458</v>
      </c>
    </row>
    <row r="7" spans="1:131" x14ac:dyDescent="0.25">
      <c r="A7" s="565" t="s">
        <v>547</v>
      </c>
      <c r="B7" s="4">
        <v>78430</v>
      </c>
      <c r="C7" s="4">
        <v>80280</v>
      </c>
      <c r="D7" s="4">
        <v>81210</v>
      </c>
      <c r="E7" s="4">
        <v>81210</v>
      </c>
      <c r="F7" s="4">
        <v>83610</v>
      </c>
      <c r="G7" s="4">
        <v>85470</v>
      </c>
      <c r="H7" s="4">
        <v>86400</v>
      </c>
      <c r="I7" s="4">
        <v>84550</v>
      </c>
      <c r="J7" s="4">
        <v>85930</v>
      </c>
      <c r="K7" s="4">
        <v>87780</v>
      </c>
      <c r="L7" s="4">
        <v>89880</v>
      </c>
      <c r="M7" s="4">
        <v>92650</v>
      </c>
      <c r="N7" s="4">
        <v>92640</v>
      </c>
      <c r="O7" s="4">
        <v>92650</v>
      </c>
      <c r="P7" s="4">
        <v>92650</v>
      </c>
      <c r="Q7" s="4"/>
      <c r="R7" s="4">
        <v>92650</v>
      </c>
      <c r="S7" s="4">
        <v>92640</v>
      </c>
      <c r="T7" s="4">
        <v>92670</v>
      </c>
      <c r="U7" s="4">
        <v>94060</v>
      </c>
      <c r="V7" s="4">
        <v>94060</v>
      </c>
      <c r="W7" s="4">
        <v>89440</v>
      </c>
      <c r="X7" s="4">
        <v>83900</v>
      </c>
      <c r="Y7" s="4">
        <v>82070</v>
      </c>
      <c r="Z7" s="4">
        <v>82195</v>
      </c>
      <c r="AA7" s="4">
        <v>80345</v>
      </c>
      <c r="AB7" s="4"/>
      <c r="AC7" s="4">
        <v>80335</v>
      </c>
      <c r="AD7" s="4">
        <v>80335</v>
      </c>
      <c r="AE7" s="4"/>
      <c r="AF7" s="4"/>
      <c r="AG7" s="4"/>
      <c r="AH7" s="4">
        <v>80335</v>
      </c>
      <c r="AI7" s="4">
        <v>78745</v>
      </c>
      <c r="AJ7" s="4">
        <v>76905</v>
      </c>
      <c r="AK7" s="4">
        <v>76905</v>
      </c>
      <c r="AL7" s="4">
        <v>75520</v>
      </c>
      <c r="AM7" s="4">
        <v>74591</v>
      </c>
      <c r="AN7" s="4">
        <v>72286</v>
      </c>
      <c r="AO7" s="4"/>
      <c r="AP7" s="4">
        <v>70437</v>
      </c>
      <c r="AQ7" s="4"/>
      <c r="AR7" s="4">
        <v>70365</v>
      </c>
      <c r="AS7" s="4">
        <v>70355</v>
      </c>
      <c r="AT7" s="4">
        <v>71741</v>
      </c>
      <c r="AU7" s="4">
        <v>71745</v>
      </c>
      <c r="AV7" s="4">
        <v>68974</v>
      </c>
      <c r="AW7" s="4">
        <v>69899</v>
      </c>
      <c r="AX7" s="4">
        <v>71740</v>
      </c>
      <c r="AY7" s="4">
        <v>69890</v>
      </c>
      <c r="AZ7" s="4">
        <v>68500</v>
      </c>
      <c r="BA7" s="4"/>
      <c r="BB7" s="4"/>
      <c r="BC7" s="4">
        <v>67580</v>
      </c>
      <c r="BD7" s="4">
        <v>66660</v>
      </c>
      <c r="BE7" s="4">
        <v>66660</v>
      </c>
      <c r="BF7" s="4">
        <v>66660</v>
      </c>
      <c r="BG7" s="4"/>
      <c r="BH7" s="4">
        <v>67590</v>
      </c>
      <c r="BI7" s="4"/>
      <c r="BJ7" s="4">
        <v>67590</v>
      </c>
      <c r="BK7" s="4">
        <v>67590</v>
      </c>
      <c r="BL7" s="4"/>
      <c r="BM7" s="4">
        <v>67600</v>
      </c>
      <c r="BN7" s="4">
        <v>66690</v>
      </c>
      <c r="BO7" s="4">
        <v>63920</v>
      </c>
      <c r="BP7" s="4"/>
      <c r="BQ7" s="4">
        <v>63920</v>
      </c>
      <c r="BR7" s="4">
        <v>64850</v>
      </c>
      <c r="BS7" s="4">
        <v>65780</v>
      </c>
      <c r="BT7" s="4">
        <v>66710</v>
      </c>
      <c r="BU7" s="4">
        <v>68100</v>
      </c>
      <c r="BV7" s="4">
        <v>69460</v>
      </c>
      <c r="BW7" s="4"/>
      <c r="BX7" s="4">
        <v>71310</v>
      </c>
      <c r="BY7" s="4"/>
      <c r="BZ7" s="4"/>
      <c r="CA7" s="4">
        <v>71310</v>
      </c>
      <c r="CB7" s="4">
        <v>71310</v>
      </c>
      <c r="CC7" s="4">
        <v>72700</v>
      </c>
      <c r="CD7" s="4"/>
      <c r="CE7" s="4">
        <v>73630</v>
      </c>
      <c r="CF7" s="4"/>
      <c r="CG7" s="4"/>
      <c r="CH7" s="4">
        <v>74570</v>
      </c>
      <c r="CI7" s="4">
        <v>74580</v>
      </c>
      <c r="CJ7" s="4">
        <v>75510</v>
      </c>
      <c r="CK7" s="4">
        <v>78290</v>
      </c>
      <c r="CL7" s="4"/>
      <c r="CM7" s="4"/>
      <c r="CN7" s="4">
        <v>80140</v>
      </c>
      <c r="CO7" s="4"/>
      <c r="CP7" s="4"/>
      <c r="CQ7" s="4"/>
      <c r="CR7" s="4">
        <v>80140</v>
      </c>
      <c r="CS7" s="4"/>
      <c r="CT7" s="4"/>
      <c r="CU7" s="4">
        <v>80140</v>
      </c>
      <c r="CV7" s="4">
        <v>85960</v>
      </c>
      <c r="CW7" s="4">
        <v>88740</v>
      </c>
      <c r="CX7" s="4">
        <v>90580</v>
      </c>
      <c r="CY7" s="4">
        <v>92430</v>
      </c>
      <c r="CZ7" s="4">
        <v>94280</v>
      </c>
      <c r="DA7" s="4">
        <v>97980</v>
      </c>
      <c r="DB7" s="4">
        <v>96140</v>
      </c>
      <c r="DC7" s="4">
        <v>94300</v>
      </c>
      <c r="DD7" s="4">
        <v>91070</v>
      </c>
      <c r="DE7" s="4">
        <v>88300</v>
      </c>
      <c r="DF7" s="4">
        <v>86460</v>
      </c>
      <c r="DG7" s="4">
        <v>86450</v>
      </c>
      <c r="DH7" s="4"/>
      <c r="DI7" s="4">
        <v>84610</v>
      </c>
      <c r="DJ7" s="4">
        <v>84600</v>
      </c>
      <c r="DK7" s="4">
        <v>86450</v>
      </c>
      <c r="DL7" s="4"/>
      <c r="DM7" s="4">
        <v>87380</v>
      </c>
      <c r="DN7" s="4">
        <v>87380</v>
      </c>
      <c r="DO7" s="4">
        <v>88310</v>
      </c>
      <c r="DP7" s="4">
        <v>89240</v>
      </c>
      <c r="DQ7" s="4"/>
      <c r="DR7" s="4">
        <v>89250</v>
      </c>
      <c r="DS7" s="4"/>
      <c r="DT7" s="4">
        <v>90640</v>
      </c>
      <c r="DU7" s="4">
        <v>96650</v>
      </c>
      <c r="DV7" s="4"/>
      <c r="DW7" s="4">
        <v>98020</v>
      </c>
      <c r="DX7" s="4">
        <v>95290</v>
      </c>
      <c r="DY7" s="4">
        <v>92520</v>
      </c>
      <c r="DZ7" s="4">
        <v>91600</v>
      </c>
      <c r="EA7" s="4">
        <v>7904593</v>
      </c>
    </row>
    <row r="8" spans="1:131" x14ac:dyDescent="0.25">
      <c r="A8" s="565" t="s">
        <v>548</v>
      </c>
      <c r="B8" s="4">
        <v>75450</v>
      </c>
      <c r="C8" s="4">
        <v>77310</v>
      </c>
      <c r="D8" s="4">
        <v>78240</v>
      </c>
      <c r="E8" s="4">
        <v>78240</v>
      </c>
      <c r="F8" s="4">
        <v>82470</v>
      </c>
      <c r="G8" s="4">
        <v>84340</v>
      </c>
      <c r="H8" s="4"/>
      <c r="I8" s="4">
        <v>86190</v>
      </c>
      <c r="J8" s="4">
        <v>85860</v>
      </c>
      <c r="K8" s="4">
        <v>88630</v>
      </c>
      <c r="L8" s="4">
        <v>91240</v>
      </c>
      <c r="M8" s="4">
        <v>94010</v>
      </c>
      <c r="N8" s="4">
        <v>94930</v>
      </c>
      <c r="O8" s="4">
        <v>94930</v>
      </c>
      <c r="P8" s="4">
        <v>94930</v>
      </c>
      <c r="Q8" s="4"/>
      <c r="R8" s="4">
        <v>94930</v>
      </c>
      <c r="S8" s="4">
        <v>95850</v>
      </c>
      <c r="T8" s="4">
        <v>95880</v>
      </c>
      <c r="U8" s="4">
        <v>97260</v>
      </c>
      <c r="V8" s="4">
        <v>97270</v>
      </c>
      <c r="W8" s="4">
        <v>94500</v>
      </c>
      <c r="X8" s="4">
        <v>88030</v>
      </c>
      <c r="Y8" s="4">
        <v>84350</v>
      </c>
      <c r="Z8" s="4">
        <v>84475</v>
      </c>
      <c r="AA8" s="4">
        <v>82625</v>
      </c>
      <c r="AB8" s="4"/>
      <c r="AC8" s="4">
        <v>82615</v>
      </c>
      <c r="AD8" s="4">
        <v>82615</v>
      </c>
      <c r="AE8" s="4"/>
      <c r="AF8" s="4"/>
      <c r="AG8" s="4"/>
      <c r="AH8" s="4">
        <v>82615</v>
      </c>
      <c r="AI8" s="4">
        <v>82015</v>
      </c>
      <c r="AJ8" s="4">
        <v>80175</v>
      </c>
      <c r="AK8" s="4">
        <v>79175</v>
      </c>
      <c r="AL8" s="4">
        <v>77790</v>
      </c>
      <c r="AM8" s="4">
        <v>76461</v>
      </c>
      <c r="AN8" s="4">
        <v>74156</v>
      </c>
      <c r="AO8" s="4"/>
      <c r="AP8" s="4">
        <v>72307</v>
      </c>
      <c r="AQ8" s="4"/>
      <c r="AR8" s="4">
        <v>71311</v>
      </c>
      <c r="AS8" s="4">
        <v>70915</v>
      </c>
      <c r="AT8" s="4">
        <v>72301</v>
      </c>
      <c r="AU8" s="4">
        <v>72295</v>
      </c>
      <c r="AV8" s="4">
        <v>69524</v>
      </c>
      <c r="AW8" s="4">
        <v>70449</v>
      </c>
      <c r="AX8" s="4">
        <v>72290</v>
      </c>
      <c r="AY8" s="4">
        <v>70450</v>
      </c>
      <c r="AZ8" s="4">
        <v>69060</v>
      </c>
      <c r="BA8" s="4"/>
      <c r="BB8" s="4"/>
      <c r="BC8" s="4">
        <v>68140</v>
      </c>
      <c r="BD8" s="4">
        <v>67220</v>
      </c>
      <c r="BE8" s="4">
        <v>67220</v>
      </c>
      <c r="BF8" s="4">
        <v>67210</v>
      </c>
      <c r="BG8" s="4"/>
      <c r="BH8" s="4">
        <v>68140</v>
      </c>
      <c r="BI8" s="4"/>
      <c r="BJ8" s="4">
        <v>68140</v>
      </c>
      <c r="BK8" s="4">
        <v>68140</v>
      </c>
      <c r="BL8" s="4"/>
      <c r="BM8" s="4">
        <v>68150</v>
      </c>
      <c r="BN8" s="4">
        <v>67240</v>
      </c>
      <c r="BO8" s="4">
        <v>64470</v>
      </c>
      <c r="BP8" s="4"/>
      <c r="BQ8" s="4">
        <v>64470</v>
      </c>
      <c r="BR8" s="4">
        <v>65400</v>
      </c>
      <c r="BS8" s="4">
        <v>66330</v>
      </c>
      <c r="BT8" s="4">
        <v>67260</v>
      </c>
      <c r="BU8" s="4">
        <v>67260</v>
      </c>
      <c r="BV8" s="4">
        <v>69080</v>
      </c>
      <c r="BW8" s="4"/>
      <c r="BX8" s="4">
        <v>70930</v>
      </c>
      <c r="BY8" s="4"/>
      <c r="BZ8" s="4"/>
      <c r="CA8" s="4">
        <v>70930</v>
      </c>
      <c r="CB8" s="4">
        <v>70930</v>
      </c>
      <c r="CC8" s="4">
        <v>72320</v>
      </c>
      <c r="CD8" s="4"/>
      <c r="CE8" s="4">
        <v>73250</v>
      </c>
      <c r="CF8" s="4"/>
      <c r="CG8" s="4"/>
      <c r="CH8" s="4">
        <v>74190</v>
      </c>
      <c r="CI8" s="4">
        <v>75120</v>
      </c>
      <c r="CJ8" s="4">
        <v>76050</v>
      </c>
      <c r="CK8" s="4">
        <v>78830</v>
      </c>
      <c r="CL8" s="4"/>
      <c r="CM8" s="4"/>
      <c r="CN8" s="4">
        <v>80680</v>
      </c>
      <c r="CO8" s="4"/>
      <c r="CP8" s="4"/>
      <c r="CQ8" s="4"/>
      <c r="CR8" s="4">
        <v>80680</v>
      </c>
      <c r="CS8" s="4"/>
      <c r="CT8" s="4"/>
      <c r="CU8" s="4">
        <v>80680</v>
      </c>
      <c r="CV8" s="4">
        <v>83000</v>
      </c>
      <c r="CW8" s="4">
        <v>87620</v>
      </c>
      <c r="CX8" s="4">
        <v>87610</v>
      </c>
      <c r="CY8" s="4">
        <v>91310</v>
      </c>
      <c r="CZ8" s="4">
        <v>94090</v>
      </c>
      <c r="DA8" s="4">
        <v>96870</v>
      </c>
      <c r="DB8" s="4">
        <v>96870</v>
      </c>
      <c r="DC8" s="4">
        <v>95030</v>
      </c>
      <c r="DD8" s="4">
        <v>93190</v>
      </c>
      <c r="DE8" s="4">
        <v>90420</v>
      </c>
      <c r="DF8" s="4">
        <v>90420</v>
      </c>
      <c r="DG8" s="4">
        <v>90410</v>
      </c>
      <c r="DH8" s="4"/>
      <c r="DI8" s="4">
        <v>88570</v>
      </c>
      <c r="DJ8" s="4">
        <v>88560</v>
      </c>
      <c r="DK8" s="4">
        <v>90410</v>
      </c>
      <c r="DL8" s="4"/>
      <c r="DM8" s="4">
        <v>91340</v>
      </c>
      <c r="DN8" s="4">
        <v>92260</v>
      </c>
      <c r="DO8" s="4">
        <v>93190</v>
      </c>
      <c r="DP8" s="4">
        <v>94120</v>
      </c>
      <c r="DQ8" s="4"/>
      <c r="DR8" s="4">
        <v>94130</v>
      </c>
      <c r="DS8" s="4"/>
      <c r="DT8" s="4">
        <v>95520</v>
      </c>
      <c r="DU8" s="4">
        <v>101070</v>
      </c>
      <c r="DV8" s="4"/>
      <c r="DW8" s="4">
        <v>102440</v>
      </c>
      <c r="DX8" s="4">
        <v>99710</v>
      </c>
      <c r="DY8" s="4">
        <v>96940</v>
      </c>
      <c r="DZ8" s="4">
        <v>96020</v>
      </c>
      <c r="EA8" s="4">
        <v>7950039</v>
      </c>
    </row>
    <row r="9" spans="1:131" x14ac:dyDescent="0.25">
      <c r="A9" s="565" t="s">
        <v>546</v>
      </c>
      <c r="B9" s="4"/>
      <c r="C9" s="4">
        <v>76500</v>
      </c>
      <c r="D9" s="4">
        <v>77430</v>
      </c>
      <c r="E9" s="4">
        <v>77430</v>
      </c>
      <c r="F9" s="4">
        <v>78340</v>
      </c>
      <c r="G9" s="4">
        <v>78320</v>
      </c>
      <c r="H9" s="4"/>
      <c r="I9" s="4">
        <v>78330</v>
      </c>
      <c r="J9" s="4">
        <v>79710</v>
      </c>
      <c r="K9" s="4">
        <v>79710</v>
      </c>
      <c r="L9" s="4">
        <v>81380</v>
      </c>
      <c r="M9" s="4">
        <v>82300</v>
      </c>
      <c r="N9" s="4">
        <v>82290</v>
      </c>
      <c r="O9" s="4">
        <v>82300</v>
      </c>
      <c r="P9" s="4">
        <v>80910</v>
      </c>
      <c r="Q9" s="4">
        <v>79990</v>
      </c>
      <c r="R9" s="4">
        <v>80910</v>
      </c>
      <c r="S9" s="4">
        <v>82290</v>
      </c>
      <c r="T9" s="4">
        <v>84170</v>
      </c>
      <c r="U9" s="4">
        <v>85550</v>
      </c>
      <c r="V9" s="4">
        <v>85560</v>
      </c>
      <c r="W9" s="4">
        <v>82790</v>
      </c>
      <c r="X9" s="4">
        <v>80020</v>
      </c>
      <c r="Y9" s="4">
        <v>75410</v>
      </c>
      <c r="Z9" s="4">
        <v>75535</v>
      </c>
      <c r="AA9" s="4">
        <v>75535</v>
      </c>
      <c r="AB9" s="4"/>
      <c r="AC9" s="4">
        <v>75515</v>
      </c>
      <c r="AD9" s="4">
        <v>76895</v>
      </c>
      <c r="AE9" s="4"/>
      <c r="AF9" s="4"/>
      <c r="AG9" s="4"/>
      <c r="AH9" s="4">
        <v>76895</v>
      </c>
      <c r="AI9" s="4">
        <v>74795</v>
      </c>
      <c r="AJ9" s="4">
        <v>72955</v>
      </c>
      <c r="AK9" s="4">
        <v>73055</v>
      </c>
      <c r="AL9" s="4">
        <v>71670</v>
      </c>
      <c r="AM9" s="4">
        <v>70723</v>
      </c>
      <c r="AN9" s="4">
        <v>68897</v>
      </c>
      <c r="AO9" s="4"/>
      <c r="AP9" s="4">
        <v>68897</v>
      </c>
      <c r="AQ9" s="4"/>
      <c r="AR9" s="4">
        <v>68825</v>
      </c>
      <c r="AS9" s="4">
        <v>68825</v>
      </c>
      <c r="AT9" s="4">
        <v>70211</v>
      </c>
      <c r="AU9" s="4">
        <v>68267</v>
      </c>
      <c r="AV9" s="4">
        <v>65494</v>
      </c>
      <c r="AW9" s="4">
        <v>66419</v>
      </c>
      <c r="AX9" s="4">
        <v>68260</v>
      </c>
      <c r="AY9" s="4">
        <v>68260</v>
      </c>
      <c r="AZ9" s="4">
        <v>68260</v>
      </c>
      <c r="BA9" s="4"/>
      <c r="BB9" s="4">
        <v>66880</v>
      </c>
      <c r="BC9" s="4">
        <v>65030</v>
      </c>
      <c r="BD9" s="4">
        <v>64110</v>
      </c>
      <c r="BE9" s="4">
        <v>64110</v>
      </c>
      <c r="BF9" s="4"/>
      <c r="BG9" s="4">
        <v>65030</v>
      </c>
      <c r="BH9" s="4">
        <v>66420</v>
      </c>
      <c r="BI9" s="4"/>
      <c r="BJ9" s="4"/>
      <c r="BK9" s="4">
        <v>66420</v>
      </c>
      <c r="BL9" s="4"/>
      <c r="BM9" s="4">
        <v>66430</v>
      </c>
      <c r="BN9" s="4">
        <v>64590</v>
      </c>
      <c r="BO9" s="4">
        <v>60900</v>
      </c>
      <c r="BP9" s="4"/>
      <c r="BQ9" s="4">
        <v>59060</v>
      </c>
      <c r="BR9" s="4">
        <v>60910</v>
      </c>
      <c r="BS9" s="4">
        <v>62660</v>
      </c>
      <c r="BT9" s="4">
        <v>63590</v>
      </c>
      <c r="BU9" s="4">
        <v>64980</v>
      </c>
      <c r="BV9" s="4">
        <v>66340</v>
      </c>
      <c r="BW9" s="4"/>
      <c r="BX9" s="4">
        <v>68190</v>
      </c>
      <c r="BY9" s="4">
        <v>68370</v>
      </c>
      <c r="BZ9" s="4"/>
      <c r="CA9" s="4">
        <v>66990</v>
      </c>
      <c r="CB9" s="4"/>
      <c r="CC9" s="4">
        <v>66990</v>
      </c>
      <c r="CD9" s="4">
        <v>68840</v>
      </c>
      <c r="CE9" s="4">
        <v>69770</v>
      </c>
      <c r="CF9" s="4"/>
      <c r="CG9" s="4"/>
      <c r="CH9" s="4">
        <v>71170</v>
      </c>
      <c r="CI9" s="4">
        <v>73020</v>
      </c>
      <c r="CJ9" s="4">
        <v>73950</v>
      </c>
      <c r="CK9" s="4">
        <v>76730</v>
      </c>
      <c r="CL9" s="4"/>
      <c r="CM9" s="4">
        <v>79500</v>
      </c>
      <c r="CN9" s="4">
        <v>81350</v>
      </c>
      <c r="CO9" s="4"/>
      <c r="CP9" s="4"/>
      <c r="CQ9" s="4">
        <v>81350</v>
      </c>
      <c r="CR9" s="4">
        <v>78580</v>
      </c>
      <c r="CS9" s="4"/>
      <c r="CT9" s="4"/>
      <c r="CU9" s="4">
        <v>78580</v>
      </c>
      <c r="CV9" s="4">
        <v>83670</v>
      </c>
      <c r="CW9" s="4">
        <v>88290</v>
      </c>
      <c r="CX9" s="4">
        <v>91050</v>
      </c>
      <c r="CY9" s="4">
        <v>94750</v>
      </c>
      <c r="CZ9" s="4">
        <v>98450</v>
      </c>
      <c r="DA9" s="4">
        <v>99840</v>
      </c>
      <c r="DB9" s="4">
        <v>97540</v>
      </c>
      <c r="DC9" s="4">
        <v>94690</v>
      </c>
      <c r="DD9" s="4">
        <v>92390</v>
      </c>
      <c r="DE9" s="4">
        <v>87780</v>
      </c>
      <c r="DF9" s="4">
        <v>85940</v>
      </c>
      <c r="DG9" s="4">
        <v>85010</v>
      </c>
      <c r="DH9" s="4"/>
      <c r="DI9" s="4">
        <v>85010</v>
      </c>
      <c r="DJ9" s="4">
        <v>85000</v>
      </c>
      <c r="DK9" s="4">
        <v>87310</v>
      </c>
      <c r="DL9" s="4">
        <v>88240</v>
      </c>
      <c r="DM9" s="4">
        <v>89170</v>
      </c>
      <c r="DN9" s="4">
        <v>90560</v>
      </c>
      <c r="DO9" s="4">
        <v>92410</v>
      </c>
      <c r="DP9" s="4">
        <v>93340</v>
      </c>
      <c r="DQ9" s="4"/>
      <c r="DR9" s="4">
        <v>94270</v>
      </c>
      <c r="DS9" s="4"/>
      <c r="DT9" s="4">
        <v>97050</v>
      </c>
      <c r="DU9" s="4">
        <v>102600</v>
      </c>
      <c r="DV9" s="4"/>
      <c r="DW9" s="4">
        <v>104890</v>
      </c>
      <c r="DX9" s="4">
        <v>101240</v>
      </c>
      <c r="DY9" s="4">
        <v>98470</v>
      </c>
      <c r="DZ9" s="4">
        <v>96630</v>
      </c>
      <c r="EA9" s="4">
        <v>7902258</v>
      </c>
    </row>
    <row r="10" spans="1:131" x14ac:dyDescent="0.25">
      <c r="A10" s="565" t="s">
        <v>545</v>
      </c>
      <c r="B10" s="4"/>
      <c r="C10" s="4">
        <v>80190</v>
      </c>
      <c r="D10" s="4">
        <v>81580</v>
      </c>
      <c r="E10" s="4">
        <v>82980</v>
      </c>
      <c r="F10" s="4">
        <v>85280</v>
      </c>
      <c r="G10" s="4">
        <v>87540</v>
      </c>
      <c r="H10" s="4"/>
      <c r="I10" s="4">
        <v>87540</v>
      </c>
      <c r="J10" s="4">
        <v>87540</v>
      </c>
      <c r="K10" s="4">
        <v>87540</v>
      </c>
      <c r="L10" s="4">
        <v>88760</v>
      </c>
      <c r="M10" s="4">
        <v>91530</v>
      </c>
      <c r="N10" s="4">
        <v>93370</v>
      </c>
      <c r="O10" s="4">
        <v>93380</v>
      </c>
      <c r="P10" s="4">
        <v>91990</v>
      </c>
      <c r="Q10" s="4"/>
      <c r="R10" s="4">
        <v>90140</v>
      </c>
      <c r="S10" s="4">
        <v>91980</v>
      </c>
      <c r="T10" s="4">
        <v>93860</v>
      </c>
      <c r="U10" s="4">
        <v>95250</v>
      </c>
      <c r="V10" s="4">
        <v>95250</v>
      </c>
      <c r="W10" s="4">
        <v>92480</v>
      </c>
      <c r="X10" s="4">
        <v>86940</v>
      </c>
      <c r="Y10" s="4">
        <v>79530</v>
      </c>
      <c r="Z10" s="4">
        <v>79655</v>
      </c>
      <c r="AA10" s="4">
        <v>79655</v>
      </c>
      <c r="AB10" s="4">
        <v>81135</v>
      </c>
      <c r="AC10" s="4">
        <v>82515</v>
      </c>
      <c r="AD10" s="4">
        <v>83435</v>
      </c>
      <c r="AE10" s="4">
        <v>84365</v>
      </c>
      <c r="AF10" s="4">
        <v>85285</v>
      </c>
      <c r="AG10" s="4">
        <v>86215</v>
      </c>
      <c r="AH10" s="4">
        <v>88055</v>
      </c>
      <c r="AI10" s="4"/>
      <c r="AJ10" s="4">
        <v>87955</v>
      </c>
      <c r="AK10" s="4"/>
      <c r="AL10" s="4">
        <v>87955</v>
      </c>
      <c r="AM10" s="4"/>
      <c r="AN10" s="4">
        <v>86107</v>
      </c>
      <c r="AO10" s="4">
        <v>84267</v>
      </c>
      <c r="AP10" s="4">
        <v>81490</v>
      </c>
      <c r="AQ10" s="4">
        <v>81420</v>
      </c>
      <c r="AR10" s="4">
        <v>82810</v>
      </c>
      <c r="AS10" s="4">
        <v>82810</v>
      </c>
      <c r="AT10" s="4">
        <v>84190</v>
      </c>
      <c r="AU10" s="4"/>
      <c r="AV10" s="4">
        <v>85120</v>
      </c>
      <c r="AW10" s="4">
        <v>86040</v>
      </c>
      <c r="AX10" s="4">
        <v>86040</v>
      </c>
      <c r="AY10" s="4">
        <v>83270</v>
      </c>
      <c r="AZ10" s="4">
        <v>80490</v>
      </c>
      <c r="BA10" s="4">
        <v>79570</v>
      </c>
      <c r="BB10" s="4"/>
      <c r="BC10" s="4">
        <v>77730</v>
      </c>
      <c r="BD10" s="4">
        <v>76340</v>
      </c>
      <c r="BE10" s="4">
        <v>74490</v>
      </c>
      <c r="BF10" s="4">
        <v>74490</v>
      </c>
      <c r="BG10" s="4"/>
      <c r="BH10" s="4">
        <v>75410</v>
      </c>
      <c r="BI10" s="4">
        <v>75410</v>
      </c>
      <c r="BJ10" s="4">
        <v>74490</v>
      </c>
      <c r="BK10" s="4">
        <v>73110</v>
      </c>
      <c r="BL10" s="4">
        <v>71740</v>
      </c>
      <c r="BM10" s="4">
        <v>70820</v>
      </c>
      <c r="BN10" s="4">
        <v>68060</v>
      </c>
      <c r="BO10" s="4">
        <v>65290</v>
      </c>
      <c r="BP10" s="4">
        <v>65290</v>
      </c>
      <c r="BQ10" s="4"/>
      <c r="BR10" s="4">
        <v>66220</v>
      </c>
      <c r="BS10" s="4">
        <v>69000</v>
      </c>
      <c r="BT10" s="4"/>
      <c r="BU10" s="4">
        <v>71310</v>
      </c>
      <c r="BV10" s="4">
        <v>73130</v>
      </c>
      <c r="BW10" s="4"/>
      <c r="BX10" s="4">
        <v>74520</v>
      </c>
      <c r="BY10" s="4"/>
      <c r="BZ10" s="4">
        <v>73590</v>
      </c>
      <c r="CA10" s="4">
        <v>72670</v>
      </c>
      <c r="CB10" s="4"/>
      <c r="CC10" s="4"/>
      <c r="CD10" s="4">
        <v>72670</v>
      </c>
      <c r="CE10" s="4">
        <v>73600</v>
      </c>
      <c r="CF10" s="4">
        <v>74540</v>
      </c>
      <c r="CG10" s="4">
        <v>76850</v>
      </c>
      <c r="CH10" s="4">
        <v>78240</v>
      </c>
      <c r="CI10" s="4">
        <v>79630</v>
      </c>
      <c r="CJ10" s="4">
        <v>82410</v>
      </c>
      <c r="CK10" s="4">
        <v>84260</v>
      </c>
      <c r="CL10" s="4">
        <v>87960</v>
      </c>
      <c r="CM10" s="4"/>
      <c r="CN10" s="4">
        <v>92580</v>
      </c>
      <c r="CO10" s="4">
        <v>92580</v>
      </c>
      <c r="CP10" s="4"/>
      <c r="CQ10" s="4"/>
      <c r="CR10" s="4">
        <v>93510</v>
      </c>
      <c r="CS10" s="4">
        <v>95360</v>
      </c>
      <c r="CT10" s="4">
        <v>95360</v>
      </c>
      <c r="CU10" s="4">
        <v>97210</v>
      </c>
      <c r="CV10" s="4">
        <v>99990</v>
      </c>
      <c r="CW10" s="4">
        <v>104610</v>
      </c>
      <c r="CX10" s="4"/>
      <c r="CY10" s="4">
        <v>111070</v>
      </c>
      <c r="CZ10" s="4">
        <v>113850</v>
      </c>
      <c r="DA10" s="4"/>
      <c r="DB10" s="4">
        <v>113760</v>
      </c>
      <c r="DC10" s="4">
        <v>110990</v>
      </c>
      <c r="DD10" s="4">
        <v>109150</v>
      </c>
      <c r="DE10" s="4">
        <v>105920</v>
      </c>
      <c r="DF10" s="4">
        <v>103150</v>
      </c>
      <c r="DG10" s="4">
        <v>100370</v>
      </c>
      <c r="DH10" s="4">
        <v>98530</v>
      </c>
      <c r="DI10" s="4">
        <v>97610</v>
      </c>
      <c r="DJ10" s="4">
        <v>97600</v>
      </c>
      <c r="DK10" s="4"/>
      <c r="DL10" s="4">
        <v>99450</v>
      </c>
      <c r="DM10" s="4">
        <v>100840</v>
      </c>
      <c r="DN10" s="4">
        <v>102690</v>
      </c>
      <c r="DO10" s="4"/>
      <c r="DP10" s="4">
        <v>104540</v>
      </c>
      <c r="DQ10" s="4">
        <v>104550</v>
      </c>
      <c r="DR10" s="4">
        <v>105480</v>
      </c>
      <c r="DS10" s="4">
        <v>107790</v>
      </c>
      <c r="DT10" s="4">
        <v>109640</v>
      </c>
      <c r="DU10" s="4">
        <v>115190</v>
      </c>
      <c r="DV10" s="4">
        <v>117020</v>
      </c>
      <c r="DW10" s="4">
        <v>115180</v>
      </c>
      <c r="DX10" s="4">
        <v>111530</v>
      </c>
      <c r="DY10" s="4">
        <v>106920</v>
      </c>
      <c r="DZ10" s="4">
        <v>104150</v>
      </c>
      <c r="EA10" s="4">
        <v>9465939</v>
      </c>
    </row>
    <row r="11" spans="1:131" x14ac:dyDescent="0.25">
      <c r="A11" s="565" t="s">
        <v>543</v>
      </c>
      <c r="B11" s="4"/>
      <c r="C11" s="4">
        <v>81080</v>
      </c>
      <c r="D11" s="4">
        <v>82480</v>
      </c>
      <c r="E11" s="4">
        <v>83870</v>
      </c>
      <c r="F11" s="4">
        <v>86170</v>
      </c>
      <c r="G11" s="4">
        <v>88460</v>
      </c>
      <c r="H11" s="4"/>
      <c r="I11" s="4">
        <v>88460</v>
      </c>
      <c r="J11" s="4">
        <v>88460</v>
      </c>
      <c r="K11" s="4">
        <v>88460</v>
      </c>
      <c r="L11" s="4">
        <v>89660</v>
      </c>
      <c r="M11" s="4">
        <v>92430</v>
      </c>
      <c r="N11" s="4">
        <v>93810</v>
      </c>
      <c r="O11" s="4">
        <v>93810</v>
      </c>
      <c r="P11" s="4">
        <v>92430</v>
      </c>
      <c r="Q11" s="4"/>
      <c r="R11" s="4">
        <v>90580</v>
      </c>
      <c r="S11" s="4">
        <v>92420</v>
      </c>
      <c r="T11" s="4">
        <v>94300</v>
      </c>
      <c r="U11" s="4">
        <v>95690</v>
      </c>
      <c r="V11" s="4">
        <v>95690</v>
      </c>
      <c r="W11" s="4">
        <v>92920</v>
      </c>
      <c r="X11" s="4">
        <v>87380</v>
      </c>
      <c r="Y11" s="4">
        <v>79970</v>
      </c>
      <c r="Z11" s="4">
        <v>80095</v>
      </c>
      <c r="AA11" s="4">
        <v>80095</v>
      </c>
      <c r="AB11" s="4">
        <v>81565</v>
      </c>
      <c r="AC11" s="4">
        <v>82955</v>
      </c>
      <c r="AD11" s="4">
        <v>83875</v>
      </c>
      <c r="AE11" s="4">
        <v>84805</v>
      </c>
      <c r="AF11" s="4">
        <v>85725</v>
      </c>
      <c r="AG11" s="4">
        <v>86645</v>
      </c>
      <c r="AH11" s="4">
        <v>88495</v>
      </c>
      <c r="AI11" s="4"/>
      <c r="AJ11" s="4">
        <v>88395</v>
      </c>
      <c r="AK11" s="4"/>
      <c r="AL11" s="4">
        <v>88495</v>
      </c>
      <c r="AM11" s="4"/>
      <c r="AN11" s="4">
        <v>86647</v>
      </c>
      <c r="AO11" s="4">
        <v>84797</v>
      </c>
      <c r="AP11" s="4">
        <v>82030</v>
      </c>
      <c r="AQ11" s="4">
        <v>81960</v>
      </c>
      <c r="AR11" s="4">
        <v>83350</v>
      </c>
      <c r="AS11" s="4">
        <v>83340</v>
      </c>
      <c r="AT11" s="4">
        <v>84730</v>
      </c>
      <c r="AU11" s="4"/>
      <c r="AV11" s="4">
        <v>85660</v>
      </c>
      <c r="AW11" s="4">
        <v>86580</v>
      </c>
      <c r="AX11" s="4">
        <v>86570</v>
      </c>
      <c r="AY11" s="4">
        <v>83800</v>
      </c>
      <c r="AZ11" s="4">
        <v>81030</v>
      </c>
      <c r="BA11" s="4">
        <v>80110</v>
      </c>
      <c r="BB11" s="4"/>
      <c r="BC11" s="4">
        <v>78260</v>
      </c>
      <c r="BD11" s="4">
        <v>76880</v>
      </c>
      <c r="BE11" s="4">
        <v>75030</v>
      </c>
      <c r="BF11" s="4">
        <v>75030</v>
      </c>
      <c r="BG11" s="4"/>
      <c r="BH11" s="4">
        <v>75950</v>
      </c>
      <c r="BI11" s="4">
        <v>75950</v>
      </c>
      <c r="BJ11" s="4">
        <v>75030</v>
      </c>
      <c r="BK11" s="4">
        <v>73650</v>
      </c>
      <c r="BL11" s="4">
        <v>72280</v>
      </c>
      <c r="BM11" s="4">
        <v>71360</v>
      </c>
      <c r="BN11" s="4">
        <v>68600</v>
      </c>
      <c r="BO11" s="4">
        <v>65830</v>
      </c>
      <c r="BP11" s="4">
        <v>65830</v>
      </c>
      <c r="BQ11" s="4"/>
      <c r="BR11" s="4">
        <v>66760</v>
      </c>
      <c r="BS11" s="4">
        <v>69340</v>
      </c>
      <c r="BT11" s="4"/>
      <c r="BU11" s="4">
        <v>71190</v>
      </c>
      <c r="BV11" s="4">
        <v>73010</v>
      </c>
      <c r="BW11" s="4"/>
      <c r="BX11" s="4">
        <v>74400</v>
      </c>
      <c r="BY11" s="4"/>
      <c r="BZ11" s="4">
        <v>73470</v>
      </c>
      <c r="CA11" s="4">
        <v>72550</v>
      </c>
      <c r="CB11" s="4"/>
      <c r="CC11" s="4"/>
      <c r="CD11" s="4">
        <v>72550</v>
      </c>
      <c r="CE11" s="4">
        <v>73480</v>
      </c>
      <c r="CF11" s="4">
        <v>74420</v>
      </c>
      <c r="CG11" s="4">
        <v>76730</v>
      </c>
      <c r="CH11" s="4">
        <v>78120</v>
      </c>
      <c r="CI11" s="4">
        <v>79510</v>
      </c>
      <c r="CJ11" s="4">
        <v>82290</v>
      </c>
      <c r="CK11" s="4">
        <v>84140</v>
      </c>
      <c r="CL11" s="4">
        <v>87840</v>
      </c>
      <c r="CM11" s="4"/>
      <c r="CN11" s="4">
        <v>92460</v>
      </c>
      <c r="CO11" s="4">
        <v>92460</v>
      </c>
      <c r="CP11" s="4"/>
      <c r="CQ11" s="4"/>
      <c r="CR11" s="4">
        <v>93480</v>
      </c>
      <c r="CS11" s="4">
        <v>95420</v>
      </c>
      <c r="CT11" s="4">
        <v>95420</v>
      </c>
      <c r="CU11" s="4">
        <v>97270</v>
      </c>
      <c r="CV11" s="4">
        <v>100090</v>
      </c>
      <c r="CW11" s="4">
        <v>104710</v>
      </c>
      <c r="CX11" s="4"/>
      <c r="CY11" s="4">
        <v>111210</v>
      </c>
      <c r="CZ11" s="4">
        <v>113990</v>
      </c>
      <c r="DA11" s="4"/>
      <c r="DB11" s="4">
        <v>113900</v>
      </c>
      <c r="DC11" s="4">
        <v>111130</v>
      </c>
      <c r="DD11" s="4">
        <v>109290</v>
      </c>
      <c r="DE11" s="4">
        <v>106060</v>
      </c>
      <c r="DF11" s="4">
        <v>103290</v>
      </c>
      <c r="DG11" s="4">
        <v>100510</v>
      </c>
      <c r="DH11" s="4">
        <v>98670</v>
      </c>
      <c r="DI11" s="4">
        <v>97750</v>
      </c>
      <c r="DJ11" s="4">
        <v>97740</v>
      </c>
      <c r="DK11" s="4"/>
      <c r="DL11" s="4">
        <v>99590</v>
      </c>
      <c r="DM11" s="4">
        <v>100980</v>
      </c>
      <c r="DN11" s="4">
        <v>102830</v>
      </c>
      <c r="DO11" s="4"/>
      <c r="DP11" s="4">
        <v>104680</v>
      </c>
      <c r="DQ11" s="4">
        <v>104690</v>
      </c>
      <c r="DR11" s="4">
        <v>105620</v>
      </c>
      <c r="DS11" s="4">
        <v>107930</v>
      </c>
      <c r="DT11" s="4">
        <v>109780</v>
      </c>
      <c r="DU11" s="4">
        <v>115330</v>
      </c>
      <c r="DV11" s="4">
        <v>117160</v>
      </c>
      <c r="DW11" s="4">
        <v>115320</v>
      </c>
      <c r="DX11" s="4">
        <v>111670</v>
      </c>
      <c r="DY11" s="4">
        <v>107060</v>
      </c>
      <c r="DZ11" s="4">
        <v>104290</v>
      </c>
      <c r="EA11" s="4">
        <v>9501539</v>
      </c>
    </row>
    <row r="12" spans="1:131" x14ac:dyDescent="0.25">
      <c r="A12" s="565" t="s">
        <v>544</v>
      </c>
      <c r="B12" s="4"/>
      <c r="C12" s="4">
        <v>83160</v>
      </c>
      <c r="D12" s="4">
        <v>84560</v>
      </c>
      <c r="E12" s="4">
        <v>85950</v>
      </c>
      <c r="F12" s="4">
        <v>88250</v>
      </c>
      <c r="G12" s="4">
        <v>89570</v>
      </c>
      <c r="H12" s="4"/>
      <c r="I12" s="4">
        <v>89580</v>
      </c>
      <c r="J12" s="4">
        <v>88100</v>
      </c>
      <c r="K12" s="4">
        <v>88100</v>
      </c>
      <c r="L12" s="4">
        <v>89250</v>
      </c>
      <c r="M12" s="4">
        <v>92020</v>
      </c>
      <c r="N12" s="4">
        <v>93400</v>
      </c>
      <c r="O12" s="4">
        <v>93400</v>
      </c>
      <c r="P12" s="4">
        <v>92020</v>
      </c>
      <c r="Q12" s="4"/>
      <c r="R12" s="4">
        <v>90170</v>
      </c>
      <c r="S12" s="4">
        <v>92010</v>
      </c>
      <c r="T12" s="4">
        <v>93890</v>
      </c>
      <c r="U12" s="4">
        <v>95280</v>
      </c>
      <c r="V12" s="4">
        <v>95280</v>
      </c>
      <c r="W12" s="4">
        <v>92510</v>
      </c>
      <c r="X12" s="4">
        <v>86970</v>
      </c>
      <c r="Y12" s="4">
        <v>79560</v>
      </c>
      <c r="Z12" s="4">
        <v>79685</v>
      </c>
      <c r="AA12" s="4">
        <v>79685</v>
      </c>
      <c r="AB12" s="4">
        <v>81155</v>
      </c>
      <c r="AC12" s="4">
        <v>82545</v>
      </c>
      <c r="AD12" s="4">
        <v>83465</v>
      </c>
      <c r="AE12" s="4">
        <v>85865</v>
      </c>
      <c r="AF12" s="4">
        <v>86695</v>
      </c>
      <c r="AG12" s="4">
        <v>87615</v>
      </c>
      <c r="AH12" s="4">
        <v>89465</v>
      </c>
      <c r="AI12" s="4"/>
      <c r="AJ12" s="4">
        <v>89365</v>
      </c>
      <c r="AK12" s="4"/>
      <c r="AL12" s="4">
        <v>89365</v>
      </c>
      <c r="AM12" s="4"/>
      <c r="AN12" s="4">
        <v>87517</v>
      </c>
      <c r="AO12" s="4">
        <v>85667</v>
      </c>
      <c r="AP12" s="4">
        <v>82900</v>
      </c>
      <c r="AQ12" s="4">
        <v>82830</v>
      </c>
      <c r="AR12" s="4">
        <v>84220</v>
      </c>
      <c r="AS12" s="4">
        <v>84210</v>
      </c>
      <c r="AT12" s="4">
        <v>85600</v>
      </c>
      <c r="AU12" s="4"/>
      <c r="AV12" s="4">
        <v>86520</v>
      </c>
      <c r="AW12" s="4">
        <v>87450</v>
      </c>
      <c r="AX12" s="4">
        <v>87440</v>
      </c>
      <c r="AY12" s="4">
        <v>84670</v>
      </c>
      <c r="AZ12" s="4">
        <v>81900</v>
      </c>
      <c r="BA12" s="4">
        <v>80980</v>
      </c>
      <c r="BB12" s="4"/>
      <c r="BC12" s="4">
        <v>79130</v>
      </c>
      <c r="BD12" s="4">
        <v>77750</v>
      </c>
      <c r="BE12" s="4">
        <v>75900</v>
      </c>
      <c r="BF12" s="4">
        <v>75900</v>
      </c>
      <c r="BG12" s="4"/>
      <c r="BH12" s="4">
        <v>76820</v>
      </c>
      <c r="BI12" s="4">
        <v>76820</v>
      </c>
      <c r="BJ12" s="4">
        <v>75900</v>
      </c>
      <c r="BK12" s="4">
        <v>74520</v>
      </c>
      <c r="BL12" s="4">
        <v>73150</v>
      </c>
      <c r="BM12" s="4">
        <v>72230</v>
      </c>
      <c r="BN12" s="4">
        <v>69470</v>
      </c>
      <c r="BO12" s="4">
        <v>66700</v>
      </c>
      <c r="BP12" s="4">
        <v>66700</v>
      </c>
      <c r="BQ12" s="4"/>
      <c r="BR12" s="4">
        <v>67630</v>
      </c>
      <c r="BS12" s="4">
        <v>70410</v>
      </c>
      <c r="BT12" s="4"/>
      <c r="BU12" s="4">
        <v>72260</v>
      </c>
      <c r="BV12" s="4">
        <v>74080</v>
      </c>
      <c r="BW12" s="4"/>
      <c r="BX12" s="4">
        <v>75470</v>
      </c>
      <c r="BY12" s="4"/>
      <c r="BZ12" s="4">
        <v>74360</v>
      </c>
      <c r="CA12" s="4">
        <v>73440</v>
      </c>
      <c r="CB12" s="4"/>
      <c r="CC12" s="4"/>
      <c r="CD12" s="4">
        <v>73440</v>
      </c>
      <c r="CE12" s="4">
        <v>74370</v>
      </c>
      <c r="CF12" s="4">
        <v>75310</v>
      </c>
      <c r="CG12" s="4">
        <v>77620</v>
      </c>
      <c r="CH12" s="4">
        <v>79010</v>
      </c>
      <c r="CI12" s="4">
        <v>80400</v>
      </c>
      <c r="CJ12" s="4">
        <v>83180</v>
      </c>
      <c r="CK12" s="4">
        <v>85030</v>
      </c>
      <c r="CL12" s="4">
        <v>88730</v>
      </c>
      <c r="CM12" s="4"/>
      <c r="CN12" s="4">
        <v>93350</v>
      </c>
      <c r="CO12" s="4">
        <v>93350</v>
      </c>
      <c r="CP12" s="4"/>
      <c r="CQ12" s="4"/>
      <c r="CR12" s="4">
        <v>94280</v>
      </c>
      <c r="CS12" s="4">
        <v>96180</v>
      </c>
      <c r="CT12" s="4">
        <v>96180</v>
      </c>
      <c r="CU12" s="4">
        <v>98030</v>
      </c>
      <c r="CV12" s="4">
        <v>100810</v>
      </c>
      <c r="CW12" s="4">
        <v>105430</v>
      </c>
      <c r="CX12" s="4"/>
      <c r="CY12" s="4">
        <v>111890</v>
      </c>
      <c r="CZ12" s="4">
        <v>114670</v>
      </c>
      <c r="DA12" s="4"/>
      <c r="DB12" s="4">
        <v>114680</v>
      </c>
      <c r="DC12" s="4">
        <v>111910</v>
      </c>
      <c r="DD12" s="4">
        <v>110070</v>
      </c>
      <c r="DE12" s="4">
        <v>106840</v>
      </c>
      <c r="DF12" s="4">
        <v>104070</v>
      </c>
      <c r="DG12" s="4">
        <v>101290</v>
      </c>
      <c r="DH12" s="4">
        <v>99450</v>
      </c>
      <c r="DI12" s="4">
        <v>98440</v>
      </c>
      <c r="DJ12" s="4">
        <v>98430</v>
      </c>
      <c r="DK12" s="4"/>
      <c r="DL12" s="4">
        <v>100280</v>
      </c>
      <c r="DM12" s="4">
        <v>101670</v>
      </c>
      <c r="DN12" s="4">
        <v>103980</v>
      </c>
      <c r="DO12" s="4"/>
      <c r="DP12" s="4">
        <v>105830</v>
      </c>
      <c r="DQ12" s="4">
        <v>105840</v>
      </c>
      <c r="DR12" s="4">
        <v>106770</v>
      </c>
      <c r="DS12" s="4">
        <v>109080</v>
      </c>
      <c r="DT12" s="4">
        <v>110930</v>
      </c>
      <c r="DU12" s="4">
        <v>116480</v>
      </c>
      <c r="DV12" s="4">
        <v>118310</v>
      </c>
      <c r="DW12" s="4">
        <v>116470</v>
      </c>
      <c r="DX12" s="4">
        <v>112820</v>
      </c>
      <c r="DY12" s="4">
        <v>108210</v>
      </c>
      <c r="DZ12" s="4">
        <v>105440</v>
      </c>
      <c r="EA12" s="4">
        <v>9577029</v>
      </c>
    </row>
    <row r="13" spans="1:131" x14ac:dyDescent="0.25">
      <c r="A13" s="565" t="s">
        <v>542</v>
      </c>
      <c r="B13" s="4"/>
      <c r="C13" s="4">
        <v>83420</v>
      </c>
      <c r="D13" s="4">
        <v>84820</v>
      </c>
      <c r="E13" s="4">
        <v>86210</v>
      </c>
      <c r="F13" s="4">
        <v>88510</v>
      </c>
      <c r="G13" s="4">
        <v>91220</v>
      </c>
      <c r="H13" s="4"/>
      <c r="I13" s="4">
        <v>91220</v>
      </c>
      <c r="J13" s="4">
        <v>89740</v>
      </c>
      <c r="K13" s="4">
        <v>89740</v>
      </c>
      <c r="L13" s="4">
        <v>91220</v>
      </c>
      <c r="M13" s="4">
        <v>94000</v>
      </c>
      <c r="N13" s="4">
        <v>95374</v>
      </c>
      <c r="O13" s="4">
        <v>95380</v>
      </c>
      <c r="P13" s="4">
        <v>94000</v>
      </c>
      <c r="Q13" s="4"/>
      <c r="R13" s="4">
        <v>92150</v>
      </c>
      <c r="S13" s="4">
        <v>93990</v>
      </c>
      <c r="T13" s="4">
        <v>96320</v>
      </c>
      <c r="U13" s="4">
        <v>97710</v>
      </c>
      <c r="V13" s="4">
        <v>97710</v>
      </c>
      <c r="W13" s="4">
        <v>94940</v>
      </c>
      <c r="X13" s="4">
        <v>89400</v>
      </c>
      <c r="Y13" s="4">
        <v>82050</v>
      </c>
      <c r="Z13" s="4">
        <v>82175</v>
      </c>
      <c r="AA13" s="4">
        <v>82175</v>
      </c>
      <c r="AB13" s="4">
        <v>83655</v>
      </c>
      <c r="AC13" s="4">
        <v>85035</v>
      </c>
      <c r="AD13" s="4">
        <v>85955</v>
      </c>
      <c r="AE13" s="4">
        <v>87545</v>
      </c>
      <c r="AF13" s="4">
        <v>88365</v>
      </c>
      <c r="AG13" s="4">
        <v>89295</v>
      </c>
      <c r="AH13" s="4">
        <v>90945</v>
      </c>
      <c r="AI13" s="4"/>
      <c r="AJ13" s="4">
        <v>90845</v>
      </c>
      <c r="AK13" s="4"/>
      <c r="AL13" s="4">
        <v>90645</v>
      </c>
      <c r="AM13" s="4"/>
      <c r="AN13" s="4">
        <v>88797</v>
      </c>
      <c r="AO13" s="4">
        <v>86947</v>
      </c>
      <c r="AP13" s="4">
        <v>84170</v>
      </c>
      <c r="AQ13" s="4">
        <v>84110</v>
      </c>
      <c r="AR13" s="4">
        <v>84850</v>
      </c>
      <c r="AS13" s="4">
        <v>84780</v>
      </c>
      <c r="AT13" s="4">
        <v>86170</v>
      </c>
      <c r="AU13" s="4"/>
      <c r="AV13" s="4">
        <v>87090</v>
      </c>
      <c r="AW13" s="4">
        <v>88020</v>
      </c>
      <c r="AX13" s="4">
        <v>88010</v>
      </c>
      <c r="AY13" s="4">
        <v>84320</v>
      </c>
      <c r="AZ13" s="4">
        <v>81540</v>
      </c>
      <c r="BA13" s="4">
        <v>80620</v>
      </c>
      <c r="BB13" s="4"/>
      <c r="BC13" s="4">
        <v>78770</v>
      </c>
      <c r="BD13" s="4">
        <v>77390</v>
      </c>
      <c r="BE13" s="4">
        <v>75080</v>
      </c>
      <c r="BF13" s="4">
        <v>75080</v>
      </c>
      <c r="BG13" s="4"/>
      <c r="BH13" s="4">
        <v>76000</v>
      </c>
      <c r="BI13" s="4">
        <v>76000</v>
      </c>
      <c r="BJ13" s="4">
        <v>75540</v>
      </c>
      <c r="BK13" s="4">
        <v>74620</v>
      </c>
      <c r="BL13" s="4">
        <v>73250</v>
      </c>
      <c r="BM13" s="4">
        <v>72330</v>
      </c>
      <c r="BN13" s="4">
        <v>70500</v>
      </c>
      <c r="BO13" s="4">
        <v>67730</v>
      </c>
      <c r="BP13" s="4">
        <v>67730</v>
      </c>
      <c r="BQ13" s="4"/>
      <c r="BR13" s="4">
        <v>68660</v>
      </c>
      <c r="BS13" s="4">
        <v>71440</v>
      </c>
      <c r="BT13" s="4"/>
      <c r="BU13" s="4">
        <v>73750</v>
      </c>
      <c r="BV13" s="4">
        <v>75570</v>
      </c>
      <c r="BW13" s="4"/>
      <c r="BX13" s="4">
        <v>76960</v>
      </c>
      <c r="BY13" s="4"/>
      <c r="BZ13" s="4">
        <v>76030</v>
      </c>
      <c r="CA13" s="4">
        <v>75110</v>
      </c>
      <c r="CB13" s="4"/>
      <c r="CC13" s="4"/>
      <c r="CD13" s="4">
        <v>75110</v>
      </c>
      <c r="CE13" s="4">
        <v>76500</v>
      </c>
      <c r="CF13" s="4">
        <v>77900</v>
      </c>
      <c r="CG13" s="4">
        <v>80680</v>
      </c>
      <c r="CH13" s="4">
        <v>82070</v>
      </c>
      <c r="CI13" s="4">
        <v>83920</v>
      </c>
      <c r="CJ13" s="4">
        <v>86700</v>
      </c>
      <c r="CK13" s="4">
        <v>88550</v>
      </c>
      <c r="CL13" s="4">
        <v>92250</v>
      </c>
      <c r="CM13" s="4"/>
      <c r="CN13" s="4">
        <v>96870</v>
      </c>
      <c r="CO13" s="4">
        <v>96870</v>
      </c>
      <c r="CP13" s="4"/>
      <c r="CQ13" s="4"/>
      <c r="CR13" s="4">
        <v>97800</v>
      </c>
      <c r="CS13" s="4">
        <v>99180</v>
      </c>
      <c r="CT13" s="4">
        <v>99180</v>
      </c>
      <c r="CU13" s="4">
        <v>101030</v>
      </c>
      <c r="CV13" s="4">
        <v>103810</v>
      </c>
      <c r="CW13" s="4">
        <v>108430</v>
      </c>
      <c r="CX13" s="4"/>
      <c r="CY13" s="4">
        <v>114890</v>
      </c>
      <c r="CZ13" s="4">
        <v>117670</v>
      </c>
      <c r="DA13" s="4"/>
      <c r="DB13" s="4">
        <v>117680</v>
      </c>
      <c r="DC13" s="4">
        <v>114910</v>
      </c>
      <c r="DD13" s="4">
        <v>113070</v>
      </c>
      <c r="DE13" s="4">
        <v>109840</v>
      </c>
      <c r="DF13" s="4">
        <v>107070</v>
      </c>
      <c r="DG13" s="4">
        <v>104290</v>
      </c>
      <c r="DH13" s="4">
        <v>102450</v>
      </c>
      <c r="DI13" s="4">
        <v>101530</v>
      </c>
      <c r="DJ13" s="4">
        <v>101520</v>
      </c>
      <c r="DK13" s="4"/>
      <c r="DL13" s="4">
        <v>103370</v>
      </c>
      <c r="DM13" s="4">
        <v>104760</v>
      </c>
      <c r="DN13" s="4">
        <v>106610</v>
      </c>
      <c r="DO13" s="4"/>
      <c r="DP13" s="4">
        <v>108460</v>
      </c>
      <c r="DQ13" s="4">
        <v>108470</v>
      </c>
      <c r="DR13" s="4">
        <v>109400</v>
      </c>
      <c r="DS13" s="4">
        <v>111710</v>
      </c>
      <c r="DT13" s="4">
        <v>113560</v>
      </c>
      <c r="DU13" s="4">
        <v>119110</v>
      </c>
      <c r="DV13" s="4">
        <v>120940</v>
      </c>
      <c r="DW13" s="4">
        <v>119100</v>
      </c>
      <c r="DX13" s="4">
        <v>115450</v>
      </c>
      <c r="DY13" s="4">
        <v>110840</v>
      </c>
      <c r="DZ13" s="4">
        <v>108070</v>
      </c>
      <c r="EA13" s="4">
        <v>9774343</v>
      </c>
    </row>
    <row r="14" spans="1:131" x14ac:dyDescent="0.25">
      <c r="A14" s="565" t="s">
        <v>561</v>
      </c>
      <c r="B14" s="4">
        <v>311500</v>
      </c>
      <c r="C14" s="4">
        <v>724210</v>
      </c>
      <c r="D14" s="4">
        <v>735370</v>
      </c>
      <c r="E14" s="4">
        <v>742800</v>
      </c>
      <c r="F14" s="4">
        <v>766940</v>
      </c>
      <c r="G14" s="4">
        <v>783840</v>
      </c>
      <c r="H14" s="4">
        <v>86400</v>
      </c>
      <c r="I14" s="4">
        <v>787570</v>
      </c>
      <c r="J14" s="4">
        <v>789800</v>
      </c>
      <c r="K14" s="4">
        <v>797200</v>
      </c>
      <c r="L14" s="4">
        <v>813830</v>
      </c>
      <c r="M14" s="4">
        <v>837920</v>
      </c>
      <c r="N14" s="4">
        <v>844774</v>
      </c>
      <c r="O14" s="4">
        <v>844830</v>
      </c>
      <c r="P14" s="4">
        <v>837910</v>
      </c>
      <c r="Q14" s="4">
        <v>79990</v>
      </c>
      <c r="R14" s="4">
        <v>828650</v>
      </c>
      <c r="S14" s="4">
        <v>838290</v>
      </c>
      <c r="T14" s="4">
        <v>848260</v>
      </c>
      <c r="U14" s="4">
        <v>860740</v>
      </c>
      <c r="V14" s="4">
        <v>860770</v>
      </c>
      <c r="W14" s="4">
        <v>829790</v>
      </c>
      <c r="X14" s="4">
        <v>779920</v>
      </c>
      <c r="Y14" s="4">
        <v>729590</v>
      </c>
      <c r="Z14" s="4">
        <v>726675</v>
      </c>
      <c r="AA14" s="4">
        <v>718455</v>
      </c>
      <c r="AB14" s="4">
        <v>327510</v>
      </c>
      <c r="AC14" s="4">
        <v>729835</v>
      </c>
      <c r="AD14" s="4">
        <v>734895</v>
      </c>
      <c r="AE14" s="4">
        <v>342580</v>
      </c>
      <c r="AF14" s="4">
        <v>346070</v>
      </c>
      <c r="AG14" s="4">
        <v>349770</v>
      </c>
      <c r="AH14" s="4">
        <v>755125</v>
      </c>
      <c r="AI14" s="4">
        <v>393365</v>
      </c>
      <c r="AJ14" s="4">
        <v>740705</v>
      </c>
      <c r="AK14" s="4">
        <v>383245</v>
      </c>
      <c r="AL14" s="4">
        <v>732780</v>
      </c>
      <c r="AM14" s="4">
        <v>369882</v>
      </c>
      <c r="AN14" s="4">
        <v>709749</v>
      </c>
      <c r="AO14" s="4">
        <v>341678</v>
      </c>
      <c r="AP14" s="4">
        <v>683869</v>
      </c>
      <c r="AQ14" s="4">
        <v>330320</v>
      </c>
      <c r="AR14" s="4">
        <v>687245</v>
      </c>
      <c r="AS14" s="4">
        <v>686729</v>
      </c>
      <c r="AT14" s="4">
        <v>699209</v>
      </c>
      <c r="AU14" s="4">
        <v>356581</v>
      </c>
      <c r="AV14" s="4">
        <v>687114</v>
      </c>
      <c r="AW14" s="4">
        <v>695429</v>
      </c>
      <c r="AX14" s="4">
        <v>703690</v>
      </c>
      <c r="AY14" s="4">
        <v>684300</v>
      </c>
      <c r="AZ14" s="4">
        <v>667650</v>
      </c>
      <c r="BA14" s="4">
        <v>321280</v>
      </c>
      <c r="BB14" s="4">
        <v>66880</v>
      </c>
      <c r="BC14" s="4">
        <v>649670</v>
      </c>
      <c r="BD14" s="4">
        <v>639530</v>
      </c>
      <c r="BE14" s="4">
        <v>631680</v>
      </c>
      <c r="BF14" s="4">
        <v>569400</v>
      </c>
      <c r="BG14" s="4">
        <v>65030</v>
      </c>
      <c r="BH14" s="4">
        <v>643210</v>
      </c>
      <c r="BI14" s="4">
        <v>304180</v>
      </c>
      <c r="BJ14" s="4">
        <v>573570</v>
      </c>
      <c r="BK14" s="4">
        <v>636160</v>
      </c>
      <c r="BL14" s="4">
        <v>290420</v>
      </c>
      <c r="BM14" s="4">
        <v>627050</v>
      </c>
      <c r="BN14" s="4">
        <v>611460</v>
      </c>
      <c r="BO14" s="4">
        <v>585610</v>
      </c>
      <c r="BP14" s="4">
        <v>265550</v>
      </c>
      <c r="BQ14" s="4">
        <v>312680</v>
      </c>
      <c r="BR14" s="4">
        <v>587520</v>
      </c>
      <c r="BS14" s="4">
        <v>603910</v>
      </c>
      <c r="BT14" s="4">
        <v>330210</v>
      </c>
      <c r="BU14" s="4">
        <v>624280</v>
      </c>
      <c r="BV14" s="4">
        <v>638820</v>
      </c>
      <c r="BW14" s="4">
        <v>143710</v>
      </c>
      <c r="BX14" s="4">
        <v>657350</v>
      </c>
      <c r="BY14" s="4">
        <v>68370</v>
      </c>
      <c r="BZ14" s="4">
        <v>297450</v>
      </c>
      <c r="CA14" s="4">
        <v>650500</v>
      </c>
      <c r="CB14" s="4">
        <v>289740</v>
      </c>
      <c r="CC14" s="4">
        <v>362290</v>
      </c>
      <c r="CD14" s="4">
        <v>362610</v>
      </c>
      <c r="CE14" s="4">
        <v>666740</v>
      </c>
      <c r="CF14" s="4">
        <v>302170</v>
      </c>
      <c r="CG14" s="4">
        <v>311880</v>
      </c>
      <c r="CH14" s="4">
        <v>691390</v>
      </c>
      <c r="CI14" s="4">
        <v>702060</v>
      </c>
      <c r="CJ14" s="4">
        <v>717830</v>
      </c>
      <c r="CK14" s="4">
        <v>739130</v>
      </c>
      <c r="CL14" s="4">
        <v>356780</v>
      </c>
      <c r="CM14" s="4">
        <v>79500</v>
      </c>
      <c r="CN14" s="4">
        <v>784430</v>
      </c>
      <c r="CO14" s="4">
        <v>375260</v>
      </c>
      <c r="CP14" s="4">
        <v>81580</v>
      </c>
      <c r="CQ14" s="4">
        <v>81350</v>
      </c>
      <c r="CR14" s="4">
        <v>787320</v>
      </c>
      <c r="CS14" s="4">
        <v>386140</v>
      </c>
      <c r="CT14" s="4">
        <v>386140</v>
      </c>
      <c r="CU14" s="4">
        <v>801790</v>
      </c>
      <c r="CV14" s="4">
        <v>836820</v>
      </c>
      <c r="CW14" s="4">
        <v>872880</v>
      </c>
      <c r="CX14" s="4">
        <v>457970</v>
      </c>
      <c r="CY14" s="4">
        <v>923220</v>
      </c>
      <c r="CZ14" s="4">
        <v>948230</v>
      </c>
      <c r="DA14" s="4">
        <v>502400</v>
      </c>
      <c r="DB14" s="4">
        <v>955700</v>
      </c>
      <c r="DC14" s="4">
        <v>932280</v>
      </c>
      <c r="DD14" s="4">
        <v>913870</v>
      </c>
      <c r="DE14" s="4">
        <v>885260</v>
      </c>
      <c r="DF14" s="4">
        <v>866820</v>
      </c>
      <c r="DG14" s="4">
        <v>849190</v>
      </c>
      <c r="DH14" s="4">
        <v>399100</v>
      </c>
      <c r="DI14" s="4">
        <v>830700</v>
      </c>
      <c r="DJ14" s="4">
        <v>830610</v>
      </c>
      <c r="DK14" s="4">
        <v>445030</v>
      </c>
      <c r="DL14" s="4">
        <v>490930</v>
      </c>
      <c r="DM14" s="4">
        <v>858860</v>
      </c>
      <c r="DN14" s="4">
        <v>870870</v>
      </c>
      <c r="DO14" s="4">
        <v>460330</v>
      </c>
      <c r="DP14" s="4">
        <v>888490</v>
      </c>
      <c r="DQ14" s="4">
        <v>423550</v>
      </c>
      <c r="DR14" s="4">
        <v>893220</v>
      </c>
      <c r="DS14" s="4">
        <v>436510</v>
      </c>
      <c r="DT14" s="4">
        <v>918660</v>
      </c>
      <c r="DU14" s="4">
        <v>969070</v>
      </c>
      <c r="DV14" s="4">
        <v>473430</v>
      </c>
      <c r="DW14" s="4">
        <v>976800</v>
      </c>
      <c r="DX14" s="4">
        <v>947630</v>
      </c>
      <c r="DY14" s="4">
        <v>917200</v>
      </c>
      <c r="DZ14" s="4">
        <v>902440</v>
      </c>
      <c r="EA14" s="4">
        <v>78485029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N47"/>
  <sheetViews>
    <sheetView topLeftCell="A7" workbookViewId="0">
      <selection activeCell="M22" sqref="M22"/>
    </sheetView>
  </sheetViews>
  <sheetFormatPr defaultRowHeight="15" x14ac:dyDescent="0.25"/>
  <cols>
    <col min="1" max="1" width="28.85546875" style="361" bestFit="1" customWidth="1"/>
    <col min="2" max="3" width="19" style="361" bestFit="1" customWidth="1"/>
    <col min="4" max="4" width="11" style="361" bestFit="1" customWidth="1"/>
    <col min="5" max="5" width="9.140625" style="361"/>
    <col min="6" max="6" width="11.5703125" style="361" customWidth="1"/>
    <col min="7" max="7" width="16.28515625" style="361" customWidth="1"/>
    <col min="8" max="8" width="11" style="361" bestFit="1" customWidth="1"/>
    <col min="9" max="9" width="12.140625" style="361" bestFit="1" customWidth="1"/>
    <col min="10" max="10" width="10.7109375" style="361" customWidth="1"/>
    <col min="11" max="11" width="10.5703125" style="361" customWidth="1"/>
    <col min="12" max="13" width="9.140625" style="361"/>
    <col min="14" max="14" width="12.5703125" style="361" bestFit="1" customWidth="1"/>
    <col min="15" max="19" width="12.5703125" style="361" customWidth="1"/>
    <col min="20" max="20" width="9.140625" style="361"/>
    <col min="21" max="21" width="0" style="361" hidden="1" customWidth="1"/>
    <col min="22" max="22" width="12.5703125" style="432" hidden="1" customWidth="1"/>
    <col min="23" max="24" width="9.140625" style="432" hidden="1" customWidth="1"/>
    <col min="25" max="25" width="11.7109375" style="432" hidden="1" customWidth="1"/>
    <col min="26" max="40" width="9.140625" style="432" hidden="1" customWidth="1"/>
    <col min="41" max="41" width="0" style="361" hidden="1" customWidth="1"/>
    <col min="42" max="16384" width="9.140625" style="361"/>
  </cols>
  <sheetData>
    <row r="1" spans="1:40" ht="23.25" customHeight="1" x14ac:dyDescent="0.25">
      <c r="A1" s="425" t="s">
        <v>376</v>
      </c>
      <c r="B1" s="426" t="s">
        <v>377</v>
      </c>
      <c r="C1" s="426" t="s">
        <v>378</v>
      </c>
      <c r="E1" s="427" t="s">
        <v>379</v>
      </c>
      <c r="F1" s="427" t="s">
        <v>380</v>
      </c>
      <c r="G1" s="427" t="s">
        <v>381</v>
      </c>
      <c r="H1" s="428" t="s">
        <v>382</v>
      </c>
      <c r="I1" s="429">
        <v>75</v>
      </c>
      <c r="K1" s="430"/>
      <c r="L1" s="431"/>
      <c r="V1" s="432" t="s">
        <v>383</v>
      </c>
    </row>
    <row r="2" spans="1:40" x14ac:dyDescent="0.25">
      <c r="A2" s="433" t="s">
        <v>384</v>
      </c>
      <c r="B2" s="434" t="e">
        <f>C2*$I$1</f>
        <v>#REF!</v>
      </c>
      <c r="C2" s="361" t="e">
        <f>((E2*535)+(F2*G3))/(535+G3)</f>
        <v>#REF!</v>
      </c>
      <c r="E2" s="435">
        <v>384</v>
      </c>
      <c r="F2" s="435">
        <f>$G$2*49.2</f>
        <v>402.45600000000002</v>
      </c>
      <c r="G2" s="436">
        <v>8.18</v>
      </c>
      <c r="V2" s="432" t="s">
        <v>385</v>
      </c>
      <c r="Y2" s="432" t="s">
        <v>386</v>
      </c>
      <c r="AB2" s="432" t="s">
        <v>387</v>
      </c>
      <c r="AG2" s="432" t="s">
        <v>387</v>
      </c>
      <c r="AJ2" s="432" t="s">
        <v>386</v>
      </c>
      <c r="AM2" s="432" t="s">
        <v>385</v>
      </c>
    </row>
    <row r="3" spans="1:40" x14ac:dyDescent="0.25">
      <c r="A3" s="433" t="s">
        <v>221</v>
      </c>
      <c r="B3" s="434">
        <f t="shared" ref="B3:B16" si="0">C3*$I$1</f>
        <v>37275</v>
      </c>
      <c r="C3" s="361">
        <v>497</v>
      </c>
      <c r="D3" s="434"/>
      <c r="E3" s="1005"/>
      <c r="F3" s="1005"/>
      <c r="G3" s="437" t="e">
        <f>IF(#REF!="Scenario 1",244,IF(#REF!="Scenario 2",480,IF(#REF!="Scenario 3",721,0)))</f>
        <v>#REF!</v>
      </c>
      <c r="H3" s="434" t="s">
        <v>388</v>
      </c>
      <c r="V3" s="432" t="s">
        <v>389</v>
      </c>
      <c r="W3" s="432" t="s">
        <v>390</v>
      </c>
      <c r="Y3" s="432" t="s">
        <v>389</v>
      </c>
      <c r="Z3" s="432" t="s">
        <v>390</v>
      </c>
      <c r="AB3" s="432" t="s">
        <v>389</v>
      </c>
      <c r="AC3" s="432" t="s">
        <v>390</v>
      </c>
      <c r="AG3" s="432" t="s">
        <v>389</v>
      </c>
      <c r="AH3" s="432" t="s">
        <v>391</v>
      </c>
      <c r="AJ3" s="432" t="s">
        <v>389</v>
      </c>
      <c r="AK3" s="432" t="s">
        <v>391</v>
      </c>
      <c r="AM3" s="432" t="s">
        <v>389</v>
      </c>
      <c r="AN3" s="432" t="s">
        <v>391</v>
      </c>
    </row>
    <row r="4" spans="1:40" x14ac:dyDescent="0.25">
      <c r="A4" s="433" t="s">
        <v>392</v>
      </c>
      <c r="B4" s="434">
        <f t="shared" si="0"/>
        <v>34425</v>
      </c>
      <c r="C4" s="361">
        <v>459</v>
      </c>
      <c r="W4" s="432" t="e">
        <f>#REF!</f>
        <v>#REF!</v>
      </c>
      <c r="Z4" s="432" t="e">
        <f>#REF!</f>
        <v>#REF!</v>
      </c>
      <c r="AC4" s="432" t="e">
        <f>#REF!</f>
        <v>#REF!</v>
      </c>
      <c r="AH4" s="432" t="e">
        <f>#REF!</f>
        <v>#REF!</v>
      </c>
      <c r="AK4" s="432" t="e">
        <f>#REF!</f>
        <v>#REF!</v>
      </c>
      <c r="AN4" s="432" t="e">
        <f>#REF!</f>
        <v>#REF!</v>
      </c>
    </row>
    <row r="5" spans="1:40" x14ac:dyDescent="0.25">
      <c r="A5" s="433" t="s">
        <v>393</v>
      </c>
      <c r="B5" s="434">
        <f t="shared" si="0"/>
        <v>35625</v>
      </c>
      <c r="C5" s="361">
        <v>475</v>
      </c>
      <c r="V5" s="438">
        <v>6</v>
      </c>
      <c r="W5" s="432">
        <v>255.34379085390447</v>
      </c>
      <c r="Y5" s="438">
        <v>6</v>
      </c>
      <c r="Z5" s="432">
        <v>1102.4073251713721</v>
      </c>
      <c r="AB5" s="438">
        <v>6</v>
      </c>
      <c r="AC5" s="432">
        <v>1328.1082660697243</v>
      </c>
      <c r="AG5" s="438">
        <v>6</v>
      </c>
      <c r="AH5" s="432">
        <v>4812.41071644366</v>
      </c>
      <c r="AJ5" s="438">
        <v>6</v>
      </c>
      <c r="AK5" s="432">
        <v>4586.7097755453078</v>
      </c>
      <c r="AM5" s="438">
        <v>6</v>
      </c>
      <c r="AN5" s="432">
        <v>3739.6462412278402</v>
      </c>
    </row>
    <row r="6" spans="1:40" x14ac:dyDescent="0.25">
      <c r="A6" s="439" t="s">
        <v>11</v>
      </c>
      <c r="B6" s="434">
        <f t="shared" si="0"/>
        <v>79050</v>
      </c>
      <c r="C6" s="361">
        <v>1054</v>
      </c>
      <c r="V6" s="438">
        <v>6.5</v>
      </c>
      <c r="W6" s="432">
        <v>187.37508149429686</v>
      </c>
      <c r="Y6" s="438">
        <v>6.5</v>
      </c>
      <c r="Z6" s="432">
        <v>1008.1759951221106</v>
      </c>
      <c r="AB6" s="438">
        <v>6.5</v>
      </c>
      <c r="AC6" s="432">
        <v>1218.5032690253897</v>
      </c>
      <c r="AG6" s="438">
        <v>6.5</v>
      </c>
      <c r="AH6" s="432">
        <v>4702.8057193993254</v>
      </c>
      <c r="AJ6" s="438">
        <v>6.5</v>
      </c>
      <c r="AK6" s="432">
        <v>4492.4784454960463</v>
      </c>
      <c r="AM6" s="438">
        <v>6.5</v>
      </c>
      <c r="AN6" s="432">
        <v>3671.6775318682326</v>
      </c>
    </row>
    <row r="7" spans="1:40" x14ac:dyDescent="0.25">
      <c r="A7" s="433" t="s">
        <v>126</v>
      </c>
      <c r="B7" s="434">
        <f t="shared" si="0"/>
        <v>62250</v>
      </c>
      <c r="C7" s="361">
        <v>830</v>
      </c>
      <c r="V7" s="438">
        <v>7</v>
      </c>
      <c r="W7" s="432">
        <v>119.40637213469108</v>
      </c>
      <c r="Y7" s="438">
        <v>7</v>
      </c>
      <c r="Z7" s="432">
        <v>913.94466507284915</v>
      </c>
      <c r="AB7" s="438">
        <v>7</v>
      </c>
      <c r="AC7" s="432">
        <v>1108.8982719810533</v>
      </c>
      <c r="AG7" s="438">
        <v>7</v>
      </c>
      <c r="AH7" s="432">
        <v>4593.200722354989</v>
      </c>
      <c r="AJ7" s="438">
        <v>7</v>
      </c>
      <c r="AK7" s="432">
        <v>4398.2471154467848</v>
      </c>
      <c r="AM7" s="438">
        <v>7</v>
      </c>
      <c r="AN7" s="432">
        <v>3603.7088225086268</v>
      </c>
    </row>
    <row r="8" spans="1:40" x14ac:dyDescent="0.25">
      <c r="A8" s="433" t="s">
        <v>394</v>
      </c>
      <c r="B8" s="434">
        <f t="shared" si="0"/>
        <v>24600</v>
      </c>
      <c r="C8" s="361">
        <v>328</v>
      </c>
      <c r="V8" s="438">
        <v>7.5</v>
      </c>
      <c r="W8" s="432">
        <v>51.43766277508621</v>
      </c>
      <c r="Y8" s="438">
        <v>7.5</v>
      </c>
      <c r="Z8" s="432">
        <v>819.71333502359039</v>
      </c>
      <c r="AB8" s="438">
        <v>7.5</v>
      </c>
      <c r="AC8" s="432">
        <v>999.29327493672054</v>
      </c>
      <c r="AG8" s="438">
        <v>7.5</v>
      </c>
      <c r="AH8" s="432">
        <v>4483.5957253106562</v>
      </c>
      <c r="AJ8" s="438">
        <v>7.5</v>
      </c>
      <c r="AK8" s="432">
        <v>4304.0157853975261</v>
      </c>
      <c r="AM8" s="438">
        <v>7.5</v>
      </c>
      <c r="AN8" s="432">
        <v>3535.7401131490219</v>
      </c>
    </row>
    <row r="9" spans="1:40" x14ac:dyDescent="0.25">
      <c r="A9" s="433" t="s">
        <v>179</v>
      </c>
      <c r="B9" s="434">
        <f t="shared" si="0"/>
        <v>56250</v>
      </c>
      <c r="C9" s="361">
        <v>750</v>
      </c>
      <c r="V9" s="438">
        <v>8</v>
      </c>
      <c r="W9" s="432">
        <v>-16.531046584519572</v>
      </c>
      <c r="Y9" s="438">
        <v>8</v>
      </c>
      <c r="Z9" s="432">
        <v>725.48200497432799</v>
      </c>
      <c r="AB9" s="438">
        <v>8</v>
      </c>
      <c r="AC9" s="432">
        <v>889.68827789238412</v>
      </c>
      <c r="AG9" s="438">
        <v>8</v>
      </c>
      <c r="AH9" s="432">
        <v>4373.9907282663198</v>
      </c>
      <c r="AJ9" s="438">
        <v>8</v>
      </c>
      <c r="AK9" s="432">
        <v>4209.7844553482637</v>
      </c>
      <c r="AM9" s="438">
        <v>8</v>
      </c>
      <c r="AN9" s="432">
        <v>3467.7714037894161</v>
      </c>
    </row>
    <row r="10" spans="1:40" x14ac:dyDescent="0.25">
      <c r="A10" s="433" t="s">
        <v>117</v>
      </c>
      <c r="B10" s="434">
        <f t="shared" si="0"/>
        <v>89175</v>
      </c>
      <c r="C10" s="361">
        <v>1189</v>
      </c>
      <c r="V10" s="438">
        <v>8.18</v>
      </c>
      <c r="W10" s="432">
        <v>-40.999781953978527</v>
      </c>
      <c r="Y10" s="438">
        <v>8.18</v>
      </c>
      <c r="Z10" s="432">
        <v>691.55872615659382</v>
      </c>
      <c r="AB10" s="438">
        <v>8.18</v>
      </c>
      <c r="AC10" s="432">
        <v>850.23047895642367</v>
      </c>
      <c r="AG10" s="438">
        <v>8.18</v>
      </c>
      <c r="AH10" s="432">
        <v>4334.5329293303594</v>
      </c>
      <c r="AJ10" s="438">
        <v>8.18</v>
      </c>
      <c r="AK10" s="432">
        <v>4175.8611765305295</v>
      </c>
      <c r="AM10" s="438">
        <v>8.18</v>
      </c>
      <c r="AN10" s="432">
        <v>3443.3026684199572</v>
      </c>
    </row>
    <row r="11" spans="1:40" x14ac:dyDescent="0.25">
      <c r="A11" s="433" t="s">
        <v>118</v>
      </c>
      <c r="B11" s="434">
        <f t="shared" si="0"/>
        <v>40425</v>
      </c>
      <c r="C11" s="361">
        <v>539</v>
      </c>
      <c r="V11" s="438">
        <v>8.5</v>
      </c>
      <c r="W11" s="432">
        <v>-84.499755944127173</v>
      </c>
      <c r="Y11" s="438">
        <v>8.5</v>
      </c>
      <c r="Z11" s="432">
        <v>631.25067492506741</v>
      </c>
      <c r="AB11" s="438">
        <v>8.5</v>
      </c>
      <c r="AC11" s="432">
        <v>780.08328084804953</v>
      </c>
      <c r="AG11" s="438">
        <v>8.5</v>
      </c>
      <c r="AH11" s="432">
        <v>4264.3857312219852</v>
      </c>
      <c r="AJ11" s="438">
        <v>8.5</v>
      </c>
      <c r="AK11" s="432">
        <v>4115.5531252990031</v>
      </c>
      <c r="AM11" s="438">
        <v>8.5</v>
      </c>
      <c r="AN11" s="432">
        <v>3399.8026944298085</v>
      </c>
    </row>
    <row r="12" spans="1:40" x14ac:dyDescent="0.25">
      <c r="A12" s="433" t="s">
        <v>395</v>
      </c>
      <c r="B12" s="434">
        <f t="shared" si="0"/>
        <v>11475</v>
      </c>
      <c r="C12" s="361">
        <v>153</v>
      </c>
      <c r="V12" s="438">
        <v>9</v>
      </c>
      <c r="W12" s="432">
        <v>-152.46846530373114</v>
      </c>
      <c r="Y12" s="438">
        <v>9</v>
      </c>
      <c r="Z12" s="432">
        <v>537.01934487580502</v>
      </c>
      <c r="AB12" s="438">
        <v>9</v>
      </c>
      <c r="AC12" s="432">
        <v>670.47828380371311</v>
      </c>
      <c r="AG12" s="438">
        <v>9</v>
      </c>
      <c r="AH12" s="432">
        <v>4154.7807341776488</v>
      </c>
      <c r="AJ12" s="438">
        <v>9</v>
      </c>
      <c r="AK12" s="432">
        <v>4021.3217952497407</v>
      </c>
      <c r="AM12" s="438">
        <v>9</v>
      </c>
      <c r="AN12" s="432">
        <v>3331.8339850702046</v>
      </c>
    </row>
    <row r="13" spans="1:40" x14ac:dyDescent="0.25">
      <c r="A13" s="433" t="s">
        <v>396</v>
      </c>
      <c r="B13" s="434">
        <f t="shared" si="0"/>
        <v>97500</v>
      </c>
      <c r="C13" s="361">
        <v>1300</v>
      </c>
      <c r="V13" s="438">
        <v>9.5</v>
      </c>
      <c r="W13" s="432">
        <v>-220.43717466333783</v>
      </c>
      <c r="Y13" s="438">
        <v>9.5</v>
      </c>
      <c r="Z13" s="432">
        <v>442.78801482654444</v>
      </c>
      <c r="AB13" s="438">
        <v>9.5</v>
      </c>
      <c r="AC13" s="432">
        <v>560.87328675937852</v>
      </c>
      <c r="AG13" s="438">
        <v>9.5</v>
      </c>
      <c r="AH13" s="432">
        <v>4045.1757371333142</v>
      </c>
      <c r="AJ13" s="438">
        <v>9.5</v>
      </c>
      <c r="AK13" s="432">
        <v>3927.0904652004801</v>
      </c>
      <c r="AM13" s="438">
        <v>9.5</v>
      </c>
      <c r="AN13" s="432">
        <v>3263.8652757105979</v>
      </c>
    </row>
    <row r="14" spans="1:40" x14ac:dyDescent="0.25">
      <c r="A14" s="433" t="s">
        <v>120</v>
      </c>
      <c r="B14" s="434">
        <f t="shared" si="0"/>
        <v>46725</v>
      </c>
      <c r="C14" s="361">
        <v>623</v>
      </c>
      <c r="V14" s="438">
        <v>10</v>
      </c>
      <c r="W14" s="432">
        <v>-288.40588402294361</v>
      </c>
      <c r="Y14" s="438">
        <v>10</v>
      </c>
      <c r="Z14" s="432">
        <v>348.55668477728386</v>
      </c>
      <c r="AB14" s="438">
        <v>10</v>
      </c>
      <c r="AC14" s="432">
        <v>451.26828971504392</v>
      </c>
      <c r="AG14" s="438">
        <v>10</v>
      </c>
      <c r="AH14" s="432">
        <v>3935.5707400889796</v>
      </c>
      <c r="AJ14" s="438">
        <v>10</v>
      </c>
      <c r="AK14" s="432">
        <v>3832.8591351512196</v>
      </c>
      <c r="AM14" s="438">
        <v>10</v>
      </c>
      <c r="AN14" s="432">
        <v>3195.8965663509921</v>
      </c>
    </row>
    <row r="15" spans="1:40" x14ac:dyDescent="0.25">
      <c r="A15" s="433" t="s">
        <v>397</v>
      </c>
      <c r="B15" s="434">
        <f t="shared" si="0"/>
        <v>11475</v>
      </c>
      <c r="C15" s="361">
        <v>153</v>
      </c>
      <c r="V15" s="438">
        <v>10.5</v>
      </c>
      <c r="W15" s="432">
        <v>-356.37459338254939</v>
      </c>
      <c r="Y15" s="438">
        <v>10.5</v>
      </c>
      <c r="Z15" s="432">
        <v>254.32535472802147</v>
      </c>
      <c r="AB15" s="438">
        <v>10.5</v>
      </c>
      <c r="AC15" s="432">
        <v>341.66329267070932</v>
      </c>
      <c r="AG15" s="438">
        <v>10.5</v>
      </c>
      <c r="AH15" s="432">
        <v>3825.965743044645</v>
      </c>
      <c r="AJ15" s="438">
        <v>10.5</v>
      </c>
      <c r="AK15" s="432">
        <v>3738.6278051019572</v>
      </c>
      <c r="AM15" s="438">
        <v>10.5</v>
      </c>
      <c r="AN15" s="432">
        <v>3127.9278569913863</v>
      </c>
    </row>
    <row r="16" spans="1:40" x14ac:dyDescent="0.25">
      <c r="A16" s="433" t="s">
        <v>398</v>
      </c>
      <c r="B16" s="434">
        <f t="shared" si="0"/>
        <v>11475</v>
      </c>
      <c r="C16" s="361">
        <v>153</v>
      </c>
      <c r="V16" s="438">
        <v>11</v>
      </c>
      <c r="W16" s="432">
        <v>-424.34330274215608</v>
      </c>
      <c r="Y16" s="438">
        <v>11</v>
      </c>
      <c r="Z16" s="432">
        <v>160.09402467876089</v>
      </c>
      <c r="AB16" s="438">
        <v>11</v>
      </c>
      <c r="AC16" s="432">
        <v>232.05829562637473</v>
      </c>
      <c r="AG16" s="438">
        <v>11</v>
      </c>
      <c r="AH16" s="432">
        <v>3716.3607460003104</v>
      </c>
      <c r="AJ16" s="438">
        <v>11</v>
      </c>
      <c r="AK16" s="432">
        <v>3644.3964750526966</v>
      </c>
      <c r="AM16" s="438">
        <v>11</v>
      </c>
      <c r="AN16" s="432">
        <v>3059.9591476317796</v>
      </c>
    </row>
    <row r="17" spans="1:40" x14ac:dyDescent="0.25">
      <c r="V17" s="438">
        <v>11.5</v>
      </c>
      <c r="W17" s="432">
        <v>-492.31201210176187</v>
      </c>
      <c r="Y17" s="438">
        <v>11.5</v>
      </c>
      <c r="Z17" s="432">
        <v>65.862694629500311</v>
      </c>
      <c r="AB17" s="438">
        <v>11.5</v>
      </c>
      <c r="AC17" s="432">
        <v>122.45329858203831</v>
      </c>
      <c r="AG17" s="438">
        <v>11.5</v>
      </c>
      <c r="AH17" s="432">
        <v>3606.755748955974</v>
      </c>
      <c r="AJ17" s="438">
        <v>11.5</v>
      </c>
      <c r="AK17" s="432">
        <v>3550.165145003436</v>
      </c>
      <c r="AM17" s="438">
        <v>11.5</v>
      </c>
      <c r="AN17" s="432">
        <v>2991.9904382721738</v>
      </c>
    </row>
    <row r="18" spans="1:40" x14ac:dyDescent="0.25">
      <c r="A18" s="440" t="s">
        <v>399</v>
      </c>
      <c r="G18" s="440" t="s">
        <v>400</v>
      </c>
      <c r="V18" s="438">
        <v>12</v>
      </c>
      <c r="W18" s="432">
        <v>-560.28072146136765</v>
      </c>
      <c r="Y18" s="438">
        <v>12</v>
      </c>
      <c r="Z18" s="432">
        <v>-28.368635419760267</v>
      </c>
      <c r="AB18" s="438">
        <v>12</v>
      </c>
      <c r="AC18" s="432">
        <v>12.848301537703719</v>
      </c>
      <c r="AG18" s="438">
        <v>12</v>
      </c>
      <c r="AH18" s="432">
        <v>3497.1507519116394</v>
      </c>
      <c r="AJ18" s="438">
        <v>12</v>
      </c>
      <c r="AK18" s="432">
        <v>3455.9338149541754</v>
      </c>
      <c r="AM18" s="438">
        <v>12</v>
      </c>
      <c r="AN18" s="432">
        <v>2924.0217289125681</v>
      </c>
    </row>
    <row r="19" spans="1:40" x14ac:dyDescent="0.25">
      <c r="A19" s="425" t="s">
        <v>225</v>
      </c>
      <c r="B19" s="426" t="s">
        <v>356</v>
      </c>
      <c r="C19" s="426" t="s">
        <v>357</v>
      </c>
      <c r="D19" s="426" t="s">
        <v>358</v>
      </c>
      <c r="E19" s="426" t="s">
        <v>221</v>
      </c>
      <c r="F19" s="441"/>
      <c r="G19" s="425" t="s">
        <v>225</v>
      </c>
      <c r="H19" s="426" t="s">
        <v>356</v>
      </c>
      <c r="I19" s="426" t="s">
        <v>357</v>
      </c>
      <c r="J19" s="426" t="s">
        <v>358</v>
      </c>
      <c r="K19" s="426" t="s">
        <v>221</v>
      </c>
      <c r="V19" s="438">
        <v>12.5</v>
      </c>
      <c r="W19" s="432">
        <v>-628.24943082097343</v>
      </c>
      <c r="Y19" s="438">
        <v>12.5</v>
      </c>
      <c r="Z19" s="432">
        <v>-122.59996546902266</v>
      </c>
      <c r="AB19" s="438">
        <v>12.5</v>
      </c>
      <c r="AC19" s="432">
        <v>-96.756695506630876</v>
      </c>
      <c r="AG19" s="438">
        <v>12.5</v>
      </c>
      <c r="AH19" s="432">
        <v>3387.5457548673048</v>
      </c>
      <c r="AJ19" s="438">
        <v>12.5</v>
      </c>
      <c r="AK19" s="432">
        <v>3361.702484904913</v>
      </c>
      <c r="AM19" s="438">
        <v>12.5</v>
      </c>
      <c r="AN19" s="432">
        <v>2856.0530195529623</v>
      </c>
    </row>
    <row r="20" spans="1:40" x14ac:dyDescent="0.25">
      <c r="A20" s="433" t="s">
        <v>219</v>
      </c>
      <c r="B20" s="442">
        <v>0.82</v>
      </c>
      <c r="C20" s="443">
        <v>0.46</v>
      </c>
      <c r="D20" s="442">
        <v>0.33</v>
      </c>
      <c r="E20" s="442">
        <v>0.32</v>
      </c>
      <c r="G20" s="433" t="s">
        <v>219</v>
      </c>
      <c r="H20" s="442">
        <v>0.82</v>
      </c>
      <c r="I20" s="442">
        <v>0.46</v>
      </c>
      <c r="J20" s="442">
        <v>0.33</v>
      </c>
      <c r="K20" s="442">
        <v>0.308</v>
      </c>
      <c r="L20" s="434"/>
      <c r="M20" s="434"/>
      <c r="N20" s="434"/>
      <c r="O20" s="434"/>
      <c r="P20" s="434"/>
      <c r="Q20" s="434"/>
      <c r="R20" s="434"/>
      <c r="S20" s="434"/>
      <c r="V20" s="438">
        <v>13</v>
      </c>
      <c r="W20" s="432">
        <v>-696.21814018057921</v>
      </c>
      <c r="Y20" s="438">
        <v>13</v>
      </c>
      <c r="Z20" s="432">
        <v>-216.83129551828324</v>
      </c>
      <c r="AB20" s="438">
        <v>13</v>
      </c>
      <c r="AC20" s="432">
        <v>-206.36169255096547</v>
      </c>
      <c r="AG20" s="438">
        <v>13</v>
      </c>
      <c r="AH20" s="432">
        <v>3277.9407578229702</v>
      </c>
      <c r="AJ20" s="438">
        <v>13</v>
      </c>
      <c r="AK20" s="432">
        <v>3267.4711548556525</v>
      </c>
      <c r="AM20" s="438">
        <v>13</v>
      </c>
      <c r="AN20" s="432">
        <v>2788.0843101933565</v>
      </c>
    </row>
    <row r="21" spans="1:40" x14ac:dyDescent="0.25">
      <c r="A21" s="433" t="s">
        <v>218</v>
      </c>
      <c r="B21" s="442">
        <v>0.01</v>
      </c>
      <c r="C21" s="443">
        <v>0.24</v>
      </c>
      <c r="D21" s="442">
        <v>0.24</v>
      </c>
      <c r="E21" s="442">
        <v>0.193</v>
      </c>
      <c r="G21" s="433" t="s">
        <v>218</v>
      </c>
      <c r="H21" s="442">
        <v>0.01</v>
      </c>
      <c r="I21" s="442">
        <v>0.24</v>
      </c>
      <c r="J21" s="442">
        <v>0.24</v>
      </c>
      <c r="K21" s="442">
        <v>0.224</v>
      </c>
      <c r="L21" s="434"/>
      <c r="M21" s="434"/>
      <c r="N21" s="434"/>
      <c r="O21" s="434"/>
      <c r="P21" s="434"/>
      <c r="Q21" s="434"/>
      <c r="R21" s="434"/>
      <c r="S21" s="434"/>
      <c r="V21" s="438">
        <v>13.5</v>
      </c>
      <c r="W21" s="432">
        <v>-764.1868495401859</v>
      </c>
      <c r="Y21" s="438">
        <v>13.5</v>
      </c>
      <c r="Z21" s="432">
        <v>-311.06262556754564</v>
      </c>
      <c r="AB21" s="438">
        <v>13.5</v>
      </c>
      <c r="AC21" s="432">
        <v>-315.96668959530007</v>
      </c>
      <c r="AG21" s="438">
        <v>13.5</v>
      </c>
      <c r="AH21" s="432">
        <v>3168.3357607786356</v>
      </c>
      <c r="AJ21" s="438">
        <v>13.5</v>
      </c>
      <c r="AK21" s="432">
        <v>3173.2398248063901</v>
      </c>
      <c r="AM21" s="438">
        <v>13.5</v>
      </c>
      <c r="AN21" s="432">
        <v>2720.1156008337498</v>
      </c>
    </row>
    <row r="22" spans="1:40" x14ac:dyDescent="0.25">
      <c r="A22" s="433" t="s">
        <v>119</v>
      </c>
      <c r="B22" s="442">
        <v>1.8E-3</v>
      </c>
      <c r="C22" s="443">
        <v>0.01</v>
      </c>
      <c r="D22" s="442">
        <v>0.01</v>
      </c>
      <c r="E22" s="442">
        <v>3.5999999999999997E-2</v>
      </c>
      <c r="G22" s="433" t="s">
        <v>119</v>
      </c>
      <c r="H22" s="442">
        <v>1.8E-3</v>
      </c>
      <c r="I22" s="442">
        <v>0.01</v>
      </c>
      <c r="J22" s="442">
        <v>0.01</v>
      </c>
      <c r="K22" s="442">
        <v>3.6999999999999998E-2</v>
      </c>
      <c r="L22" s="434"/>
      <c r="M22" s="434"/>
      <c r="N22" s="434"/>
      <c r="O22" s="434"/>
      <c r="P22" s="434"/>
      <c r="Q22" s="434"/>
      <c r="R22" s="434"/>
      <c r="S22" s="434"/>
      <c r="V22" s="438">
        <v>14</v>
      </c>
      <c r="W22" s="432">
        <v>-832.15555889979169</v>
      </c>
      <c r="Y22" s="438">
        <v>14</v>
      </c>
      <c r="Z22" s="432">
        <v>-405.29395561680622</v>
      </c>
      <c r="AB22" s="438">
        <v>14</v>
      </c>
      <c r="AC22" s="432">
        <v>-425.57168663963648</v>
      </c>
      <c r="AG22" s="438">
        <v>14</v>
      </c>
      <c r="AH22" s="432">
        <v>3058.7307637342992</v>
      </c>
      <c r="AJ22" s="438">
        <v>14</v>
      </c>
      <c r="AK22" s="432">
        <v>3079.0084947571295</v>
      </c>
      <c r="AM22" s="438">
        <v>14</v>
      </c>
      <c r="AN22" s="432">
        <v>2652.146891474144</v>
      </c>
    </row>
    <row r="23" spans="1:40" x14ac:dyDescent="0.25">
      <c r="A23" s="433" t="s">
        <v>179</v>
      </c>
      <c r="B23" s="442">
        <v>3.2399999999999998E-3</v>
      </c>
      <c r="C23" s="443">
        <v>4.7999999999999996E-3</v>
      </c>
      <c r="D23" s="442">
        <v>2.2800000000000001E-2</v>
      </c>
      <c r="E23" s="442">
        <v>8.2799999999999985E-2</v>
      </c>
      <c r="G23" s="433" t="s">
        <v>179</v>
      </c>
      <c r="H23" s="442">
        <v>2.7000000000000001E-3</v>
      </c>
      <c r="I23" s="442">
        <v>4.0000000000000001E-3</v>
      </c>
      <c r="J23" s="442">
        <v>1.9000000000000003E-2</v>
      </c>
      <c r="K23" s="442">
        <v>8.5880000000000012E-2</v>
      </c>
      <c r="L23" s="434"/>
      <c r="M23" s="434"/>
      <c r="N23" s="434"/>
      <c r="O23" s="434"/>
      <c r="P23" s="434"/>
      <c r="Q23" s="434"/>
      <c r="R23" s="434"/>
      <c r="S23" s="434"/>
      <c r="V23" s="438">
        <v>14.5</v>
      </c>
      <c r="W23" s="432">
        <v>-900.12426825939747</v>
      </c>
      <c r="Y23" s="438">
        <v>14.5</v>
      </c>
      <c r="Z23" s="432">
        <v>-499.52528566606679</v>
      </c>
      <c r="AB23" s="438">
        <v>14.5</v>
      </c>
      <c r="AC23" s="432">
        <v>-535.17668368397108</v>
      </c>
      <c r="AG23" s="438">
        <v>14.5</v>
      </c>
      <c r="AH23" s="432">
        <v>2949.1257666899646</v>
      </c>
      <c r="AJ23" s="438">
        <v>14.5</v>
      </c>
      <c r="AK23" s="432">
        <v>2984.7771647078689</v>
      </c>
      <c r="AM23" s="438">
        <v>14.5</v>
      </c>
      <c r="AN23" s="432">
        <v>2584.1781821145382</v>
      </c>
    </row>
    <row r="24" spans="1:40" x14ac:dyDescent="0.25">
      <c r="A24" s="433" t="s">
        <v>117</v>
      </c>
      <c r="B24" s="442">
        <v>1.3617499999999999E-2</v>
      </c>
      <c r="C24" s="443">
        <v>1.4665000000000001E-2</v>
      </c>
      <c r="D24" s="442">
        <v>0.12989000000000001</v>
      </c>
      <c r="E24" s="442">
        <v>5.4889E-2</v>
      </c>
      <c r="G24" s="433" t="s">
        <v>117</v>
      </c>
      <c r="H24" s="442">
        <v>1.3000000000000001E-2</v>
      </c>
      <c r="I24" s="442">
        <v>1.4000000000000002E-2</v>
      </c>
      <c r="J24" s="442">
        <v>0.124</v>
      </c>
      <c r="K24" s="442">
        <v>6.5600000000000006E-2</v>
      </c>
      <c r="L24" s="434"/>
      <c r="M24" s="434"/>
      <c r="N24" s="434"/>
      <c r="O24" s="434"/>
      <c r="P24" s="434"/>
      <c r="Q24" s="434"/>
      <c r="R24" s="434"/>
      <c r="S24" s="434"/>
      <c r="V24" s="438">
        <v>15</v>
      </c>
      <c r="W24" s="432">
        <v>-968.09297761900234</v>
      </c>
      <c r="Y24" s="438">
        <v>15</v>
      </c>
      <c r="Z24" s="432">
        <v>-593.75661571532737</v>
      </c>
      <c r="AB24" s="438">
        <v>15</v>
      </c>
      <c r="AC24" s="432">
        <v>-644.78168072830567</v>
      </c>
      <c r="AG24" s="438">
        <v>15</v>
      </c>
      <c r="AH24" s="432">
        <v>2839.52076964563</v>
      </c>
      <c r="AJ24" s="438">
        <v>15</v>
      </c>
      <c r="AK24" s="432">
        <v>2890.5458346586083</v>
      </c>
      <c r="AM24" s="438">
        <v>15</v>
      </c>
      <c r="AN24" s="432">
        <v>2516.2094727549334</v>
      </c>
    </row>
    <row r="25" spans="1:40" x14ac:dyDescent="0.25">
      <c r="A25" s="433" t="s">
        <v>118</v>
      </c>
      <c r="B25" s="442">
        <v>3.6450000000000002E-3</v>
      </c>
      <c r="C25" s="443">
        <v>5.4000000000000003E-3</v>
      </c>
      <c r="D25" s="442">
        <v>2.5650000000000003E-2</v>
      </c>
      <c r="E25" s="442">
        <v>9.3149999999999997E-2</v>
      </c>
      <c r="G25" s="433" t="s">
        <v>118</v>
      </c>
      <c r="H25" s="442">
        <v>3.2399999999999998E-3</v>
      </c>
      <c r="I25" s="442">
        <v>4.7999999999999996E-3</v>
      </c>
      <c r="J25" s="442">
        <v>2.2800000000000001E-2</v>
      </c>
      <c r="K25" s="442">
        <v>0.10305599999999999</v>
      </c>
      <c r="L25" s="434"/>
      <c r="M25" s="434"/>
      <c r="N25" s="434"/>
      <c r="O25" s="434"/>
      <c r="P25" s="434"/>
      <c r="Q25" s="434"/>
      <c r="R25" s="434"/>
      <c r="S25" s="434"/>
    </row>
    <row r="26" spans="1:40" x14ac:dyDescent="0.25">
      <c r="A26" s="433" t="s">
        <v>395</v>
      </c>
      <c r="B26" s="442">
        <v>6.1051999999999995E-2</v>
      </c>
      <c r="C26" s="442">
        <v>1.4355999999999999E-2</v>
      </c>
      <c r="D26" s="442">
        <v>1.8537999999999999E-2</v>
      </c>
      <c r="E26" s="442">
        <v>1.1452E-2</v>
      </c>
      <c r="G26" s="433" t="s">
        <v>395</v>
      </c>
      <c r="H26" s="442">
        <v>6.1051999999999995E-2</v>
      </c>
      <c r="I26" s="442">
        <v>1.4355999999999999E-2</v>
      </c>
      <c r="J26" s="442">
        <v>1.8537999999999999E-2</v>
      </c>
      <c r="K26" s="442">
        <v>1.45688E-2</v>
      </c>
      <c r="L26" s="434"/>
      <c r="M26" s="434"/>
      <c r="N26" s="434"/>
      <c r="O26" s="434"/>
      <c r="P26" s="434"/>
      <c r="Q26" s="434"/>
      <c r="R26" s="434"/>
      <c r="S26" s="434"/>
    </row>
    <row r="27" spans="1:40" x14ac:dyDescent="0.25">
      <c r="A27" s="433" t="s">
        <v>396</v>
      </c>
      <c r="B27" s="442">
        <v>1.1479999999999999E-3</v>
      </c>
      <c r="C27" s="442">
        <v>6.4400000000000004E-4</v>
      </c>
      <c r="D27" s="442">
        <v>4.6200000000000001E-4</v>
      </c>
      <c r="E27" s="442">
        <v>4.4799999999999999E-4</v>
      </c>
      <c r="G27" s="433" t="s">
        <v>396</v>
      </c>
      <c r="H27" s="442">
        <v>1.1479999999999999E-3</v>
      </c>
      <c r="I27" s="442">
        <v>6.4400000000000004E-4</v>
      </c>
      <c r="J27" s="442">
        <v>4.6200000000000001E-4</v>
      </c>
      <c r="K27" s="442">
        <v>4.3119999999999996E-4</v>
      </c>
      <c r="L27" s="434"/>
      <c r="M27" s="434"/>
      <c r="N27" s="434"/>
      <c r="O27" s="434"/>
      <c r="P27" s="434"/>
      <c r="Q27" s="434"/>
      <c r="R27" s="434"/>
      <c r="S27" s="434"/>
    </row>
    <row r="28" spans="1:40" x14ac:dyDescent="0.25">
      <c r="A28" s="433" t="s">
        <v>120</v>
      </c>
      <c r="B28" s="442">
        <v>1.0935000000000001E-3</v>
      </c>
      <c r="C28" s="443">
        <v>1.6200000000000001E-3</v>
      </c>
      <c r="D28" s="442">
        <v>7.6950000000000005E-3</v>
      </c>
      <c r="E28" s="442">
        <v>2.7944999999999998E-2</v>
      </c>
      <c r="G28" s="433" t="s">
        <v>120</v>
      </c>
      <c r="H28" s="442">
        <v>5.8319999999999997E-4</v>
      </c>
      <c r="I28" s="442">
        <v>8.6399999999999986E-4</v>
      </c>
      <c r="J28" s="442">
        <v>4.104E-3</v>
      </c>
      <c r="K28" s="442">
        <v>1.855008E-2</v>
      </c>
      <c r="L28" s="434"/>
      <c r="M28" s="434"/>
      <c r="N28" s="434"/>
      <c r="O28" s="434"/>
      <c r="P28" s="434"/>
      <c r="Q28" s="434"/>
      <c r="R28" s="434"/>
      <c r="S28" s="434"/>
      <c r="V28" s="432" t="s">
        <v>401</v>
      </c>
      <c r="Y28" s="432" t="s">
        <v>402</v>
      </c>
      <c r="AB28" s="432" t="s">
        <v>403</v>
      </c>
      <c r="AG28" s="432" t="s">
        <v>401</v>
      </c>
      <c r="AJ28" s="432" t="s">
        <v>402</v>
      </c>
      <c r="AM28" s="432" t="s">
        <v>403</v>
      </c>
    </row>
    <row r="29" spans="1:40" x14ac:dyDescent="0.25">
      <c r="A29" s="433" t="s">
        <v>397</v>
      </c>
      <c r="B29" s="442">
        <v>0.06</v>
      </c>
      <c r="C29" s="442">
        <v>0.22</v>
      </c>
      <c r="D29" s="442">
        <v>0.28899999999999998</v>
      </c>
      <c r="E29" s="442">
        <v>0.15920000000000001</v>
      </c>
      <c r="G29" s="433" t="s">
        <v>397</v>
      </c>
      <c r="H29" s="442">
        <v>0.06</v>
      </c>
      <c r="I29" s="442">
        <v>0.22</v>
      </c>
      <c r="J29" s="442">
        <v>0.28899999999999998</v>
      </c>
      <c r="K29" s="442">
        <v>0.17399999999999999</v>
      </c>
      <c r="L29" s="434"/>
      <c r="M29" s="434"/>
      <c r="N29" s="434"/>
      <c r="O29" s="434"/>
      <c r="P29" s="434"/>
      <c r="Q29" s="434"/>
      <c r="R29" s="434"/>
      <c r="S29" s="434"/>
      <c r="V29" s="432" t="s">
        <v>404</v>
      </c>
      <c r="W29" s="432" t="s">
        <v>390</v>
      </c>
      <c r="Y29" s="432" t="s">
        <v>405</v>
      </c>
      <c r="Z29" s="432" t="s">
        <v>390</v>
      </c>
      <c r="AB29" s="432" t="s">
        <v>389</v>
      </c>
      <c r="AC29" s="432" t="s">
        <v>390</v>
      </c>
      <c r="AG29" s="432" t="s">
        <v>404</v>
      </c>
      <c r="AH29" s="432" t="s">
        <v>391</v>
      </c>
      <c r="AJ29" s="432" t="s">
        <v>405</v>
      </c>
      <c r="AK29" s="432" t="s">
        <v>391</v>
      </c>
      <c r="AM29" s="432" t="s">
        <v>389</v>
      </c>
      <c r="AN29" s="432" t="s">
        <v>391</v>
      </c>
    </row>
    <row r="30" spans="1:40" x14ac:dyDescent="0.25">
      <c r="A30" s="433" t="s">
        <v>406</v>
      </c>
      <c r="B30" s="442">
        <v>2.4404000000000092E-2</v>
      </c>
      <c r="C30" s="442">
        <v>2.8515000000000068E-2</v>
      </c>
      <c r="D30" s="442">
        <v>-7.4034999999999851E-2</v>
      </c>
      <c r="E30" s="442">
        <v>2.1116000000000024E-2</v>
      </c>
      <c r="G30" s="433" t="s">
        <v>406</v>
      </c>
      <c r="H30" s="442">
        <v>2.6476799999999967E-2</v>
      </c>
      <c r="I30" s="442">
        <v>3.133600000000003E-2</v>
      </c>
      <c r="J30" s="442">
        <v>-5.7904000000000178E-2</v>
      </c>
      <c r="K30" s="442">
        <v>-3.1086080000000127E-2</v>
      </c>
      <c r="L30" s="434"/>
      <c r="M30" s="434"/>
      <c r="N30" s="434"/>
      <c r="O30" s="434"/>
      <c r="P30" s="434"/>
      <c r="Q30" s="434"/>
      <c r="R30" s="434"/>
      <c r="S30" s="434"/>
      <c r="W30" s="432" t="e">
        <f>#REF!</f>
        <v>#REF!</v>
      </c>
      <c r="Z30" s="432" t="e">
        <f>#REF!</f>
        <v>#REF!</v>
      </c>
      <c r="AC30" s="432" t="e">
        <f>#REF!</f>
        <v>#REF!</v>
      </c>
      <c r="AH30" s="432" t="e">
        <f>#REF!</f>
        <v>#REF!</v>
      </c>
      <c r="AK30" s="432" t="e">
        <f>#REF!</f>
        <v>#REF!</v>
      </c>
      <c r="AN30" s="432" t="e">
        <f>#REF!</f>
        <v>#REF!</v>
      </c>
    </row>
    <row r="31" spans="1:40" x14ac:dyDescent="0.25">
      <c r="C31" s="444"/>
      <c r="V31" s="432">
        <v>375</v>
      </c>
      <c r="W31" s="432">
        <v>311.54880975387823</v>
      </c>
      <c r="Y31" s="432">
        <v>375</v>
      </c>
      <c r="Z31" s="432">
        <v>425.09194846986247</v>
      </c>
      <c r="AB31" s="432">
        <v>250</v>
      </c>
      <c r="AC31" s="432">
        <v>963.70424108863199</v>
      </c>
      <c r="AG31" s="432">
        <v>375</v>
      </c>
      <c r="AH31" s="432">
        <v>5269.9162601278131</v>
      </c>
      <c r="AJ31" s="432">
        <v>375</v>
      </c>
      <c r="AK31" s="432">
        <v>4092.7243988437981</v>
      </c>
      <c r="AM31" s="432">
        <v>250</v>
      </c>
      <c r="AN31" s="432">
        <v>4024.9390384182329</v>
      </c>
    </row>
    <row r="32" spans="1:40" x14ac:dyDescent="0.25">
      <c r="A32" s="433" t="s">
        <v>11</v>
      </c>
      <c r="B32" s="445">
        <f>(B20/(B$20+B$21))</f>
        <v>0.98795180722891562</v>
      </c>
      <c r="C32" s="445">
        <f>(C20/(C$20+C$21))</f>
        <v>0.65714285714285725</v>
      </c>
      <c r="D32" s="445">
        <f>(D20/(D$20+D$21))</f>
        <v>0.57894736842105254</v>
      </c>
      <c r="E32" s="445">
        <f>(E20/(E$20+E$21))</f>
        <v>0.62378167641325533</v>
      </c>
      <c r="V32" s="432">
        <v>400</v>
      </c>
      <c r="W32" s="432">
        <v>232.9113097538775</v>
      </c>
      <c r="Y32" s="432">
        <v>400</v>
      </c>
      <c r="Z32" s="432">
        <v>348.96694846986247</v>
      </c>
      <c r="AB32" s="432">
        <v>275</v>
      </c>
      <c r="AC32" s="432">
        <v>817.00424108863126</v>
      </c>
      <c r="AG32" s="432">
        <v>400</v>
      </c>
      <c r="AH32" s="432">
        <v>4889.2162601278142</v>
      </c>
      <c r="AJ32" s="432">
        <v>400</v>
      </c>
      <c r="AK32" s="432">
        <v>3962.0368988437981</v>
      </c>
      <c r="AM32" s="432">
        <v>275</v>
      </c>
      <c r="AN32" s="432">
        <v>3947.6144078763605</v>
      </c>
    </row>
    <row r="33" spans="1:40" x14ac:dyDescent="0.25">
      <c r="A33" s="433" t="s">
        <v>126</v>
      </c>
      <c r="B33" s="446">
        <f>1-B32</f>
        <v>1.2048192771084376E-2</v>
      </c>
      <c r="C33" s="446">
        <f>1-C32</f>
        <v>0.34285714285714275</v>
      </c>
      <c r="D33" s="446">
        <f>1-D32</f>
        <v>0.42105263157894746</v>
      </c>
      <c r="E33" s="446">
        <f>1-E32</f>
        <v>0.37621832358674467</v>
      </c>
      <c r="V33" s="432">
        <v>425</v>
      </c>
      <c r="W33" s="432">
        <v>154.27380975387678</v>
      </c>
      <c r="Y33" s="432">
        <v>425</v>
      </c>
      <c r="Z33" s="432">
        <v>272.84194846986247</v>
      </c>
      <c r="AB33" s="432">
        <v>300</v>
      </c>
      <c r="AC33" s="432">
        <v>670.30424108863235</v>
      </c>
      <c r="AG33" s="432">
        <v>425</v>
      </c>
      <c r="AH33" s="432">
        <v>4508.5162601278134</v>
      </c>
      <c r="AJ33" s="432">
        <v>425</v>
      </c>
      <c r="AK33" s="432">
        <v>3831.3493988437981</v>
      </c>
      <c r="AM33" s="432">
        <v>300</v>
      </c>
      <c r="AN33" s="432">
        <v>3870.289777334488</v>
      </c>
    </row>
    <row r="34" spans="1:40" x14ac:dyDescent="0.25">
      <c r="V34" s="432">
        <v>450</v>
      </c>
      <c r="W34" s="432">
        <v>75.636309753876503</v>
      </c>
      <c r="Y34" s="432">
        <v>450</v>
      </c>
      <c r="Z34" s="432">
        <v>196.71694846986247</v>
      </c>
      <c r="AB34" s="432">
        <v>325</v>
      </c>
      <c r="AC34" s="432">
        <v>523.60424108863117</v>
      </c>
      <c r="AG34" s="432">
        <v>450</v>
      </c>
      <c r="AH34" s="432">
        <v>4127.8162601278127</v>
      </c>
      <c r="AJ34" s="432">
        <v>450</v>
      </c>
      <c r="AK34" s="432">
        <v>3700.6618988437981</v>
      </c>
      <c r="AM34" s="432">
        <v>325</v>
      </c>
      <c r="AN34" s="432">
        <v>3792.9651467926174</v>
      </c>
    </row>
    <row r="35" spans="1:40" x14ac:dyDescent="0.25">
      <c r="A35" s="440" t="s">
        <v>407</v>
      </c>
      <c r="V35" s="432">
        <v>475</v>
      </c>
      <c r="W35" s="432">
        <v>-3.0011902461224054</v>
      </c>
      <c r="Y35" s="432">
        <v>459</v>
      </c>
      <c r="Z35" s="432">
        <v>169.31194846986364</v>
      </c>
      <c r="AB35" s="432">
        <v>350</v>
      </c>
      <c r="AC35" s="432">
        <v>376.90424108863044</v>
      </c>
      <c r="AG35" s="432">
        <v>475</v>
      </c>
      <c r="AH35" s="432">
        <v>3747.1162601278138</v>
      </c>
      <c r="AJ35" s="432">
        <v>459</v>
      </c>
      <c r="AK35" s="432">
        <v>3653.6143988437993</v>
      </c>
      <c r="AM35" s="432">
        <v>350</v>
      </c>
      <c r="AN35" s="432">
        <v>3715.6405162507431</v>
      </c>
    </row>
    <row r="36" spans="1:40" x14ac:dyDescent="0.25">
      <c r="A36" s="447" t="s">
        <v>408</v>
      </c>
      <c r="B36" s="447" t="s">
        <v>409</v>
      </c>
      <c r="V36" s="432">
        <v>497</v>
      </c>
      <c r="W36" s="432">
        <v>-72.202190246121518</v>
      </c>
      <c r="Y36" s="432">
        <v>475</v>
      </c>
      <c r="Z36" s="432">
        <v>120.59194846986247</v>
      </c>
      <c r="AB36" s="432">
        <v>375</v>
      </c>
      <c r="AC36" s="432">
        <v>230.20424108863153</v>
      </c>
      <c r="AG36" s="432">
        <v>497</v>
      </c>
      <c r="AH36" s="432">
        <v>3412.1002601278142</v>
      </c>
      <c r="AJ36" s="432">
        <v>475</v>
      </c>
      <c r="AK36" s="432">
        <v>3569.9743988437981</v>
      </c>
      <c r="AM36" s="432">
        <v>375</v>
      </c>
      <c r="AN36" s="432">
        <v>3638.3158857088724</v>
      </c>
    </row>
    <row r="37" spans="1:40" x14ac:dyDescent="0.25">
      <c r="A37" s="433" t="s">
        <v>11</v>
      </c>
      <c r="B37" s="361">
        <v>636</v>
      </c>
      <c r="V37" s="432">
        <v>500</v>
      </c>
      <c r="W37" s="432">
        <v>-81.638690246123133</v>
      </c>
      <c r="Y37" s="432">
        <v>500</v>
      </c>
      <c r="Z37" s="432">
        <v>44.466948469862473</v>
      </c>
      <c r="AB37" s="432">
        <v>384</v>
      </c>
      <c r="AC37" s="432">
        <v>177.39224108863164</v>
      </c>
      <c r="AG37" s="432">
        <v>500</v>
      </c>
      <c r="AH37" s="432">
        <v>3366.4162601278131</v>
      </c>
      <c r="AJ37" s="432">
        <v>500</v>
      </c>
      <c r="AK37" s="432">
        <v>3439.2868988437981</v>
      </c>
      <c r="AM37" s="432">
        <v>384</v>
      </c>
      <c r="AN37" s="432">
        <v>3610.4790187137983</v>
      </c>
    </row>
    <row r="38" spans="1:40" x14ac:dyDescent="0.25">
      <c r="A38" s="433" t="s">
        <v>126</v>
      </c>
      <c r="B38" s="361">
        <v>695</v>
      </c>
      <c r="V38" s="432">
        <v>525</v>
      </c>
      <c r="W38" s="432">
        <v>-160.27619024612204</v>
      </c>
      <c r="Y38" s="432">
        <v>525</v>
      </c>
      <c r="Z38" s="432">
        <v>-31.658051530137527</v>
      </c>
      <c r="AB38" s="432">
        <v>400</v>
      </c>
      <c r="AC38" s="432">
        <v>83.504241088630806</v>
      </c>
      <c r="AG38" s="432">
        <v>525</v>
      </c>
      <c r="AH38" s="432">
        <v>2985.7162601278142</v>
      </c>
      <c r="AJ38" s="432">
        <v>525</v>
      </c>
      <c r="AK38" s="432">
        <v>3308.5993988437981</v>
      </c>
      <c r="AM38" s="432">
        <v>400</v>
      </c>
      <c r="AN38" s="432">
        <v>3560.991255167</v>
      </c>
    </row>
    <row r="39" spans="1:40" x14ac:dyDescent="0.25">
      <c r="A39" s="433" t="s">
        <v>410</v>
      </c>
      <c r="B39" s="361">
        <v>328</v>
      </c>
      <c r="V39" s="432">
        <v>550</v>
      </c>
      <c r="W39" s="432">
        <v>-238.91369024612277</v>
      </c>
      <c r="Y39" s="432">
        <v>550</v>
      </c>
      <c r="Z39" s="432">
        <v>-107.78305153013753</v>
      </c>
      <c r="AB39" s="432">
        <v>425</v>
      </c>
      <c r="AC39" s="432">
        <v>-63.195758911368102</v>
      </c>
      <c r="AG39" s="432">
        <v>550</v>
      </c>
      <c r="AH39" s="432">
        <v>2605.0162601278134</v>
      </c>
      <c r="AJ39" s="432">
        <v>550</v>
      </c>
      <c r="AK39" s="432">
        <v>3177.9118988437981</v>
      </c>
      <c r="AM39" s="432">
        <v>425</v>
      </c>
      <c r="AN39" s="432">
        <v>3483.6666246251275</v>
      </c>
    </row>
    <row r="40" spans="1:40" x14ac:dyDescent="0.25">
      <c r="A40" s="433" t="s">
        <v>411</v>
      </c>
      <c r="B40" s="361">
        <v>270</v>
      </c>
      <c r="V40" s="432">
        <v>575</v>
      </c>
      <c r="W40" s="432">
        <v>-317.5511902461235</v>
      </c>
      <c r="Y40" s="432">
        <v>575</v>
      </c>
      <c r="Z40" s="432">
        <v>-183.90805153013753</v>
      </c>
      <c r="AB40" s="432">
        <v>450</v>
      </c>
      <c r="AC40" s="432">
        <v>-209.89575891136883</v>
      </c>
      <c r="AG40" s="432">
        <v>575</v>
      </c>
      <c r="AH40" s="432">
        <v>2224.3162601278127</v>
      </c>
      <c r="AJ40" s="432">
        <v>575</v>
      </c>
      <c r="AK40" s="432">
        <v>3047.2243988437981</v>
      </c>
      <c r="AM40" s="432">
        <v>450</v>
      </c>
      <c r="AN40" s="432">
        <v>3406.3419940832568</v>
      </c>
    </row>
    <row r="41" spans="1:40" x14ac:dyDescent="0.25">
      <c r="A41" s="433" t="s">
        <v>412</v>
      </c>
      <c r="B41" s="361">
        <v>377</v>
      </c>
      <c r="V41" s="432">
        <v>600</v>
      </c>
      <c r="W41" s="432">
        <v>-396.18869024612241</v>
      </c>
      <c r="Y41" s="432">
        <v>600</v>
      </c>
      <c r="Z41" s="432">
        <v>-260.03305153013753</v>
      </c>
      <c r="AB41" s="432">
        <v>475</v>
      </c>
      <c r="AC41" s="432">
        <v>-356.59575891136956</v>
      </c>
      <c r="AG41" s="432">
        <v>600</v>
      </c>
      <c r="AH41" s="432">
        <v>1843.6162601278138</v>
      </c>
      <c r="AJ41" s="432">
        <v>600</v>
      </c>
      <c r="AK41" s="432">
        <v>2916.5368988437981</v>
      </c>
      <c r="AM41" s="432">
        <v>475</v>
      </c>
      <c r="AN41" s="432">
        <v>3329.0173635413844</v>
      </c>
    </row>
    <row r="42" spans="1:40" x14ac:dyDescent="0.25">
      <c r="A42" s="433" t="s">
        <v>179</v>
      </c>
      <c r="B42" s="361">
        <v>735</v>
      </c>
      <c r="V42" s="432">
        <v>625</v>
      </c>
      <c r="W42" s="432">
        <v>-474.82619024612313</v>
      </c>
      <c r="Y42" s="432">
        <v>625</v>
      </c>
      <c r="Z42" s="432">
        <v>-336.15805153013753</v>
      </c>
      <c r="AB42" s="432">
        <v>500</v>
      </c>
      <c r="AC42" s="432">
        <v>-503.29575891136847</v>
      </c>
      <c r="AG42" s="432">
        <v>625</v>
      </c>
      <c r="AH42" s="432">
        <v>1462.9162601278131</v>
      </c>
      <c r="AJ42" s="432">
        <v>625</v>
      </c>
      <c r="AK42" s="432">
        <v>2785.8493988437981</v>
      </c>
      <c r="AM42" s="432">
        <v>500</v>
      </c>
      <c r="AN42" s="432">
        <v>3251.6927329995119</v>
      </c>
    </row>
    <row r="43" spans="1:40" x14ac:dyDescent="0.25">
      <c r="A43" s="433" t="s">
        <v>117</v>
      </c>
      <c r="B43" s="361">
        <v>805</v>
      </c>
      <c r="V43" s="432">
        <v>650</v>
      </c>
      <c r="W43" s="432">
        <v>-553.46369024612386</v>
      </c>
      <c r="Y43" s="432">
        <v>650</v>
      </c>
      <c r="Z43" s="432">
        <v>-412.28305153013753</v>
      </c>
      <c r="AB43" s="432">
        <v>525</v>
      </c>
      <c r="AC43" s="432">
        <v>-649.99575891136919</v>
      </c>
      <c r="AG43" s="432">
        <v>650</v>
      </c>
      <c r="AH43" s="432">
        <v>1082.2162601278123</v>
      </c>
      <c r="AJ43" s="432">
        <v>650</v>
      </c>
      <c r="AK43" s="432">
        <v>2655.1618988437981</v>
      </c>
      <c r="AM43" s="432">
        <v>525</v>
      </c>
      <c r="AN43" s="432">
        <v>3174.3681024576413</v>
      </c>
    </row>
    <row r="44" spans="1:40" x14ac:dyDescent="0.25">
      <c r="A44" s="433" t="s">
        <v>413</v>
      </c>
      <c r="B44" s="361">
        <v>260</v>
      </c>
      <c r="V44" s="432">
        <v>675</v>
      </c>
      <c r="W44" s="432">
        <v>-632.10119024612095</v>
      </c>
      <c r="Y44" s="432">
        <v>675</v>
      </c>
      <c r="Z44" s="432">
        <v>-488.40805153013753</v>
      </c>
      <c r="AB44" s="432">
        <v>550</v>
      </c>
      <c r="AC44" s="432">
        <v>-796.6957589113681</v>
      </c>
      <c r="AG44" s="432">
        <v>675</v>
      </c>
      <c r="AH44" s="432">
        <v>701.51626012781344</v>
      </c>
      <c r="AJ44" s="432">
        <v>675</v>
      </c>
      <c r="AK44" s="432">
        <v>2524.4743988437981</v>
      </c>
      <c r="AM44" s="432">
        <v>550</v>
      </c>
      <c r="AN44" s="432">
        <v>3097.0434719157688</v>
      </c>
    </row>
    <row r="45" spans="1:40" x14ac:dyDescent="0.25">
      <c r="A45" s="433" t="s">
        <v>414</v>
      </c>
      <c r="B45" s="361">
        <v>300</v>
      </c>
      <c r="V45" s="432">
        <v>700</v>
      </c>
      <c r="W45" s="432">
        <v>-710.7386902461235</v>
      </c>
      <c r="Y45" s="432">
        <v>700</v>
      </c>
      <c r="Z45" s="432">
        <v>-564.53305153013753</v>
      </c>
      <c r="AB45" s="432">
        <v>575</v>
      </c>
      <c r="AC45" s="432">
        <v>-943.39575891136883</v>
      </c>
      <c r="AG45" s="432">
        <v>700</v>
      </c>
      <c r="AH45" s="432">
        <v>320.81626012781089</v>
      </c>
      <c r="AJ45" s="432">
        <v>700</v>
      </c>
      <c r="AK45" s="432">
        <v>2393.7868988437981</v>
      </c>
      <c r="AM45" s="432">
        <v>575</v>
      </c>
      <c r="AN45" s="432">
        <v>3019.7188413738963</v>
      </c>
    </row>
    <row r="46" spans="1:40" x14ac:dyDescent="0.25">
      <c r="V46" s="432">
        <v>725</v>
      </c>
      <c r="W46" s="432">
        <v>-789.37619024612241</v>
      </c>
      <c r="Y46" s="432">
        <v>725</v>
      </c>
      <c r="Z46" s="432">
        <v>-640.65805153013753</v>
      </c>
      <c r="AB46" s="432">
        <v>600</v>
      </c>
      <c r="AC46" s="432">
        <v>-1090.0957589113696</v>
      </c>
      <c r="AG46" s="432">
        <v>725</v>
      </c>
      <c r="AH46" s="432">
        <v>-59.883739872188016</v>
      </c>
      <c r="AJ46" s="432">
        <v>725</v>
      </c>
      <c r="AK46" s="432">
        <v>2263.0993988437981</v>
      </c>
      <c r="AM46" s="432">
        <v>600</v>
      </c>
      <c r="AN46" s="432">
        <v>2942.3942108320257</v>
      </c>
    </row>
    <row r="47" spans="1:40" x14ac:dyDescent="0.25">
      <c r="V47" s="432">
        <v>750</v>
      </c>
      <c r="W47" s="432">
        <v>-868.01369024612313</v>
      </c>
      <c r="Y47" s="432">
        <v>750</v>
      </c>
      <c r="Z47" s="432">
        <v>-716.78305153013753</v>
      </c>
      <c r="AB47" s="432">
        <v>625</v>
      </c>
      <c r="AC47" s="432">
        <v>-1236.7957589113685</v>
      </c>
      <c r="AG47" s="432">
        <v>750</v>
      </c>
      <c r="AH47" s="432">
        <v>-440.58373987218874</v>
      </c>
      <c r="AJ47" s="432">
        <v>750</v>
      </c>
      <c r="AK47" s="432">
        <v>2132.4118988437981</v>
      </c>
      <c r="AM47" s="432">
        <v>625</v>
      </c>
      <c r="AN47" s="432">
        <v>2865.0695802901532</v>
      </c>
    </row>
  </sheetData>
  <mergeCells count="1">
    <mergeCell ref="E3:F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3:EC42"/>
  <sheetViews>
    <sheetView topLeftCell="A22" workbookViewId="0">
      <selection activeCell="B29" sqref="B29"/>
    </sheetView>
  </sheetViews>
  <sheetFormatPr defaultRowHeight="15" x14ac:dyDescent="0.25"/>
  <cols>
    <col min="4" max="4" width="18.5703125" bestFit="1" customWidth="1"/>
    <col min="5" max="133" width="10.42578125" bestFit="1" customWidth="1"/>
  </cols>
  <sheetData>
    <row r="3" spans="4:133" x14ac:dyDescent="0.25">
      <c r="D3" s="6"/>
      <c r="E3" s="1007">
        <v>43101</v>
      </c>
      <c r="F3" s="970"/>
      <c r="G3" s="970"/>
      <c r="H3" s="970"/>
      <c r="I3" s="1007">
        <f>33+E3</f>
        <v>43134</v>
      </c>
      <c r="J3" s="970"/>
      <c r="K3" s="1007">
        <f>I3+30</f>
        <v>43164</v>
      </c>
      <c r="L3" s="970"/>
      <c r="M3" s="1007">
        <f>K3+30</f>
        <v>43194</v>
      </c>
      <c r="N3" s="970"/>
      <c r="O3" s="1007">
        <f>M3+30</f>
        <v>43224</v>
      </c>
      <c r="P3" s="970"/>
      <c r="Q3" s="566">
        <v>43252</v>
      </c>
      <c r="R3" s="1007">
        <v>43282</v>
      </c>
      <c r="S3" s="970"/>
      <c r="T3" s="1007">
        <v>43313</v>
      </c>
      <c r="U3" s="970"/>
      <c r="V3" s="566">
        <v>43344</v>
      </c>
      <c r="W3" s="1007">
        <v>43374</v>
      </c>
      <c r="X3" s="970"/>
      <c r="Y3" s="1007">
        <v>43405</v>
      </c>
      <c r="Z3" s="970"/>
      <c r="AA3" s="970"/>
      <c r="AB3" s="566">
        <v>43435</v>
      </c>
      <c r="AC3" s="1007">
        <v>43466</v>
      </c>
      <c r="AD3" s="970"/>
      <c r="AE3" s="1007">
        <v>43497</v>
      </c>
      <c r="AF3" s="970"/>
      <c r="AG3" s="566">
        <v>43525</v>
      </c>
      <c r="AH3" s="1007">
        <v>43556</v>
      </c>
      <c r="AI3" s="970"/>
      <c r="AJ3" s="970"/>
      <c r="AK3" s="970"/>
      <c r="AL3" s="1007">
        <v>43586</v>
      </c>
      <c r="AM3" s="970"/>
      <c r="AN3" s="970"/>
      <c r="AO3" s="970"/>
      <c r="AP3" s="1007">
        <v>43617</v>
      </c>
      <c r="AQ3" s="970"/>
      <c r="AR3" s="970"/>
      <c r="AS3" s="970"/>
      <c r="AT3" s="1007">
        <v>43647</v>
      </c>
      <c r="AU3" s="970"/>
      <c r="AV3" s="1007">
        <v>43678</v>
      </c>
      <c r="AW3" s="970"/>
      <c r="AX3" s="1007">
        <v>43709</v>
      </c>
      <c r="AY3" s="970"/>
      <c r="AZ3" s="970"/>
      <c r="BA3" s="1007">
        <v>43739</v>
      </c>
      <c r="BB3" s="970"/>
      <c r="BC3" s="970"/>
      <c r="BD3" s="1007">
        <v>43770</v>
      </c>
      <c r="BE3" s="970"/>
      <c r="BF3" s="970"/>
      <c r="BG3" s="970"/>
      <c r="BH3" s="566">
        <v>43800</v>
      </c>
      <c r="BI3" s="1007">
        <v>43831</v>
      </c>
      <c r="BJ3" s="970"/>
      <c r="BK3" s="970"/>
      <c r="BL3" s="1007">
        <v>43862</v>
      </c>
      <c r="BM3" s="970"/>
      <c r="BN3" s="970"/>
      <c r="BO3" s="1007">
        <v>43891</v>
      </c>
      <c r="BP3" s="970"/>
      <c r="BQ3" s="1007">
        <v>43922</v>
      </c>
      <c r="BR3" s="970"/>
      <c r="BS3" s="1007">
        <v>43952</v>
      </c>
      <c r="BT3" s="970"/>
      <c r="BU3" s="970"/>
      <c r="BV3" s="1007">
        <v>43983</v>
      </c>
      <c r="BW3" s="970"/>
      <c r="BX3" s="970"/>
      <c r="BY3" s="1007">
        <v>44013</v>
      </c>
      <c r="BZ3" s="970"/>
      <c r="CA3" s="970"/>
      <c r="CB3" s="1007">
        <v>44044</v>
      </c>
      <c r="CC3" s="970"/>
      <c r="CD3" s="970"/>
      <c r="CE3" s="1007">
        <v>44075</v>
      </c>
      <c r="CF3" s="970"/>
      <c r="CG3" s="970"/>
      <c r="CH3" s="970"/>
      <c r="CI3" s="1007">
        <v>44105</v>
      </c>
      <c r="CJ3" s="970"/>
      <c r="CK3" s="970"/>
      <c r="CL3" s="1007">
        <v>44136</v>
      </c>
      <c r="CM3" s="970"/>
      <c r="CN3" s="970"/>
      <c r="CO3" s="1007">
        <v>44166</v>
      </c>
      <c r="CP3" s="970"/>
      <c r="CQ3" s="970"/>
      <c r="CR3" s="1007">
        <v>44197</v>
      </c>
      <c r="CS3" s="970"/>
      <c r="CT3" s="970"/>
      <c r="CU3" s="970"/>
      <c r="CV3" s="1007">
        <v>44228</v>
      </c>
      <c r="CW3" s="970"/>
      <c r="CX3" s="970"/>
      <c r="CY3" s="970"/>
      <c r="CZ3" s="970"/>
      <c r="DA3" s="1007">
        <v>44256</v>
      </c>
      <c r="DB3" s="970"/>
      <c r="DC3" s="970"/>
      <c r="DD3" s="1007">
        <v>44287</v>
      </c>
      <c r="DE3" s="970"/>
      <c r="DF3" s="970"/>
      <c r="DG3" s="1007">
        <v>44317</v>
      </c>
      <c r="DH3" s="970"/>
      <c r="DI3" s="970"/>
      <c r="DJ3" s="1007">
        <v>44348</v>
      </c>
      <c r="DK3" s="970"/>
      <c r="DL3" s="970"/>
      <c r="DM3" s="1007">
        <v>44378</v>
      </c>
      <c r="DN3" s="970"/>
      <c r="DO3" s="970"/>
      <c r="DP3" s="970"/>
      <c r="DQ3" s="1007">
        <v>44409</v>
      </c>
      <c r="DR3" s="970"/>
      <c r="DS3" s="970"/>
      <c r="DT3" s="1007">
        <v>44440</v>
      </c>
      <c r="DU3" s="970"/>
      <c r="DV3" s="1007">
        <v>44470</v>
      </c>
      <c r="DW3" s="970"/>
      <c r="DX3" s="970"/>
      <c r="DY3" s="1007">
        <v>44501</v>
      </c>
      <c r="DZ3" s="970"/>
      <c r="EA3" s="1007">
        <v>44531</v>
      </c>
      <c r="EB3" s="970"/>
      <c r="EC3" s="970"/>
    </row>
    <row r="4" spans="4:133" x14ac:dyDescent="0.25">
      <c r="D4" s="567" t="s">
        <v>109</v>
      </c>
      <c r="E4" s="568">
        <v>43110</v>
      </c>
      <c r="F4" s="568">
        <v>43117</v>
      </c>
      <c r="G4" s="568">
        <v>43124</v>
      </c>
      <c r="H4" s="568">
        <v>43131</v>
      </c>
      <c r="I4" s="568">
        <v>43145</v>
      </c>
      <c r="J4" s="568">
        <v>43159</v>
      </c>
      <c r="K4" s="568">
        <v>43180</v>
      </c>
      <c r="L4" s="568">
        <v>43190</v>
      </c>
      <c r="M4" s="568">
        <v>43208</v>
      </c>
      <c r="N4" s="568">
        <v>43220</v>
      </c>
      <c r="O4" s="568">
        <v>43236</v>
      </c>
      <c r="P4" s="568">
        <v>43251</v>
      </c>
      <c r="Q4" s="568">
        <v>43281</v>
      </c>
      <c r="R4" s="568">
        <v>43292</v>
      </c>
      <c r="S4" s="568">
        <v>43312</v>
      </c>
      <c r="T4" s="568">
        <v>43328</v>
      </c>
      <c r="U4" s="568">
        <v>43343</v>
      </c>
      <c r="V4" s="568">
        <v>43373</v>
      </c>
      <c r="W4" s="568">
        <v>43383</v>
      </c>
      <c r="X4" s="568">
        <v>43404</v>
      </c>
      <c r="Y4" s="568">
        <v>43418</v>
      </c>
      <c r="Z4" s="568">
        <v>43425</v>
      </c>
      <c r="AA4" s="568">
        <v>43434</v>
      </c>
      <c r="AB4" s="568">
        <v>43465</v>
      </c>
      <c r="AC4" s="568">
        <v>43474</v>
      </c>
      <c r="AD4" s="568">
        <v>43496</v>
      </c>
      <c r="AE4" s="568">
        <v>43516</v>
      </c>
      <c r="AF4" s="568">
        <v>43524</v>
      </c>
      <c r="AG4" s="568">
        <v>43555</v>
      </c>
      <c r="AH4" s="568">
        <v>43565</v>
      </c>
      <c r="AI4" s="568">
        <v>43572</v>
      </c>
      <c r="AJ4" s="568">
        <v>43579</v>
      </c>
      <c r="AK4" s="568">
        <v>43585</v>
      </c>
      <c r="AL4" s="568">
        <v>43586</v>
      </c>
      <c r="AM4" s="568">
        <v>43593</v>
      </c>
      <c r="AN4" s="568">
        <v>43600</v>
      </c>
      <c r="AO4" s="568">
        <v>43616</v>
      </c>
      <c r="AP4" s="568">
        <v>43620</v>
      </c>
      <c r="AQ4" s="568">
        <v>43628</v>
      </c>
      <c r="AR4" s="568">
        <v>43635</v>
      </c>
      <c r="AS4" s="568">
        <v>43646</v>
      </c>
      <c r="AT4" s="568">
        <v>43656</v>
      </c>
      <c r="AU4" s="568">
        <v>43677</v>
      </c>
      <c r="AV4" s="568">
        <v>43684</v>
      </c>
      <c r="AW4" s="568">
        <v>43708</v>
      </c>
      <c r="AX4" s="568">
        <v>43719</v>
      </c>
      <c r="AY4" s="568">
        <v>43726</v>
      </c>
      <c r="AZ4" s="568">
        <v>43738</v>
      </c>
      <c r="BA4" s="568">
        <v>43747</v>
      </c>
      <c r="BB4" s="568">
        <v>43754</v>
      </c>
      <c r="BC4" s="568">
        <v>43769</v>
      </c>
      <c r="BD4" s="568">
        <v>43775</v>
      </c>
      <c r="BE4" s="568">
        <v>43782</v>
      </c>
      <c r="BF4" s="568">
        <v>43789</v>
      </c>
      <c r="BG4" s="568">
        <v>43799</v>
      </c>
      <c r="BH4" s="568">
        <v>43830</v>
      </c>
      <c r="BI4" s="568">
        <v>43838</v>
      </c>
      <c r="BJ4" s="568">
        <v>43845</v>
      </c>
      <c r="BK4" s="568">
        <v>43861</v>
      </c>
      <c r="BL4" s="568">
        <v>43873</v>
      </c>
      <c r="BM4" s="568">
        <v>43880</v>
      </c>
      <c r="BN4" s="568">
        <v>43890</v>
      </c>
      <c r="BO4" s="568">
        <v>43908</v>
      </c>
      <c r="BP4" s="568">
        <v>43921</v>
      </c>
      <c r="BQ4" s="568">
        <v>43930</v>
      </c>
      <c r="BR4" s="568">
        <v>43951</v>
      </c>
      <c r="BS4" s="568">
        <v>43964</v>
      </c>
      <c r="BT4" s="568">
        <v>43971</v>
      </c>
      <c r="BU4" s="568">
        <v>43982</v>
      </c>
      <c r="BV4" s="568">
        <v>43992</v>
      </c>
      <c r="BW4" s="568">
        <v>43999</v>
      </c>
      <c r="BX4" s="568">
        <v>44012</v>
      </c>
      <c r="BY4" s="568">
        <v>44027</v>
      </c>
      <c r="BZ4" s="568">
        <v>44034</v>
      </c>
      <c r="CA4" s="568">
        <v>44043</v>
      </c>
      <c r="CB4" s="568">
        <v>44048</v>
      </c>
      <c r="CC4" s="568">
        <v>44055</v>
      </c>
      <c r="CD4" s="568">
        <v>44074</v>
      </c>
      <c r="CE4" s="568">
        <v>44076</v>
      </c>
      <c r="CF4" s="568">
        <v>44083</v>
      </c>
      <c r="CG4" s="568">
        <v>44090</v>
      </c>
      <c r="CH4" s="568">
        <v>44104</v>
      </c>
      <c r="CI4" s="568">
        <v>44118</v>
      </c>
      <c r="CJ4" s="568">
        <v>44125</v>
      </c>
      <c r="CK4" s="568">
        <v>44135</v>
      </c>
      <c r="CL4" s="568">
        <v>44153</v>
      </c>
      <c r="CM4" s="568">
        <v>44160</v>
      </c>
      <c r="CN4" s="568">
        <v>44165</v>
      </c>
      <c r="CO4" s="568">
        <v>44174</v>
      </c>
      <c r="CP4" s="568">
        <v>44181</v>
      </c>
      <c r="CQ4" s="568">
        <v>44196</v>
      </c>
      <c r="CR4" s="568">
        <v>44202</v>
      </c>
      <c r="CS4" s="568">
        <v>44209</v>
      </c>
      <c r="CT4" s="568">
        <v>44216</v>
      </c>
      <c r="CU4" s="568">
        <v>44227</v>
      </c>
      <c r="CV4" s="568">
        <v>44230</v>
      </c>
      <c r="CW4" s="568">
        <v>44238</v>
      </c>
      <c r="CX4" s="568">
        <v>44244</v>
      </c>
      <c r="CY4" s="568">
        <v>44251</v>
      </c>
      <c r="CZ4" s="568">
        <v>44255</v>
      </c>
      <c r="DA4" s="568">
        <v>44258</v>
      </c>
      <c r="DB4" s="568">
        <v>44265</v>
      </c>
      <c r="DC4" s="568">
        <v>44286</v>
      </c>
      <c r="DD4" s="568">
        <v>44300</v>
      </c>
      <c r="DE4" s="568">
        <v>44307</v>
      </c>
      <c r="DF4" s="568">
        <v>44316</v>
      </c>
      <c r="DG4" s="568">
        <v>44321</v>
      </c>
      <c r="DH4" s="568">
        <v>44335</v>
      </c>
      <c r="DI4" s="568">
        <v>44347</v>
      </c>
      <c r="DJ4" s="568">
        <v>44356</v>
      </c>
      <c r="DK4" s="568">
        <v>44363</v>
      </c>
      <c r="DL4" s="568">
        <v>44377</v>
      </c>
      <c r="DM4" s="568">
        <v>44384</v>
      </c>
      <c r="DN4" s="568">
        <v>44391</v>
      </c>
      <c r="DO4" s="568">
        <v>44398</v>
      </c>
      <c r="DP4" s="568">
        <v>44408</v>
      </c>
      <c r="DQ4" s="568">
        <v>44419</v>
      </c>
      <c r="DR4" s="568">
        <v>44426</v>
      </c>
      <c r="DS4" s="568">
        <v>44439</v>
      </c>
      <c r="DT4" s="568">
        <v>44461</v>
      </c>
      <c r="DU4" s="568">
        <v>44469</v>
      </c>
      <c r="DV4" s="568">
        <v>44475</v>
      </c>
      <c r="DW4" s="568">
        <v>44482</v>
      </c>
      <c r="DX4" s="568">
        <v>44500</v>
      </c>
      <c r="DY4" s="568">
        <v>44517</v>
      </c>
      <c r="DZ4" s="568">
        <v>44530</v>
      </c>
      <c r="EA4" s="568">
        <v>44538</v>
      </c>
      <c r="EB4" s="568">
        <v>44545</v>
      </c>
      <c r="EC4" s="568">
        <v>44561</v>
      </c>
    </row>
    <row r="5" spans="4:133" x14ac:dyDescent="0.25">
      <c r="D5" s="569" t="s">
        <v>549</v>
      </c>
      <c r="E5" s="570">
        <v>77450</v>
      </c>
      <c r="F5" s="570">
        <v>80240</v>
      </c>
      <c r="G5" s="570">
        <v>81630</v>
      </c>
      <c r="H5" s="570">
        <v>82560</v>
      </c>
      <c r="I5" s="570">
        <v>86260</v>
      </c>
      <c r="J5" s="570">
        <v>88560</v>
      </c>
      <c r="K5" s="570"/>
      <c r="L5" s="570">
        <v>90410</v>
      </c>
      <c r="M5" s="570">
        <v>91790</v>
      </c>
      <c r="N5" s="570">
        <v>93180</v>
      </c>
      <c r="O5" s="570">
        <v>95320</v>
      </c>
      <c r="P5" s="570">
        <v>98090</v>
      </c>
      <c r="Q5" s="570">
        <v>98080</v>
      </c>
      <c r="R5" s="570">
        <v>98090</v>
      </c>
      <c r="S5" s="570">
        <v>98090</v>
      </c>
      <c r="T5" s="570"/>
      <c r="U5" s="570">
        <v>98080</v>
      </c>
      <c r="V5" s="570">
        <v>98080</v>
      </c>
      <c r="W5" s="570">
        <v>98110</v>
      </c>
      <c r="X5" s="570">
        <v>99490</v>
      </c>
      <c r="Y5" s="570">
        <v>99500</v>
      </c>
      <c r="Z5" s="570">
        <v>94880</v>
      </c>
      <c r="AA5" s="570">
        <v>88410</v>
      </c>
      <c r="AB5" s="570">
        <v>84730</v>
      </c>
      <c r="AC5" s="570">
        <v>82085</v>
      </c>
      <c r="AD5" s="570">
        <v>79315</v>
      </c>
      <c r="AE5" s="570"/>
      <c r="AF5" s="570">
        <v>79305</v>
      </c>
      <c r="AG5" s="570">
        <v>79305</v>
      </c>
      <c r="AH5" s="570"/>
      <c r="AI5" s="570"/>
      <c r="AJ5" s="570"/>
      <c r="AK5" s="570">
        <v>79305</v>
      </c>
      <c r="AL5" s="570">
        <v>78705</v>
      </c>
      <c r="AM5" s="570">
        <v>76855</v>
      </c>
      <c r="AN5" s="570">
        <v>76855</v>
      </c>
      <c r="AO5" s="570">
        <v>75470</v>
      </c>
      <c r="AP5" s="570">
        <v>73166</v>
      </c>
      <c r="AQ5" s="570">
        <v>71779</v>
      </c>
      <c r="AR5" s="570"/>
      <c r="AS5" s="570">
        <v>69927</v>
      </c>
      <c r="AT5" s="570"/>
      <c r="AU5" s="570">
        <v>69865</v>
      </c>
      <c r="AV5" s="570">
        <v>69865</v>
      </c>
      <c r="AW5" s="570">
        <v>71251</v>
      </c>
      <c r="AX5" s="570">
        <v>71255</v>
      </c>
      <c r="AY5" s="570">
        <v>68484</v>
      </c>
      <c r="AZ5" s="570">
        <v>69399</v>
      </c>
      <c r="BA5" s="570">
        <v>70320</v>
      </c>
      <c r="BB5" s="570">
        <v>68470</v>
      </c>
      <c r="BC5" s="570">
        <v>67090</v>
      </c>
      <c r="BD5" s="570"/>
      <c r="BE5" s="570"/>
      <c r="BF5" s="570">
        <v>66170</v>
      </c>
      <c r="BG5" s="570">
        <v>65240</v>
      </c>
      <c r="BH5" s="570">
        <v>65250</v>
      </c>
      <c r="BI5" s="570">
        <v>66170</v>
      </c>
      <c r="BJ5" s="570"/>
      <c r="BK5" s="570">
        <v>67090</v>
      </c>
      <c r="BL5" s="570"/>
      <c r="BM5" s="570">
        <v>67090</v>
      </c>
      <c r="BN5" s="570">
        <v>67090</v>
      </c>
      <c r="BO5" s="570"/>
      <c r="BP5" s="570">
        <v>67100</v>
      </c>
      <c r="BQ5" s="570">
        <v>66190</v>
      </c>
      <c r="BR5" s="570">
        <v>63420</v>
      </c>
      <c r="BS5" s="570"/>
      <c r="BT5" s="570">
        <v>60650</v>
      </c>
      <c r="BU5" s="570">
        <v>61580</v>
      </c>
      <c r="BV5" s="570">
        <v>62510</v>
      </c>
      <c r="BW5" s="570">
        <v>64360</v>
      </c>
      <c r="BX5" s="570">
        <v>65750</v>
      </c>
      <c r="BY5" s="570">
        <v>67110</v>
      </c>
      <c r="BZ5" s="570">
        <v>69890</v>
      </c>
      <c r="CA5" s="570">
        <v>70820</v>
      </c>
      <c r="CB5" s="570"/>
      <c r="CC5" s="570"/>
      <c r="CD5" s="570">
        <v>71830</v>
      </c>
      <c r="CE5" s="570">
        <v>71830</v>
      </c>
      <c r="CF5" s="570">
        <v>73220</v>
      </c>
      <c r="CG5" s="570"/>
      <c r="CH5" s="570">
        <v>74150</v>
      </c>
      <c r="CI5" s="570"/>
      <c r="CJ5" s="570"/>
      <c r="CK5" s="570">
        <v>75090</v>
      </c>
      <c r="CL5" s="570">
        <v>76020</v>
      </c>
      <c r="CM5" s="570">
        <v>76950</v>
      </c>
      <c r="CN5" s="570">
        <v>79730</v>
      </c>
      <c r="CO5" s="570"/>
      <c r="CP5" s="570"/>
      <c r="CQ5" s="570">
        <v>81580</v>
      </c>
      <c r="CR5" s="570"/>
      <c r="CS5" s="570">
        <v>81580</v>
      </c>
      <c r="CT5" s="570"/>
      <c r="CU5" s="570">
        <v>82510</v>
      </c>
      <c r="CV5" s="570"/>
      <c r="CW5" s="570"/>
      <c r="CX5" s="570">
        <v>82510</v>
      </c>
      <c r="CY5" s="570">
        <v>87600</v>
      </c>
      <c r="CZ5" s="570">
        <v>90380</v>
      </c>
      <c r="DA5" s="570">
        <v>92220</v>
      </c>
      <c r="DB5" s="570">
        <v>96380</v>
      </c>
      <c r="DC5" s="570">
        <v>99160</v>
      </c>
      <c r="DD5" s="570">
        <v>101940</v>
      </c>
      <c r="DE5" s="570">
        <v>100280</v>
      </c>
      <c r="DF5" s="570">
        <v>97240</v>
      </c>
      <c r="DG5" s="570">
        <v>95400</v>
      </c>
      <c r="DH5" s="570">
        <v>92630</v>
      </c>
      <c r="DI5" s="570">
        <v>90790</v>
      </c>
      <c r="DJ5" s="570">
        <v>88010</v>
      </c>
      <c r="DK5" s="570"/>
      <c r="DL5" s="570">
        <v>86170</v>
      </c>
      <c r="DM5" s="570">
        <v>86160</v>
      </c>
      <c r="DN5" s="570">
        <v>88010</v>
      </c>
      <c r="DO5" s="570"/>
      <c r="DP5" s="570">
        <v>88940</v>
      </c>
      <c r="DQ5" s="570">
        <v>89860</v>
      </c>
      <c r="DR5" s="570">
        <v>90790</v>
      </c>
      <c r="DS5" s="570">
        <v>91720</v>
      </c>
      <c r="DT5" s="570"/>
      <c r="DU5" s="570">
        <v>91730</v>
      </c>
      <c r="DV5" s="570"/>
      <c r="DW5" s="570">
        <v>93580</v>
      </c>
      <c r="DX5" s="570">
        <v>99130</v>
      </c>
      <c r="DY5" s="570"/>
      <c r="DZ5" s="570">
        <v>100500</v>
      </c>
      <c r="EA5" s="570">
        <v>97770</v>
      </c>
      <c r="EB5" s="570">
        <v>95930</v>
      </c>
      <c r="EC5" s="570">
        <v>95930</v>
      </c>
    </row>
    <row r="6" spans="4:133" x14ac:dyDescent="0.25">
      <c r="D6" s="569" t="s">
        <v>550</v>
      </c>
      <c r="E6" s="570">
        <v>80170</v>
      </c>
      <c r="F6" s="570">
        <v>82030</v>
      </c>
      <c r="G6" s="570">
        <v>83420</v>
      </c>
      <c r="H6" s="570">
        <v>84350</v>
      </c>
      <c r="I6" s="570">
        <v>88050</v>
      </c>
      <c r="J6" s="570">
        <v>90360</v>
      </c>
      <c r="K6" s="570"/>
      <c r="L6" s="570">
        <v>91290</v>
      </c>
      <c r="M6" s="570">
        <v>92670</v>
      </c>
      <c r="N6" s="570">
        <v>94060</v>
      </c>
      <c r="O6" s="570">
        <v>97120</v>
      </c>
      <c r="P6" s="570">
        <v>100890</v>
      </c>
      <c r="Q6" s="570">
        <v>100880</v>
      </c>
      <c r="R6" s="570">
        <v>100890</v>
      </c>
      <c r="S6" s="570">
        <v>100890</v>
      </c>
      <c r="T6" s="570"/>
      <c r="U6" s="570">
        <v>99040</v>
      </c>
      <c r="V6" s="570">
        <v>99030</v>
      </c>
      <c r="W6" s="570">
        <v>99060</v>
      </c>
      <c r="X6" s="570">
        <v>100450</v>
      </c>
      <c r="Y6" s="570">
        <v>100450</v>
      </c>
      <c r="Z6" s="570">
        <v>95330</v>
      </c>
      <c r="AA6" s="570">
        <v>88870</v>
      </c>
      <c r="AB6" s="570">
        <v>81920</v>
      </c>
      <c r="AC6" s="570">
        <v>80775</v>
      </c>
      <c r="AD6" s="570">
        <v>79025</v>
      </c>
      <c r="AE6" s="570"/>
      <c r="AF6" s="570">
        <v>79015</v>
      </c>
      <c r="AG6" s="570">
        <v>79015</v>
      </c>
      <c r="AH6" s="570"/>
      <c r="AI6" s="570"/>
      <c r="AJ6" s="570"/>
      <c r="AK6" s="570">
        <v>79015</v>
      </c>
      <c r="AL6" s="570">
        <v>79105</v>
      </c>
      <c r="AM6" s="570">
        <v>77255</v>
      </c>
      <c r="AN6" s="570">
        <v>77255</v>
      </c>
      <c r="AO6" s="570">
        <v>75870</v>
      </c>
      <c r="AP6" s="570">
        <v>74941</v>
      </c>
      <c r="AQ6" s="570">
        <v>73563</v>
      </c>
      <c r="AR6" s="570"/>
      <c r="AS6" s="570">
        <v>71711</v>
      </c>
      <c r="AT6" s="570"/>
      <c r="AU6" s="570">
        <v>71649</v>
      </c>
      <c r="AV6" s="570">
        <v>71629</v>
      </c>
      <c r="AW6" s="570">
        <v>73015</v>
      </c>
      <c r="AX6" s="570">
        <v>73019</v>
      </c>
      <c r="AY6" s="570">
        <v>70248</v>
      </c>
      <c r="AZ6" s="570">
        <v>71173</v>
      </c>
      <c r="BA6" s="570">
        <v>73020</v>
      </c>
      <c r="BB6" s="570">
        <v>71170</v>
      </c>
      <c r="BC6" s="570">
        <v>69780</v>
      </c>
      <c r="BD6" s="570"/>
      <c r="BE6" s="570"/>
      <c r="BF6" s="570">
        <v>68860</v>
      </c>
      <c r="BG6" s="570">
        <v>67940</v>
      </c>
      <c r="BH6" s="570">
        <v>67940</v>
      </c>
      <c r="BI6" s="570">
        <v>68860</v>
      </c>
      <c r="BJ6" s="570"/>
      <c r="BK6" s="570">
        <v>69790</v>
      </c>
      <c r="BL6" s="570"/>
      <c r="BM6" s="570">
        <v>69790</v>
      </c>
      <c r="BN6" s="570">
        <v>71020</v>
      </c>
      <c r="BO6" s="570"/>
      <c r="BP6" s="570">
        <v>71030</v>
      </c>
      <c r="BQ6" s="570">
        <v>70120</v>
      </c>
      <c r="BR6" s="570">
        <v>67350</v>
      </c>
      <c r="BS6" s="570"/>
      <c r="BT6" s="570">
        <v>64580</v>
      </c>
      <c r="BU6" s="570">
        <v>65510</v>
      </c>
      <c r="BV6" s="570">
        <v>66440</v>
      </c>
      <c r="BW6" s="570">
        <v>68290</v>
      </c>
      <c r="BX6" s="570">
        <v>69680</v>
      </c>
      <c r="BY6" s="570">
        <v>71040</v>
      </c>
      <c r="BZ6" s="570">
        <v>73820</v>
      </c>
      <c r="CA6" s="570">
        <v>74750</v>
      </c>
      <c r="CB6" s="570"/>
      <c r="CC6" s="570"/>
      <c r="CD6" s="570">
        <v>75670</v>
      </c>
      <c r="CE6" s="570">
        <v>75670</v>
      </c>
      <c r="CF6" s="570">
        <v>77060</v>
      </c>
      <c r="CG6" s="570"/>
      <c r="CH6" s="570">
        <v>77990</v>
      </c>
      <c r="CI6" s="570"/>
      <c r="CJ6" s="570"/>
      <c r="CK6" s="570">
        <v>78930</v>
      </c>
      <c r="CL6" s="570">
        <v>79860</v>
      </c>
      <c r="CM6" s="570">
        <v>80790</v>
      </c>
      <c r="CN6" s="570">
        <v>83570</v>
      </c>
      <c r="CO6" s="570"/>
      <c r="CP6" s="570"/>
      <c r="CQ6" s="570">
        <v>85420</v>
      </c>
      <c r="CR6" s="570"/>
      <c r="CS6" s="570"/>
      <c r="CT6" s="570"/>
      <c r="CU6" s="570">
        <v>86340</v>
      </c>
      <c r="CV6" s="570"/>
      <c r="CW6" s="570"/>
      <c r="CX6" s="570">
        <v>86340</v>
      </c>
      <c r="CY6" s="570">
        <v>91890</v>
      </c>
      <c r="CZ6" s="570">
        <v>94670</v>
      </c>
      <c r="DA6" s="570">
        <v>96510</v>
      </c>
      <c r="DB6" s="570">
        <v>99290</v>
      </c>
      <c r="DC6" s="570">
        <v>102070</v>
      </c>
      <c r="DD6" s="570">
        <v>105770</v>
      </c>
      <c r="DE6" s="570">
        <v>104850</v>
      </c>
      <c r="DF6" s="570">
        <v>102080</v>
      </c>
      <c r="DG6" s="570">
        <v>100240</v>
      </c>
      <c r="DH6" s="570">
        <v>97470</v>
      </c>
      <c r="DI6" s="570">
        <v>95630</v>
      </c>
      <c r="DJ6" s="570">
        <v>92850</v>
      </c>
      <c r="DK6" s="570"/>
      <c r="DL6" s="570">
        <v>91010</v>
      </c>
      <c r="DM6" s="570">
        <v>91000</v>
      </c>
      <c r="DN6" s="570">
        <v>92850</v>
      </c>
      <c r="DO6" s="570"/>
      <c r="DP6" s="570">
        <v>93780</v>
      </c>
      <c r="DQ6" s="570">
        <v>94700</v>
      </c>
      <c r="DR6" s="570">
        <v>95630</v>
      </c>
      <c r="DS6" s="570">
        <v>96560</v>
      </c>
      <c r="DT6" s="570"/>
      <c r="DU6" s="570">
        <v>96570</v>
      </c>
      <c r="DV6" s="570"/>
      <c r="DW6" s="570">
        <v>97960</v>
      </c>
      <c r="DX6" s="570">
        <v>103510</v>
      </c>
      <c r="DY6" s="570"/>
      <c r="DZ6" s="570">
        <v>104880</v>
      </c>
      <c r="EA6" s="570">
        <v>102150</v>
      </c>
      <c r="EB6" s="570">
        <v>100310</v>
      </c>
      <c r="EC6" s="570">
        <v>100310</v>
      </c>
    </row>
    <row r="7" spans="4:133" x14ac:dyDescent="0.25">
      <c r="D7" s="569" t="s">
        <v>547</v>
      </c>
      <c r="E7" s="570">
        <v>78430</v>
      </c>
      <c r="F7" s="570">
        <v>80280</v>
      </c>
      <c r="G7" s="570">
        <v>81210</v>
      </c>
      <c r="H7" s="570">
        <v>81210</v>
      </c>
      <c r="I7" s="570">
        <v>83610</v>
      </c>
      <c r="J7" s="570">
        <v>85470</v>
      </c>
      <c r="K7" s="570">
        <v>86400</v>
      </c>
      <c r="L7" s="570">
        <v>84550</v>
      </c>
      <c r="M7" s="570">
        <v>85930</v>
      </c>
      <c r="N7" s="570">
        <v>87780</v>
      </c>
      <c r="O7" s="570">
        <v>89880</v>
      </c>
      <c r="P7" s="570">
        <v>92650</v>
      </c>
      <c r="Q7" s="570">
        <v>92640</v>
      </c>
      <c r="R7" s="570">
        <v>92650</v>
      </c>
      <c r="S7" s="570">
        <v>92650</v>
      </c>
      <c r="T7" s="570"/>
      <c r="U7" s="570">
        <v>92650</v>
      </c>
      <c r="V7" s="570">
        <v>92640</v>
      </c>
      <c r="W7" s="570">
        <v>92670</v>
      </c>
      <c r="X7" s="570">
        <v>94060</v>
      </c>
      <c r="Y7" s="570">
        <v>94060</v>
      </c>
      <c r="Z7" s="570">
        <v>89440</v>
      </c>
      <c r="AA7" s="570">
        <v>83900</v>
      </c>
      <c r="AB7" s="570">
        <v>82070</v>
      </c>
      <c r="AC7" s="570">
        <v>82195</v>
      </c>
      <c r="AD7" s="570">
        <v>80345</v>
      </c>
      <c r="AE7" s="570"/>
      <c r="AF7" s="570">
        <v>80335</v>
      </c>
      <c r="AG7" s="570">
        <v>80335</v>
      </c>
      <c r="AH7" s="570"/>
      <c r="AI7" s="570"/>
      <c r="AJ7" s="570"/>
      <c r="AK7" s="570">
        <v>80335</v>
      </c>
      <c r="AL7" s="570">
        <v>78745</v>
      </c>
      <c r="AM7" s="570">
        <v>76905</v>
      </c>
      <c r="AN7" s="570">
        <v>76905</v>
      </c>
      <c r="AO7" s="570">
        <v>75520</v>
      </c>
      <c r="AP7" s="570">
        <v>74591</v>
      </c>
      <c r="AQ7" s="570">
        <v>72286</v>
      </c>
      <c r="AR7" s="570"/>
      <c r="AS7" s="570">
        <v>70437</v>
      </c>
      <c r="AT7" s="570"/>
      <c r="AU7" s="570">
        <v>70365</v>
      </c>
      <c r="AV7" s="570">
        <v>70355</v>
      </c>
      <c r="AW7" s="570">
        <v>71741</v>
      </c>
      <c r="AX7" s="570">
        <v>71745</v>
      </c>
      <c r="AY7" s="570">
        <v>68974</v>
      </c>
      <c r="AZ7" s="570">
        <v>69899</v>
      </c>
      <c r="BA7" s="570">
        <v>71740</v>
      </c>
      <c r="BB7" s="570">
        <v>69890</v>
      </c>
      <c r="BC7" s="570">
        <v>68500</v>
      </c>
      <c r="BD7" s="570"/>
      <c r="BE7" s="570"/>
      <c r="BF7" s="570">
        <v>67580</v>
      </c>
      <c r="BG7" s="570">
        <v>66660</v>
      </c>
      <c r="BH7" s="570">
        <v>66660</v>
      </c>
      <c r="BI7" s="570">
        <v>66660</v>
      </c>
      <c r="BJ7" s="570"/>
      <c r="BK7" s="570">
        <v>67590</v>
      </c>
      <c r="BL7" s="570"/>
      <c r="BM7" s="570">
        <v>67590</v>
      </c>
      <c r="BN7" s="570">
        <v>67590</v>
      </c>
      <c r="BO7" s="570"/>
      <c r="BP7" s="570">
        <v>67600</v>
      </c>
      <c r="BQ7" s="570">
        <v>66690</v>
      </c>
      <c r="BR7" s="570">
        <v>63920</v>
      </c>
      <c r="BS7" s="570"/>
      <c r="BT7" s="570">
        <v>63920</v>
      </c>
      <c r="BU7" s="570">
        <v>64850</v>
      </c>
      <c r="BV7" s="570">
        <v>65780</v>
      </c>
      <c r="BW7" s="570">
        <v>66710</v>
      </c>
      <c r="BX7" s="570">
        <v>68100</v>
      </c>
      <c r="BY7" s="570">
        <v>69460</v>
      </c>
      <c r="BZ7" s="570"/>
      <c r="CA7" s="570">
        <v>71310</v>
      </c>
      <c r="CB7" s="570"/>
      <c r="CC7" s="570"/>
      <c r="CD7" s="570">
        <v>71310</v>
      </c>
      <c r="CE7" s="570">
        <v>71310</v>
      </c>
      <c r="CF7" s="570">
        <v>72700</v>
      </c>
      <c r="CG7" s="570"/>
      <c r="CH7" s="570">
        <v>73630</v>
      </c>
      <c r="CI7" s="570"/>
      <c r="CJ7" s="570"/>
      <c r="CK7" s="570">
        <v>74570</v>
      </c>
      <c r="CL7" s="570">
        <v>74580</v>
      </c>
      <c r="CM7" s="570">
        <v>75510</v>
      </c>
      <c r="CN7" s="570">
        <v>78290</v>
      </c>
      <c r="CO7" s="570"/>
      <c r="CP7" s="570"/>
      <c r="CQ7" s="570">
        <v>80140</v>
      </c>
      <c r="CR7" s="570"/>
      <c r="CS7" s="570"/>
      <c r="CT7" s="570"/>
      <c r="CU7" s="570">
        <v>80140</v>
      </c>
      <c r="CV7" s="570"/>
      <c r="CW7" s="570"/>
      <c r="CX7" s="570">
        <v>80140</v>
      </c>
      <c r="CY7" s="570">
        <v>85960</v>
      </c>
      <c r="CZ7" s="570">
        <v>88740</v>
      </c>
      <c r="DA7" s="570">
        <v>90580</v>
      </c>
      <c r="DB7" s="570">
        <v>92430</v>
      </c>
      <c r="DC7" s="570">
        <v>94280</v>
      </c>
      <c r="DD7" s="570">
        <v>97980</v>
      </c>
      <c r="DE7" s="570">
        <v>96140</v>
      </c>
      <c r="DF7" s="570">
        <v>94300</v>
      </c>
      <c r="DG7" s="570">
        <v>91070</v>
      </c>
      <c r="DH7" s="570">
        <v>88300</v>
      </c>
      <c r="DI7" s="570">
        <v>86460</v>
      </c>
      <c r="DJ7" s="570">
        <v>86450</v>
      </c>
      <c r="DK7" s="570"/>
      <c r="DL7" s="570">
        <v>84610</v>
      </c>
      <c r="DM7" s="570">
        <v>84600</v>
      </c>
      <c r="DN7" s="570">
        <v>86450</v>
      </c>
      <c r="DO7" s="570"/>
      <c r="DP7" s="570">
        <v>87380</v>
      </c>
      <c r="DQ7" s="570">
        <v>87380</v>
      </c>
      <c r="DR7" s="570">
        <v>88310</v>
      </c>
      <c r="DS7" s="570">
        <v>89240</v>
      </c>
      <c r="DT7" s="570"/>
      <c r="DU7" s="570">
        <v>89250</v>
      </c>
      <c r="DV7" s="570"/>
      <c r="DW7" s="570">
        <v>90640</v>
      </c>
      <c r="DX7" s="570">
        <v>96650</v>
      </c>
      <c r="DY7" s="570"/>
      <c r="DZ7" s="570">
        <v>98020</v>
      </c>
      <c r="EA7" s="570">
        <v>95290</v>
      </c>
      <c r="EB7" s="570">
        <v>92520</v>
      </c>
      <c r="EC7" s="570">
        <v>91600</v>
      </c>
    </row>
    <row r="8" spans="4:133" x14ac:dyDescent="0.25">
      <c r="D8" s="569" t="s">
        <v>548</v>
      </c>
      <c r="E8" s="570">
        <v>75450</v>
      </c>
      <c r="F8" s="570">
        <v>77310</v>
      </c>
      <c r="G8" s="570">
        <v>78240</v>
      </c>
      <c r="H8" s="570">
        <v>78240</v>
      </c>
      <c r="I8" s="570">
        <v>82470</v>
      </c>
      <c r="J8" s="570">
        <v>84340</v>
      </c>
      <c r="K8" s="570"/>
      <c r="L8" s="570">
        <v>86190</v>
      </c>
      <c r="M8" s="570">
        <v>85860</v>
      </c>
      <c r="N8" s="570">
        <v>88630</v>
      </c>
      <c r="O8" s="570">
        <v>91240</v>
      </c>
      <c r="P8" s="570">
        <v>94010</v>
      </c>
      <c r="Q8" s="570">
        <v>94930</v>
      </c>
      <c r="R8" s="570">
        <v>94930</v>
      </c>
      <c r="S8" s="570">
        <v>94930</v>
      </c>
      <c r="T8" s="570"/>
      <c r="U8" s="570">
        <v>94930</v>
      </c>
      <c r="V8" s="570">
        <v>95850</v>
      </c>
      <c r="W8" s="570">
        <v>95880</v>
      </c>
      <c r="X8" s="570">
        <v>97260</v>
      </c>
      <c r="Y8" s="570">
        <v>97270</v>
      </c>
      <c r="Z8" s="570">
        <v>94500</v>
      </c>
      <c r="AA8" s="570">
        <v>88030</v>
      </c>
      <c r="AB8" s="570">
        <v>84350</v>
      </c>
      <c r="AC8" s="570">
        <v>84475</v>
      </c>
      <c r="AD8" s="570">
        <v>82625</v>
      </c>
      <c r="AE8" s="570"/>
      <c r="AF8" s="570">
        <v>82615</v>
      </c>
      <c r="AG8" s="570">
        <v>82615</v>
      </c>
      <c r="AH8" s="570"/>
      <c r="AI8" s="570"/>
      <c r="AJ8" s="570"/>
      <c r="AK8" s="570">
        <v>82615</v>
      </c>
      <c r="AL8" s="570">
        <v>82015</v>
      </c>
      <c r="AM8" s="570">
        <v>80175</v>
      </c>
      <c r="AN8" s="570">
        <v>79175</v>
      </c>
      <c r="AO8" s="570">
        <v>77790</v>
      </c>
      <c r="AP8" s="570">
        <v>76461</v>
      </c>
      <c r="AQ8" s="570">
        <v>74156</v>
      </c>
      <c r="AR8" s="570"/>
      <c r="AS8" s="570">
        <v>72307</v>
      </c>
      <c r="AT8" s="570"/>
      <c r="AU8" s="570">
        <v>71311</v>
      </c>
      <c r="AV8" s="570">
        <v>70915</v>
      </c>
      <c r="AW8" s="570">
        <v>72301</v>
      </c>
      <c r="AX8" s="570">
        <v>72295</v>
      </c>
      <c r="AY8" s="570">
        <v>69524</v>
      </c>
      <c r="AZ8" s="570">
        <v>70449</v>
      </c>
      <c r="BA8" s="570">
        <v>72290</v>
      </c>
      <c r="BB8" s="570">
        <v>70450</v>
      </c>
      <c r="BC8" s="570">
        <v>69060</v>
      </c>
      <c r="BD8" s="570"/>
      <c r="BE8" s="570"/>
      <c r="BF8" s="570">
        <v>68140</v>
      </c>
      <c r="BG8" s="570">
        <v>67220</v>
      </c>
      <c r="BH8" s="570">
        <v>67220</v>
      </c>
      <c r="BI8" s="570">
        <v>67210</v>
      </c>
      <c r="BJ8" s="570"/>
      <c r="BK8" s="570">
        <v>68140</v>
      </c>
      <c r="BL8" s="570"/>
      <c r="BM8" s="570">
        <v>68140</v>
      </c>
      <c r="BN8" s="570">
        <v>68140</v>
      </c>
      <c r="BO8" s="570"/>
      <c r="BP8" s="570">
        <v>68150</v>
      </c>
      <c r="BQ8" s="570">
        <v>67240</v>
      </c>
      <c r="BR8" s="570">
        <v>64470</v>
      </c>
      <c r="BS8" s="570"/>
      <c r="BT8" s="570">
        <v>64470</v>
      </c>
      <c r="BU8" s="570">
        <v>65400</v>
      </c>
      <c r="BV8" s="570">
        <v>66330</v>
      </c>
      <c r="BW8" s="570">
        <v>67260</v>
      </c>
      <c r="BX8" s="570">
        <v>67260</v>
      </c>
      <c r="BY8" s="570">
        <v>69080</v>
      </c>
      <c r="BZ8" s="570"/>
      <c r="CA8" s="570">
        <v>70930</v>
      </c>
      <c r="CB8" s="570"/>
      <c r="CC8" s="570"/>
      <c r="CD8" s="570">
        <v>70930</v>
      </c>
      <c r="CE8" s="570">
        <v>70930</v>
      </c>
      <c r="CF8" s="570">
        <v>72320</v>
      </c>
      <c r="CG8" s="570"/>
      <c r="CH8" s="570">
        <v>73250</v>
      </c>
      <c r="CI8" s="570"/>
      <c r="CJ8" s="570"/>
      <c r="CK8" s="570">
        <v>74190</v>
      </c>
      <c r="CL8" s="570">
        <v>75120</v>
      </c>
      <c r="CM8" s="570">
        <v>76050</v>
      </c>
      <c r="CN8" s="570">
        <v>78830</v>
      </c>
      <c r="CO8" s="570"/>
      <c r="CP8" s="570"/>
      <c r="CQ8" s="570">
        <v>80680</v>
      </c>
      <c r="CR8" s="570"/>
      <c r="CS8" s="570"/>
      <c r="CT8" s="570"/>
      <c r="CU8" s="570">
        <v>80680</v>
      </c>
      <c r="CV8" s="570"/>
      <c r="CW8" s="570"/>
      <c r="CX8" s="570">
        <v>80680</v>
      </c>
      <c r="CY8" s="570">
        <v>83000</v>
      </c>
      <c r="CZ8" s="570">
        <v>87620</v>
      </c>
      <c r="DA8" s="570">
        <v>87610</v>
      </c>
      <c r="DB8" s="570">
        <v>91310</v>
      </c>
      <c r="DC8" s="570">
        <v>94090</v>
      </c>
      <c r="DD8" s="570">
        <v>96870</v>
      </c>
      <c r="DE8" s="570">
        <v>96870</v>
      </c>
      <c r="DF8" s="570">
        <v>95030</v>
      </c>
      <c r="DG8" s="570">
        <v>93190</v>
      </c>
      <c r="DH8" s="570">
        <v>90420</v>
      </c>
      <c r="DI8" s="570">
        <v>90420</v>
      </c>
      <c r="DJ8" s="570">
        <v>90410</v>
      </c>
      <c r="DK8" s="570"/>
      <c r="DL8" s="570">
        <v>88570</v>
      </c>
      <c r="DM8" s="570">
        <v>88560</v>
      </c>
      <c r="DN8" s="570">
        <v>90410</v>
      </c>
      <c r="DO8" s="570"/>
      <c r="DP8" s="570">
        <v>91340</v>
      </c>
      <c r="DQ8" s="570">
        <v>92260</v>
      </c>
      <c r="DR8" s="570">
        <v>93190</v>
      </c>
      <c r="DS8" s="570">
        <v>94120</v>
      </c>
      <c r="DT8" s="570"/>
      <c r="DU8" s="570">
        <v>94130</v>
      </c>
      <c r="DV8" s="570"/>
      <c r="DW8" s="570">
        <v>95520</v>
      </c>
      <c r="DX8" s="570">
        <v>101070</v>
      </c>
      <c r="DY8" s="570"/>
      <c r="DZ8" s="570">
        <v>102440</v>
      </c>
      <c r="EA8" s="570">
        <v>99710</v>
      </c>
      <c r="EB8" s="570">
        <v>96940</v>
      </c>
      <c r="EC8" s="570">
        <v>96020</v>
      </c>
    </row>
    <row r="9" spans="4:133" x14ac:dyDescent="0.25">
      <c r="D9" s="569" t="s">
        <v>546</v>
      </c>
      <c r="E9" s="570"/>
      <c r="F9" s="570">
        <v>76500</v>
      </c>
      <c r="G9" s="570">
        <v>77430</v>
      </c>
      <c r="H9" s="570">
        <v>77430</v>
      </c>
      <c r="I9" s="570">
        <v>78340</v>
      </c>
      <c r="J9" s="570">
        <v>78320</v>
      </c>
      <c r="K9" s="570"/>
      <c r="L9" s="570">
        <v>78330</v>
      </c>
      <c r="M9" s="570">
        <v>79710</v>
      </c>
      <c r="N9" s="570">
        <v>79710</v>
      </c>
      <c r="O9" s="570">
        <v>81380</v>
      </c>
      <c r="P9" s="570">
        <v>82300</v>
      </c>
      <c r="Q9" s="570">
        <v>82290</v>
      </c>
      <c r="R9" s="570">
        <v>82300</v>
      </c>
      <c r="S9" s="570">
        <v>80910</v>
      </c>
      <c r="T9" s="570">
        <v>79990</v>
      </c>
      <c r="U9" s="570">
        <v>80910</v>
      </c>
      <c r="V9" s="570">
        <v>82290</v>
      </c>
      <c r="W9" s="570">
        <v>84170</v>
      </c>
      <c r="X9" s="570">
        <v>85550</v>
      </c>
      <c r="Y9" s="570">
        <v>85560</v>
      </c>
      <c r="Z9" s="570">
        <v>82790</v>
      </c>
      <c r="AA9" s="570">
        <v>80020</v>
      </c>
      <c r="AB9" s="570">
        <v>75410</v>
      </c>
      <c r="AC9" s="570">
        <v>75535</v>
      </c>
      <c r="AD9" s="570">
        <v>75535</v>
      </c>
      <c r="AE9" s="570"/>
      <c r="AF9" s="570">
        <v>75515</v>
      </c>
      <c r="AG9" s="570">
        <v>76895</v>
      </c>
      <c r="AH9" s="570"/>
      <c r="AI9" s="570"/>
      <c r="AJ9" s="570"/>
      <c r="AK9" s="570">
        <v>76895</v>
      </c>
      <c r="AL9" s="570">
        <v>74795</v>
      </c>
      <c r="AM9" s="570">
        <v>72955</v>
      </c>
      <c r="AN9" s="570">
        <v>73055</v>
      </c>
      <c r="AO9" s="570">
        <v>71670</v>
      </c>
      <c r="AP9" s="570">
        <v>70723</v>
      </c>
      <c r="AQ9" s="570">
        <v>68897</v>
      </c>
      <c r="AR9" s="570"/>
      <c r="AS9" s="570">
        <v>68897</v>
      </c>
      <c r="AT9" s="570"/>
      <c r="AU9" s="570">
        <v>68825</v>
      </c>
      <c r="AV9" s="570">
        <v>68825</v>
      </c>
      <c r="AW9" s="570">
        <v>70211</v>
      </c>
      <c r="AX9" s="570">
        <v>68267</v>
      </c>
      <c r="AY9" s="570">
        <v>65494</v>
      </c>
      <c r="AZ9" s="570">
        <v>66419</v>
      </c>
      <c r="BA9" s="570">
        <v>68260</v>
      </c>
      <c r="BB9" s="570">
        <v>68260</v>
      </c>
      <c r="BC9" s="570">
        <v>68260</v>
      </c>
      <c r="BD9" s="570"/>
      <c r="BE9" s="570">
        <v>66880</v>
      </c>
      <c r="BF9" s="570">
        <v>65030</v>
      </c>
      <c r="BG9" s="570">
        <v>64110</v>
      </c>
      <c r="BH9" s="570">
        <v>64110</v>
      </c>
      <c r="BI9" s="570"/>
      <c r="BJ9" s="570">
        <v>65030</v>
      </c>
      <c r="BK9" s="570">
        <v>66420</v>
      </c>
      <c r="BL9" s="570"/>
      <c r="BM9" s="570"/>
      <c r="BN9" s="570">
        <v>66420</v>
      </c>
      <c r="BO9" s="570"/>
      <c r="BP9" s="570">
        <v>66430</v>
      </c>
      <c r="BQ9" s="570">
        <v>64590</v>
      </c>
      <c r="BR9" s="570">
        <v>60900</v>
      </c>
      <c r="BS9" s="570"/>
      <c r="BT9" s="570">
        <v>59060</v>
      </c>
      <c r="BU9" s="570">
        <v>60910</v>
      </c>
      <c r="BV9" s="570">
        <v>62660</v>
      </c>
      <c r="BW9" s="570">
        <v>63590</v>
      </c>
      <c r="BX9" s="570">
        <v>64980</v>
      </c>
      <c r="BY9" s="570">
        <v>66340</v>
      </c>
      <c r="BZ9" s="570"/>
      <c r="CA9" s="570">
        <v>68190</v>
      </c>
      <c r="CB9" s="570">
        <v>68370</v>
      </c>
      <c r="CC9" s="570"/>
      <c r="CD9" s="570">
        <v>66990</v>
      </c>
      <c r="CE9" s="570"/>
      <c r="CF9" s="570">
        <v>66990</v>
      </c>
      <c r="CG9" s="570">
        <v>68840</v>
      </c>
      <c r="CH9" s="570">
        <v>69770</v>
      </c>
      <c r="CI9" s="570"/>
      <c r="CJ9" s="570"/>
      <c r="CK9" s="570">
        <v>71170</v>
      </c>
      <c r="CL9" s="570">
        <v>73020</v>
      </c>
      <c r="CM9" s="570">
        <v>73950</v>
      </c>
      <c r="CN9" s="570">
        <v>76730</v>
      </c>
      <c r="CO9" s="570"/>
      <c r="CP9" s="570">
        <v>79500</v>
      </c>
      <c r="CQ9" s="570">
        <v>81350</v>
      </c>
      <c r="CR9" s="570"/>
      <c r="CS9" s="570"/>
      <c r="CT9" s="570">
        <v>81350</v>
      </c>
      <c r="CU9" s="570">
        <v>78580</v>
      </c>
      <c r="CV9" s="570"/>
      <c r="CW9" s="570"/>
      <c r="CX9" s="570">
        <v>78580</v>
      </c>
      <c r="CY9" s="570">
        <v>83670</v>
      </c>
      <c r="CZ9" s="570">
        <v>88290</v>
      </c>
      <c r="DA9" s="570">
        <v>91050</v>
      </c>
      <c r="DB9" s="570">
        <v>94750</v>
      </c>
      <c r="DC9" s="570">
        <v>98450</v>
      </c>
      <c r="DD9" s="570">
        <v>99840</v>
      </c>
      <c r="DE9" s="570">
        <v>97540</v>
      </c>
      <c r="DF9" s="570">
        <v>94690</v>
      </c>
      <c r="DG9" s="570">
        <v>92390</v>
      </c>
      <c r="DH9" s="570">
        <v>87780</v>
      </c>
      <c r="DI9" s="570">
        <v>85940</v>
      </c>
      <c r="DJ9" s="570">
        <v>85010</v>
      </c>
      <c r="DK9" s="570"/>
      <c r="DL9" s="570">
        <v>85010</v>
      </c>
      <c r="DM9" s="570">
        <v>85000</v>
      </c>
      <c r="DN9" s="570">
        <v>87310</v>
      </c>
      <c r="DO9" s="570">
        <v>88240</v>
      </c>
      <c r="DP9" s="570">
        <v>89170</v>
      </c>
      <c r="DQ9" s="570">
        <v>90560</v>
      </c>
      <c r="DR9" s="570">
        <v>92410</v>
      </c>
      <c r="DS9" s="570">
        <v>93340</v>
      </c>
      <c r="DT9" s="570"/>
      <c r="DU9" s="570">
        <v>94270</v>
      </c>
      <c r="DV9" s="570"/>
      <c r="DW9" s="570">
        <v>97050</v>
      </c>
      <c r="DX9" s="570">
        <v>102600</v>
      </c>
      <c r="DY9" s="570"/>
      <c r="DZ9" s="570">
        <v>104890</v>
      </c>
      <c r="EA9" s="570">
        <v>101240</v>
      </c>
      <c r="EB9" s="570">
        <v>98470</v>
      </c>
      <c r="EC9" s="570">
        <v>96630</v>
      </c>
    </row>
    <row r="10" spans="4:133" x14ac:dyDescent="0.25">
      <c r="D10" s="569" t="s">
        <v>545</v>
      </c>
      <c r="E10" s="570"/>
      <c r="F10" s="570">
        <v>80190</v>
      </c>
      <c r="G10" s="570">
        <v>81580</v>
      </c>
      <c r="H10" s="570">
        <v>82980</v>
      </c>
      <c r="I10" s="570">
        <v>85280</v>
      </c>
      <c r="J10" s="570">
        <v>87540</v>
      </c>
      <c r="K10" s="570"/>
      <c r="L10" s="570">
        <v>87540</v>
      </c>
      <c r="M10" s="570">
        <v>87540</v>
      </c>
      <c r="N10" s="570">
        <v>87540</v>
      </c>
      <c r="O10" s="570">
        <v>88760</v>
      </c>
      <c r="P10" s="570">
        <v>91530</v>
      </c>
      <c r="Q10" s="570">
        <v>93370</v>
      </c>
      <c r="R10" s="570">
        <v>93380</v>
      </c>
      <c r="S10" s="570">
        <v>91990</v>
      </c>
      <c r="T10" s="570"/>
      <c r="U10" s="570">
        <v>90140</v>
      </c>
      <c r="V10" s="570">
        <v>91980</v>
      </c>
      <c r="W10" s="570">
        <v>93860</v>
      </c>
      <c r="X10" s="570">
        <v>95250</v>
      </c>
      <c r="Y10" s="570">
        <v>95250</v>
      </c>
      <c r="Z10" s="570">
        <v>92480</v>
      </c>
      <c r="AA10" s="570">
        <v>86940</v>
      </c>
      <c r="AB10" s="570">
        <v>79530</v>
      </c>
      <c r="AC10" s="570">
        <v>79655</v>
      </c>
      <c r="AD10" s="570">
        <v>79655</v>
      </c>
      <c r="AE10" s="570">
        <v>81135</v>
      </c>
      <c r="AF10" s="570">
        <v>82515</v>
      </c>
      <c r="AG10" s="570">
        <v>83435</v>
      </c>
      <c r="AH10" s="570">
        <v>84365</v>
      </c>
      <c r="AI10" s="570">
        <v>85285</v>
      </c>
      <c r="AJ10" s="570">
        <v>86215</v>
      </c>
      <c r="AK10" s="570">
        <v>88055</v>
      </c>
      <c r="AL10" s="570"/>
      <c r="AM10" s="570">
        <v>87955</v>
      </c>
      <c r="AN10" s="570"/>
      <c r="AO10" s="570">
        <v>87955</v>
      </c>
      <c r="AP10" s="570"/>
      <c r="AQ10" s="570">
        <v>86107</v>
      </c>
      <c r="AR10" s="570">
        <v>84267</v>
      </c>
      <c r="AS10" s="570">
        <v>81490</v>
      </c>
      <c r="AT10" s="570">
        <v>81420</v>
      </c>
      <c r="AU10" s="570">
        <v>82810</v>
      </c>
      <c r="AV10" s="570">
        <v>82810</v>
      </c>
      <c r="AW10" s="570">
        <v>84190</v>
      </c>
      <c r="AX10" s="570"/>
      <c r="AY10" s="570">
        <v>85120</v>
      </c>
      <c r="AZ10" s="570">
        <v>86040</v>
      </c>
      <c r="BA10" s="570">
        <v>86040</v>
      </c>
      <c r="BB10" s="570">
        <v>83270</v>
      </c>
      <c r="BC10" s="570">
        <v>80490</v>
      </c>
      <c r="BD10" s="570">
        <v>79570</v>
      </c>
      <c r="BE10" s="570"/>
      <c r="BF10" s="570">
        <v>77730</v>
      </c>
      <c r="BG10" s="570">
        <v>76340</v>
      </c>
      <c r="BH10" s="570">
        <v>74490</v>
      </c>
      <c r="BI10" s="570">
        <v>74490</v>
      </c>
      <c r="BJ10" s="570"/>
      <c r="BK10" s="570">
        <v>75410</v>
      </c>
      <c r="BL10" s="570">
        <v>75410</v>
      </c>
      <c r="BM10" s="570">
        <v>74490</v>
      </c>
      <c r="BN10" s="570">
        <v>73110</v>
      </c>
      <c r="BO10" s="570">
        <v>71740</v>
      </c>
      <c r="BP10" s="570">
        <v>70820</v>
      </c>
      <c r="BQ10" s="570">
        <v>68060</v>
      </c>
      <c r="BR10" s="570">
        <v>65290</v>
      </c>
      <c r="BS10" s="570">
        <v>65290</v>
      </c>
      <c r="BT10" s="570"/>
      <c r="BU10" s="570">
        <v>66220</v>
      </c>
      <c r="BV10" s="570">
        <v>69000</v>
      </c>
      <c r="BW10" s="570"/>
      <c r="BX10" s="570">
        <v>71310</v>
      </c>
      <c r="BY10" s="570">
        <v>73130</v>
      </c>
      <c r="BZ10" s="570"/>
      <c r="CA10" s="570">
        <v>74520</v>
      </c>
      <c r="CB10" s="570"/>
      <c r="CC10" s="570">
        <v>73590</v>
      </c>
      <c r="CD10" s="570">
        <v>72670</v>
      </c>
      <c r="CE10" s="570"/>
      <c r="CF10" s="570"/>
      <c r="CG10" s="570">
        <v>72670</v>
      </c>
      <c r="CH10" s="570">
        <v>73600</v>
      </c>
      <c r="CI10" s="570">
        <v>74540</v>
      </c>
      <c r="CJ10" s="570">
        <v>76850</v>
      </c>
      <c r="CK10" s="570">
        <v>78240</v>
      </c>
      <c r="CL10" s="570">
        <v>79630</v>
      </c>
      <c r="CM10" s="570">
        <v>82410</v>
      </c>
      <c r="CN10" s="570">
        <v>84260</v>
      </c>
      <c r="CO10" s="570">
        <v>87960</v>
      </c>
      <c r="CP10" s="570"/>
      <c r="CQ10" s="570">
        <v>92580</v>
      </c>
      <c r="CR10" s="570">
        <v>92580</v>
      </c>
      <c r="CS10" s="570"/>
      <c r="CT10" s="570"/>
      <c r="CU10" s="570">
        <v>93510</v>
      </c>
      <c r="CV10" s="570">
        <v>95360</v>
      </c>
      <c r="CW10" s="570">
        <v>95360</v>
      </c>
      <c r="CX10" s="570">
        <v>97210</v>
      </c>
      <c r="CY10" s="570">
        <v>99990</v>
      </c>
      <c r="CZ10" s="570">
        <v>104610</v>
      </c>
      <c r="DA10" s="570"/>
      <c r="DB10" s="570">
        <v>111070</v>
      </c>
      <c r="DC10" s="570">
        <v>113850</v>
      </c>
      <c r="DD10" s="570"/>
      <c r="DE10" s="570">
        <v>113760</v>
      </c>
      <c r="DF10" s="570">
        <v>110990</v>
      </c>
      <c r="DG10" s="570">
        <v>109150</v>
      </c>
      <c r="DH10" s="570">
        <v>105920</v>
      </c>
      <c r="DI10" s="570">
        <v>103150</v>
      </c>
      <c r="DJ10" s="570">
        <v>100370</v>
      </c>
      <c r="DK10" s="570">
        <v>98530</v>
      </c>
      <c r="DL10" s="570">
        <v>97610</v>
      </c>
      <c r="DM10" s="570">
        <v>97600</v>
      </c>
      <c r="DN10" s="570"/>
      <c r="DO10" s="570">
        <v>99450</v>
      </c>
      <c r="DP10" s="570">
        <v>100840</v>
      </c>
      <c r="DQ10" s="570">
        <v>102690</v>
      </c>
      <c r="DR10" s="570"/>
      <c r="DS10" s="570">
        <v>104540</v>
      </c>
      <c r="DT10" s="570">
        <v>104550</v>
      </c>
      <c r="DU10" s="570">
        <v>105480</v>
      </c>
      <c r="DV10" s="570">
        <v>107790</v>
      </c>
      <c r="DW10" s="570">
        <v>109640</v>
      </c>
      <c r="DX10" s="570">
        <v>115190</v>
      </c>
      <c r="DY10" s="570">
        <v>117020</v>
      </c>
      <c r="DZ10" s="570">
        <v>115180</v>
      </c>
      <c r="EA10" s="570">
        <v>111530</v>
      </c>
      <c r="EB10" s="570">
        <v>106920</v>
      </c>
      <c r="EC10" s="570">
        <v>104150</v>
      </c>
    </row>
    <row r="11" spans="4:133" x14ac:dyDescent="0.25">
      <c r="D11" s="569" t="s">
        <v>543</v>
      </c>
      <c r="E11" s="570"/>
      <c r="F11" s="570">
        <v>81080</v>
      </c>
      <c r="G11" s="570">
        <v>82480</v>
      </c>
      <c r="H11" s="570">
        <v>83870</v>
      </c>
      <c r="I11" s="570">
        <v>86170</v>
      </c>
      <c r="J11" s="570">
        <v>88460</v>
      </c>
      <c r="K11" s="570"/>
      <c r="L11" s="570">
        <v>88460</v>
      </c>
      <c r="M11" s="570">
        <v>88460</v>
      </c>
      <c r="N11" s="570">
        <v>88460</v>
      </c>
      <c r="O11" s="570">
        <v>89660</v>
      </c>
      <c r="P11" s="570">
        <v>92430</v>
      </c>
      <c r="Q11" s="570">
        <v>93810</v>
      </c>
      <c r="R11" s="570">
        <v>93810</v>
      </c>
      <c r="S11" s="570">
        <v>92430</v>
      </c>
      <c r="T11" s="570"/>
      <c r="U11" s="570">
        <v>90580</v>
      </c>
      <c r="V11" s="570">
        <v>92420</v>
      </c>
      <c r="W11" s="570">
        <v>94300</v>
      </c>
      <c r="X11" s="570">
        <v>95690</v>
      </c>
      <c r="Y11" s="570">
        <v>95690</v>
      </c>
      <c r="Z11" s="570">
        <v>92920</v>
      </c>
      <c r="AA11" s="570">
        <v>87380</v>
      </c>
      <c r="AB11" s="570">
        <v>79970</v>
      </c>
      <c r="AC11" s="570">
        <v>80095</v>
      </c>
      <c r="AD11" s="570">
        <v>80095</v>
      </c>
      <c r="AE11" s="570">
        <v>81565</v>
      </c>
      <c r="AF11" s="570">
        <v>82955</v>
      </c>
      <c r="AG11" s="570">
        <v>83875</v>
      </c>
      <c r="AH11" s="570">
        <v>84805</v>
      </c>
      <c r="AI11" s="570">
        <v>85725</v>
      </c>
      <c r="AJ11" s="570">
        <v>86645</v>
      </c>
      <c r="AK11" s="570">
        <v>88495</v>
      </c>
      <c r="AL11" s="570"/>
      <c r="AM11" s="570">
        <v>88395</v>
      </c>
      <c r="AN11" s="570"/>
      <c r="AO11" s="570">
        <v>88495</v>
      </c>
      <c r="AP11" s="570"/>
      <c r="AQ11" s="570">
        <v>86647</v>
      </c>
      <c r="AR11" s="570">
        <v>84797</v>
      </c>
      <c r="AS11" s="570">
        <v>82030</v>
      </c>
      <c r="AT11" s="570">
        <v>81960</v>
      </c>
      <c r="AU11" s="570">
        <v>83350</v>
      </c>
      <c r="AV11" s="570">
        <v>83340</v>
      </c>
      <c r="AW11" s="570">
        <v>84730</v>
      </c>
      <c r="AX11" s="570"/>
      <c r="AY11" s="570">
        <v>85660</v>
      </c>
      <c r="AZ11" s="570">
        <v>86580</v>
      </c>
      <c r="BA11" s="570">
        <v>86570</v>
      </c>
      <c r="BB11" s="570">
        <v>83800</v>
      </c>
      <c r="BC11" s="570">
        <v>81030</v>
      </c>
      <c r="BD11" s="570">
        <v>80110</v>
      </c>
      <c r="BE11" s="570"/>
      <c r="BF11" s="570">
        <v>78260</v>
      </c>
      <c r="BG11" s="570">
        <v>76880</v>
      </c>
      <c r="BH11" s="570">
        <v>75030</v>
      </c>
      <c r="BI11" s="570">
        <v>75030</v>
      </c>
      <c r="BJ11" s="570"/>
      <c r="BK11" s="570">
        <v>75950</v>
      </c>
      <c r="BL11" s="570">
        <v>75950</v>
      </c>
      <c r="BM11" s="570">
        <v>75030</v>
      </c>
      <c r="BN11" s="570">
        <v>73650</v>
      </c>
      <c r="BO11" s="570">
        <v>72280</v>
      </c>
      <c r="BP11" s="570">
        <v>71360</v>
      </c>
      <c r="BQ11" s="570">
        <v>68600</v>
      </c>
      <c r="BR11" s="570">
        <v>65830</v>
      </c>
      <c r="BS11" s="570">
        <v>65830</v>
      </c>
      <c r="BT11" s="570"/>
      <c r="BU11" s="570">
        <v>66760</v>
      </c>
      <c r="BV11" s="570">
        <v>69340</v>
      </c>
      <c r="BW11" s="570"/>
      <c r="BX11" s="570">
        <v>71190</v>
      </c>
      <c r="BY11" s="570">
        <v>73010</v>
      </c>
      <c r="BZ11" s="570"/>
      <c r="CA11" s="570">
        <v>74400</v>
      </c>
      <c r="CB11" s="570"/>
      <c r="CC11" s="570">
        <v>73470</v>
      </c>
      <c r="CD11" s="570">
        <v>72550</v>
      </c>
      <c r="CE11" s="570"/>
      <c r="CF11" s="570"/>
      <c r="CG11" s="570">
        <v>72550</v>
      </c>
      <c r="CH11" s="570">
        <v>73480</v>
      </c>
      <c r="CI11" s="570">
        <v>74420</v>
      </c>
      <c r="CJ11" s="570">
        <v>76730</v>
      </c>
      <c r="CK11" s="570">
        <v>78120</v>
      </c>
      <c r="CL11" s="570">
        <v>79510</v>
      </c>
      <c r="CM11" s="570">
        <v>82290</v>
      </c>
      <c r="CN11" s="570">
        <v>84140</v>
      </c>
      <c r="CO11" s="570">
        <v>87840</v>
      </c>
      <c r="CP11" s="570"/>
      <c r="CQ11" s="570">
        <v>92460</v>
      </c>
      <c r="CR11" s="570">
        <v>92460</v>
      </c>
      <c r="CS11" s="570"/>
      <c r="CT11" s="570"/>
      <c r="CU11" s="570">
        <v>93480</v>
      </c>
      <c r="CV11" s="570">
        <v>95420</v>
      </c>
      <c r="CW11" s="570">
        <v>95420</v>
      </c>
      <c r="CX11" s="570">
        <v>97270</v>
      </c>
      <c r="CY11" s="570">
        <v>100090</v>
      </c>
      <c r="CZ11" s="570">
        <v>104710</v>
      </c>
      <c r="DA11" s="570"/>
      <c r="DB11" s="570">
        <v>111210</v>
      </c>
      <c r="DC11" s="570">
        <v>113990</v>
      </c>
      <c r="DD11" s="570"/>
      <c r="DE11" s="570">
        <v>113900</v>
      </c>
      <c r="DF11" s="570">
        <v>111130</v>
      </c>
      <c r="DG11" s="570">
        <v>109290</v>
      </c>
      <c r="DH11" s="570">
        <v>106060</v>
      </c>
      <c r="DI11" s="570">
        <v>103290</v>
      </c>
      <c r="DJ11" s="570">
        <v>100510</v>
      </c>
      <c r="DK11" s="570">
        <v>98670</v>
      </c>
      <c r="DL11" s="570">
        <v>97750</v>
      </c>
      <c r="DM11" s="570">
        <v>97740</v>
      </c>
      <c r="DN11" s="570"/>
      <c r="DO11" s="570">
        <v>99590</v>
      </c>
      <c r="DP11" s="570">
        <v>100980</v>
      </c>
      <c r="DQ11" s="570">
        <v>102830</v>
      </c>
      <c r="DR11" s="570"/>
      <c r="DS11" s="570">
        <v>104680</v>
      </c>
      <c r="DT11" s="570">
        <v>104690</v>
      </c>
      <c r="DU11" s="570">
        <v>105620</v>
      </c>
      <c r="DV11" s="570">
        <v>107930</v>
      </c>
      <c r="DW11" s="570">
        <v>109780</v>
      </c>
      <c r="DX11" s="570">
        <v>115330</v>
      </c>
      <c r="DY11" s="570">
        <v>117160</v>
      </c>
      <c r="DZ11" s="570">
        <v>115320</v>
      </c>
      <c r="EA11" s="570">
        <v>111670</v>
      </c>
      <c r="EB11" s="570">
        <v>107060</v>
      </c>
      <c r="EC11" s="570">
        <v>104290</v>
      </c>
    </row>
    <row r="12" spans="4:133" x14ac:dyDescent="0.25">
      <c r="D12" s="569" t="s">
        <v>544</v>
      </c>
      <c r="E12" s="570"/>
      <c r="F12" s="570">
        <v>83160</v>
      </c>
      <c r="G12" s="570">
        <v>84560</v>
      </c>
      <c r="H12" s="570">
        <v>85950</v>
      </c>
      <c r="I12" s="570">
        <v>88250</v>
      </c>
      <c r="J12" s="570">
        <v>89570</v>
      </c>
      <c r="K12" s="570"/>
      <c r="L12" s="570">
        <v>89580</v>
      </c>
      <c r="M12" s="570">
        <v>88100</v>
      </c>
      <c r="N12" s="570">
        <v>88100</v>
      </c>
      <c r="O12" s="570">
        <v>89250</v>
      </c>
      <c r="P12" s="570">
        <v>92020</v>
      </c>
      <c r="Q12" s="570">
        <v>93400</v>
      </c>
      <c r="R12" s="570">
        <v>93400</v>
      </c>
      <c r="S12" s="570">
        <v>92020</v>
      </c>
      <c r="T12" s="570"/>
      <c r="U12" s="570">
        <v>90170</v>
      </c>
      <c r="V12" s="570">
        <v>92010</v>
      </c>
      <c r="W12" s="570">
        <v>93890</v>
      </c>
      <c r="X12" s="570">
        <v>95280</v>
      </c>
      <c r="Y12" s="570">
        <v>95280</v>
      </c>
      <c r="Z12" s="570">
        <v>92510</v>
      </c>
      <c r="AA12" s="570">
        <v>86970</v>
      </c>
      <c r="AB12" s="570">
        <v>79560</v>
      </c>
      <c r="AC12" s="570">
        <v>79685</v>
      </c>
      <c r="AD12" s="570">
        <v>79685</v>
      </c>
      <c r="AE12" s="570">
        <v>81155</v>
      </c>
      <c r="AF12" s="570">
        <v>82545</v>
      </c>
      <c r="AG12" s="570">
        <v>83465</v>
      </c>
      <c r="AH12" s="570">
        <v>85865</v>
      </c>
      <c r="AI12" s="570">
        <v>86695</v>
      </c>
      <c r="AJ12" s="570">
        <v>87615</v>
      </c>
      <c r="AK12" s="570">
        <v>89465</v>
      </c>
      <c r="AL12" s="570"/>
      <c r="AM12" s="570">
        <v>89365</v>
      </c>
      <c r="AN12" s="570"/>
      <c r="AO12" s="570">
        <v>89365</v>
      </c>
      <c r="AP12" s="570"/>
      <c r="AQ12" s="570">
        <v>87517</v>
      </c>
      <c r="AR12" s="570">
        <v>85667</v>
      </c>
      <c r="AS12" s="570">
        <v>82900</v>
      </c>
      <c r="AT12" s="570">
        <v>82830</v>
      </c>
      <c r="AU12" s="570">
        <v>84220</v>
      </c>
      <c r="AV12" s="570">
        <v>84210</v>
      </c>
      <c r="AW12" s="570">
        <v>85600</v>
      </c>
      <c r="AX12" s="570"/>
      <c r="AY12" s="570">
        <v>86520</v>
      </c>
      <c r="AZ12" s="570">
        <v>87450</v>
      </c>
      <c r="BA12" s="570">
        <v>87440</v>
      </c>
      <c r="BB12" s="570">
        <v>84670</v>
      </c>
      <c r="BC12" s="570">
        <v>81900</v>
      </c>
      <c r="BD12" s="570">
        <v>80980</v>
      </c>
      <c r="BE12" s="570"/>
      <c r="BF12" s="570">
        <v>79130</v>
      </c>
      <c r="BG12" s="570">
        <v>77750</v>
      </c>
      <c r="BH12" s="570">
        <v>75900</v>
      </c>
      <c r="BI12" s="570">
        <v>75900</v>
      </c>
      <c r="BJ12" s="570"/>
      <c r="BK12" s="570">
        <v>76820</v>
      </c>
      <c r="BL12" s="570">
        <v>76820</v>
      </c>
      <c r="BM12" s="570">
        <v>75900</v>
      </c>
      <c r="BN12" s="570">
        <v>74520</v>
      </c>
      <c r="BO12" s="570">
        <v>73150</v>
      </c>
      <c r="BP12" s="570">
        <v>72230</v>
      </c>
      <c r="BQ12" s="570">
        <v>69470</v>
      </c>
      <c r="BR12" s="570">
        <v>66700</v>
      </c>
      <c r="BS12" s="570">
        <v>66700</v>
      </c>
      <c r="BT12" s="570"/>
      <c r="BU12" s="570">
        <v>67630</v>
      </c>
      <c r="BV12" s="570">
        <v>70410</v>
      </c>
      <c r="BW12" s="570"/>
      <c r="BX12" s="570">
        <v>72260</v>
      </c>
      <c r="BY12" s="570">
        <v>74080</v>
      </c>
      <c r="BZ12" s="570"/>
      <c r="CA12" s="570">
        <v>75470</v>
      </c>
      <c r="CB12" s="570"/>
      <c r="CC12" s="570">
        <v>74360</v>
      </c>
      <c r="CD12" s="570">
        <v>73440</v>
      </c>
      <c r="CE12" s="570"/>
      <c r="CF12" s="570"/>
      <c r="CG12" s="570">
        <v>73440</v>
      </c>
      <c r="CH12" s="570">
        <v>74370</v>
      </c>
      <c r="CI12" s="570">
        <v>75310</v>
      </c>
      <c r="CJ12" s="570">
        <v>77620</v>
      </c>
      <c r="CK12" s="570">
        <v>79010</v>
      </c>
      <c r="CL12" s="570">
        <v>80400</v>
      </c>
      <c r="CM12" s="570">
        <v>83180</v>
      </c>
      <c r="CN12" s="570">
        <v>85030</v>
      </c>
      <c r="CO12" s="570">
        <v>88730</v>
      </c>
      <c r="CP12" s="570"/>
      <c r="CQ12" s="570">
        <v>93350</v>
      </c>
      <c r="CR12" s="570">
        <v>93350</v>
      </c>
      <c r="CS12" s="570"/>
      <c r="CT12" s="570"/>
      <c r="CU12" s="570">
        <v>94280</v>
      </c>
      <c r="CV12" s="570">
        <v>96180</v>
      </c>
      <c r="CW12" s="570">
        <v>96180</v>
      </c>
      <c r="CX12" s="570">
        <v>98030</v>
      </c>
      <c r="CY12" s="570">
        <v>100810</v>
      </c>
      <c r="CZ12" s="570">
        <v>105430</v>
      </c>
      <c r="DA12" s="570"/>
      <c r="DB12" s="570">
        <v>111890</v>
      </c>
      <c r="DC12" s="570">
        <v>114670</v>
      </c>
      <c r="DD12" s="570"/>
      <c r="DE12" s="570">
        <v>114680</v>
      </c>
      <c r="DF12" s="570">
        <v>111910</v>
      </c>
      <c r="DG12" s="570">
        <v>110070</v>
      </c>
      <c r="DH12" s="570">
        <v>106840</v>
      </c>
      <c r="DI12" s="570">
        <v>104070</v>
      </c>
      <c r="DJ12" s="570">
        <v>101290</v>
      </c>
      <c r="DK12" s="570">
        <v>99450</v>
      </c>
      <c r="DL12" s="570">
        <v>98440</v>
      </c>
      <c r="DM12" s="570">
        <v>98430</v>
      </c>
      <c r="DN12" s="570"/>
      <c r="DO12" s="570">
        <v>100280</v>
      </c>
      <c r="DP12" s="570">
        <v>101670</v>
      </c>
      <c r="DQ12" s="570">
        <v>103980</v>
      </c>
      <c r="DR12" s="570"/>
      <c r="DS12" s="570">
        <v>105830</v>
      </c>
      <c r="DT12" s="570">
        <v>105840</v>
      </c>
      <c r="DU12" s="570">
        <v>106770</v>
      </c>
      <c r="DV12" s="570">
        <v>109080</v>
      </c>
      <c r="DW12" s="570">
        <v>110930</v>
      </c>
      <c r="DX12" s="570">
        <v>116480</v>
      </c>
      <c r="DY12" s="570">
        <v>118310</v>
      </c>
      <c r="DZ12" s="570">
        <v>116470</v>
      </c>
      <c r="EA12" s="570">
        <v>112820</v>
      </c>
      <c r="EB12" s="570">
        <v>108210</v>
      </c>
      <c r="EC12" s="570">
        <v>105440</v>
      </c>
    </row>
    <row r="13" spans="4:133" x14ac:dyDescent="0.25">
      <c r="D13" s="569" t="s">
        <v>542</v>
      </c>
      <c r="E13" s="570"/>
      <c r="F13" s="570">
        <v>83420</v>
      </c>
      <c r="G13" s="570">
        <v>84820</v>
      </c>
      <c r="H13" s="570">
        <v>86210</v>
      </c>
      <c r="I13" s="570">
        <v>88510</v>
      </c>
      <c r="J13" s="570">
        <v>91220</v>
      </c>
      <c r="K13" s="570"/>
      <c r="L13" s="570">
        <v>91220</v>
      </c>
      <c r="M13" s="570">
        <v>89740</v>
      </c>
      <c r="N13" s="570">
        <v>89740</v>
      </c>
      <c r="O13" s="570">
        <v>91220</v>
      </c>
      <c r="P13" s="570">
        <v>94000</v>
      </c>
      <c r="Q13" s="570">
        <v>95374</v>
      </c>
      <c r="R13" s="570">
        <v>95380</v>
      </c>
      <c r="S13" s="570">
        <v>94000</v>
      </c>
      <c r="T13" s="570"/>
      <c r="U13" s="570">
        <v>92150</v>
      </c>
      <c r="V13" s="570">
        <v>93990</v>
      </c>
      <c r="W13" s="570">
        <v>96320</v>
      </c>
      <c r="X13" s="570">
        <v>97710</v>
      </c>
      <c r="Y13" s="570">
        <v>97710</v>
      </c>
      <c r="Z13" s="570">
        <v>94940</v>
      </c>
      <c r="AA13" s="570">
        <v>89400</v>
      </c>
      <c r="AB13" s="570">
        <v>82050</v>
      </c>
      <c r="AC13" s="570">
        <v>82175</v>
      </c>
      <c r="AD13" s="570">
        <v>82175</v>
      </c>
      <c r="AE13" s="570">
        <v>83655</v>
      </c>
      <c r="AF13" s="570">
        <v>85035</v>
      </c>
      <c r="AG13" s="570">
        <v>85955</v>
      </c>
      <c r="AH13" s="570">
        <v>87545</v>
      </c>
      <c r="AI13" s="570">
        <v>88365</v>
      </c>
      <c r="AJ13" s="570">
        <v>89295</v>
      </c>
      <c r="AK13" s="570">
        <v>90945</v>
      </c>
      <c r="AL13" s="570"/>
      <c r="AM13" s="570">
        <v>90845</v>
      </c>
      <c r="AN13" s="570"/>
      <c r="AO13" s="570">
        <v>90645</v>
      </c>
      <c r="AP13" s="570"/>
      <c r="AQ13" s="570">
        <v>88797</v>
      </c>
      <c r="AR13" s="570">
        <v>86947</v>
      </c>
      <c r="AS13" s="570">
        <v>84170</v>
      </c>
      <c r="AT13" s="570">
        <v>84110</v>
      </c>
      <c r="AU13" s="570">
        <v>84850</v>
      </c>
      <c r="AV13" s="570">
        <v>84780</v>
      </c>
      <c r="AW13" s="570">
        <v>86170</v>
      </c>
      <c r="AX13" s="570"/>
      <c r="AY13" s="570">
        <v>87090</v>
      </c>
      <c r="AZ13" s="570">
        <v>88020</v>
      </c>
      <c r="BA13" s="570">
        <v>88010</v>
      </c>
      <c r="BB13" s="570">
        <v>84320</v>
      </c>
      <c r="BC13" s="570">
        <v>81540</v>
      </c>
      <c r="BD13" s="570">
        <v>80620</v>
      </c>
      <c r="BE13" s="570"/>
      <c r="BF13" s="570">
        <v>78770</v>
      </c>
      <c r="BG13" s="570">
        <v>77390</v>
      </c>
      <c r="BH13" s="570">
        <v>75080</v>
      </c>
      <c r="BI13" s="570">
        <v>75080</v>
      </c>
      <c r="BJ13" s="570"/>
      <c r="BK13" s="570">
        <v>76000</v>
      </c>
      <c r="BL13" s="570">
        <v>76000</v>
      </c>
      <c r="BM13" s="570">
        <v>75540</v>
      </c>
      <c r="BN13" s="570">
        <v>74620</v>
      </c>
      <c r="BO13" s="570">
        <v>73250</v>
      </c>
      <c r="BP13" s="570">
        <v>72330</v>
      </c>
      <c r="BQ13" s="570">
        <v>70500</v>
      </c>
      <c r="BR13" s="570">
        <v>67730</v>
      </c>
      <c r="BS13" s="570">
        <v>67730</v>
      </c>
      <c r="BT13" s="570"/>
      <c r="BU13" s="570">
        <v>68660</v>
      </c>
      <c r="BV13" s="570">
        <v>71440</v>
      </c>
      <c r="BW13" s="570"/>
      <c r="BX13" s="570">
        <v>73750</v>
      </c>
      <c r="BY13" s="570">
        <v>75570</v>
      </c>
      <c r="BZ13" s="570"/>
      <c r="CA13" s="570">
        <v>76960</v>
      </c>
      <c r="CB13" s="570"/>
      <c r="CC13" s="570">
        <v>76030</v>
      </c>
      <c r="CD13" s="570">
        <v>75110</v>
      </c>
      <c r="CE13" s="570"/>
      <c r="CF13" s="570"/>
      <c r="CG13" s="570">
        <v>75110</v>
      </c>
      <c r="CH13" s="570">
        <v>76500</v>
      </c>
      <c r="CI13" s="570">
        <v>77900</v>
      </c>
      <c r="CJ13" s="570">
        <v>80680</v>
      </c>
      <c r="CK13" s="570">
        <v>82070</v>
      </c>
      <c r="CL13" s="570">
        <v>83920</v>
      </c>
      <c r="CM13" s="570">
        <v>86700</v>
      </c>
      <c r="CN13" s="570">
        <v>88550</v>
      </c>
      <c r="CO13" s="570">
        <v>92250</v>
      </c>
      <c r="CP13" s="570"/>
      <c r="CQ13" s="570">
        <v>96870</v>
      </c>
      <c r="CR13" s="570">
        <v>96870</v>
      </c>
      <c r="CS13" s="570"/>
      <c r="CT13" s="570"/>
      <c r="CU13" s="570">
        <v>97800</v>
      </c>
      <c r="CV13" s="570">
        <v>99180</v>
      </c>
      <c r="CW13" s="570">
        <v>99180</v>
      </c>
      <c r="CX13" s="570">
        <v>101030</v>
      </c>
      <c r="CY13" s="570">
        <v>103810</v>
      </c>
      <c r="CZ13" s="570">
        <v>108430</v>
      </c>
      <c r="DA13" s="570"/>
      <c r="DB13" s="570">
        <v>114890</v>
      </c>
      <c r="DC13" s="570">
        <v>117670</v>
      </c>
      <c r="DD13" s="570"/>
      <c r="DE13" s="570">
        <v>117680</v>
      </c>
      <c r="DF13" s="570">
        <v>114910</v>
      </c>
      <c r="DG13" s="570">
        <v>113070</v>
      </c>
      <c r="DH13" s="570">
        <v>109840</v>
      </c>
      <c r="DI13" s="570">
        <v>107070</v>
      </c>
      <c r="DJ13" s="570">
        <v>104290</v>
      </c>
      <c r="DK13" s="570">
        <v>102450</v>
      </c>
      <c r="DL13" s="570">
        <v>101530</v>
      </c>
      <c r="DM13" s="570">
        <v>101520</v>
      </c>
      <c r="DN13" s="570"/>
      <c r="DO13" s="570">
        <v>103370</v>
      </c>
      <c r="DP13" s="570">
        <v>104760</v>
      </c>
      <c r="DQ13" s="570">
        <v>106610</v>
      </c>
      <c r="DR13" s="570"/>
      <c r="DS13" s="570">
        <v>108460</v>
      </c>
      <c r="DT13" s="570">
        <v>108470</v>
      </c>
      <c r="DU13" s="570">
        <v>109400</v>
      </c>
      <c r="DV13" s="570">
        <v>111710</v>
      </c>
      <c r="DW13" s="570">
        <v>113560</v>
      </c>
      <c r="DX13" s="570">
        <v>119110</v>
      </c>
      <c r="DY13" s="570">
        <v>120940</v>
      </c>
      <c r="DZ13" s="570">
        <v>119100</v>
      </c>
      <c r="EA13" s="570">
        <v>115450</v>
      </c>
      <c r="EB13" s="570">
        <v>110840</v>
      </c>
      <c r="EC13" s="570">
        <v>108070</v>
      </c>
    </row>
    <row r="16" spans="4:133" s="361" customFormat="1" x14ac:dyDescent="0.25">
      <c r="D16" s="567" t="s">
        <v>109</v>
      </c>
      <c r="E16" s="1007">
        <v>43101</v>
      </c>
      <c r="F16" s="970"/>
      <c r="G16" s="970"/>
      <c r="H16" s="970"/>
      <c r="I16" s="1007">
        <f>33+E16</f>
        <v>43134</v>
      </c>
      <c r="J16" s="970"/>
      <c r="K16" s="1007">
        <f>I16+30</f>
        <v>43164</v>
      </c>
      <c r="L16" s="970"/>
      <c r="M16" s="1007">
        <f>K16+30</f>
        <v>43194</v>
      </c>
      <c r="N16" s="970"/>
      <c r="O16" s="1007">
        <f>M16+30</f>
        <v>43224</v>
      </c>
      <c r="P16" s="970"/>
      <c r="Q16" s="566">
        <v>43252</v>
      </c>
      <c r="R16" s="1007">
        <v>43282</v>
      </c>
      <c r="S16" s="970"/>
      <c r="T16" s="1007">
        <v>43313</v>
      </c>
      <c r="U16" s="970"/>
      <c r="V16" s="566">
        <v>43344</v>
      </c>
      <c r="W16" s="1007">
        <v>43374</v>
      </c>
      <c r="X16" s="970"/>
      <c r="Y16" s="1007">
        <v>43405</v>
      </c>
      <c r="Z16" s="970"/>
      <c r="AA16" s="970"/>
      <c r="AB16" s="566">
        <v>43435</v>
      </c>
      <c r="AC16" s="1007">
        <v>43466</v>
      </c>
      <c r="AD16" s="970"/>
      <c r="AE16" s="1007">
        <v>43497</v>
      </c>
      <c r="AF16" s="970"/>
      <c r="AG16" s="566">
        <v>43525</v>
      </c>
      <c r="AH16" s="1007">
        <v>43556</v>
      </c>
      <c r="AI16" s="970"/>
      <c r="AJ16" s="970"/>
      <c r="AK16" s="970"/>
      <c r="AL16" s="1007">
        <v>43586</v>
      </c>
      <c r="AM16" s="970"/>
      <c r="AN16" s="970"/>
      <c r="AO16" s="970"/>
      <c r="AP16" s="1007">
        <v>43617</v>
      </c>
      <c r="AQ16" s="970"/>
      <c r="AR16" s="970"/>
      <c r="AS16" s="970"/>
      <c r="AT16" s="1007">
        <v>43647</v>
      </c>
      <c r="AU16" s="970"/>
      <c r="AV16" s="1007">
        <v>43678</v>
      </c>
      <c r="AW16" s="970"/>
      <c r="AX16" s="1007">
        <v>43709</v>
      </c>
      <c r="AY16" s="970"/>
      <c r="AZ16" s="970"/>
      <c r="BA16" s="1007">
        <v>43739</v>
      </c>
      <c r="BB16" s="970"/>
      <c r="BC16" s="970"/>
      <c r="BD16" s="1007">
        <v>43770</v>
      </c>
      <c r="BE16" s="970"/>
      <c r="BF16" s="970"/>
      <c r="BG16" s="970"/>
      <c r="BH16" s="566">
        <v>43800</v>
      </c>
      <c r="BI16" s="1007">
        <v>43831</v>
      </c>
      <c r="BJ16" s="970"/>
      <c r="BK16" s="970"/>
      <c r="BL16" s="1007">
        <v>43862</v>
      </c>
      <c r="BM16" s="970"/>
      <c r="BN16" s="970"/>
      <c r="BO16" s="1007">
        <v>43891</v>
      </c>
      <c r="BP16" s="970"/>
      <c r="BQ16" s="1007">
        <v>43922</v>
      </c>
      <c r="BR16" s="970"/>
      <c r="BS16" s="1007">
        <v>43952</v>
      </c>
      <c r="BT16" s="970"/>
      <c r="BU16" s="970"/>
      <c r="BV16" s="1007">
        <v>43983</v>
      </c>
      <c r="BW16" s="970"/>
      <c r="BX16" s="970"/>
      <c r="BY16" s="1007">
        <v>44013</v>
      </c>
      <c r="BZ16" s="970"/>
      <c r="CA16" s="970"/>
      <c r="CB16" s="1007">
        <v>44044</v>
      </c>
      <c r="CC16" s="970"/>
      <c r="CD16" s="970"/>
      <c r="CE16" s="1007">
        <v>44075</v>
      </c>
      <c r="CF16" s="970"/>
      <c r="CG16" s="970"/>
      <c r="CH16" s="970"/>
      <c r="CI16" s="1007">
        <v>44105</v>
      </c>
      <c r="CJ16" s="970"/>
      <c r="CK16" s="970"/>
      <c r="CL16" s="1007">
        <v>44136</v>
      </c>
      <c r="CM16" s="970"/>
      <c r="CN16" s="970"/>
      <c r="CO16" s="1007">
        <v>44166</v>
      </c>
      <c r="CP16" s="970"/>
      <c r="CQ16" s="970"/>
      <c r="CR16" s="1007">
        <v>44197</v>
      </c>
      <c r="CS16" s="970"/>
      <c r="CT16" s="970"/>
      <c r="CU16" s="970"/>
      <c r="CV16" s="1007">
        <v>44228</v>
      </c>
      <c r="CW16" s="970"/>
      <c r="CX16" s="970"/>
      <c r="CY16" s="970"/>
      <c r="CZ16" s="970"/>
      <c r="DA16" s="1007">
        <v>44256</v>
      </c>
      <c r="DB16" s="970"/>
      <c r="DC16" s="970"/>
      <c r="DD16" s="1007">
        <v>44287</v>
      </c>
      <c r="DE16" s="970"/>
      <c r="DF16" s="970"/>
      <c r="DG16" s="1007">
        <v>44317</v>
      </c>
      <c r="DH16" s="970"/>
      <c r="DI16" s="970"/>
      <c r="DJ16" s="1007">
        <v>44348</v>
      </c>
      <c r="DK16" s="970"/>
      <c r="DL16" s="970"/>
      <c r="DM16" s="1007">
        <v>44378</v>
      </c>
      <c r="DN16" s="970"/>
      <c r="DO16" s="970"/>
      <c r="DP16" s="970"/>
      <c r="DQ16" s="1007">
        <v>44409</v>
      </c>
      <c r="DR16" s="970"/>
      <c r="DS16" s="970"/>
      <c r="DT16" s="1007">
        <v>44440</v>
      </c>
      <c r="DU16" s="970"/>
      <c r="DV16" s="1007">
        <v>44470</v>
      </c>
      <c r="DW16" s="970"/>
      <c r="DX16" s="970"/>
      <c r="DY16" s="1007">
        <v>44501</v>
      </c>
      <c r="DZ16" s="970"/>
      <c r="EA16" s="1007">
        <v>44531</v>
      </c>
      <c r="EB16" s="970"/>
      <c r="EC16" s="970"/>
    </row>
    <row r="17" spans="2:133" s="361" customFormat="1" x14ac:dyDescent="0.25">
      <c r="D17" s="567" t="s">
        <v>549</v>
      </c>
      <c r="E17" s="1006">
        <f>AVERAGE(E5:H5)</f>
        <v>80470</v>
      </c>
      <c r="F17" s="1006"/>
      <c r="G17" s="1006"/>
      <c r="H17" s="1006"/>
      <c r="I17" s="1006">
        <f>AVERAGE(I5:J5)</f>
        <v>87410</v>
      </c>
      <c r="J17" s="1006"/>
      <c r="K17" s="1006">
        <f>AVERAGE(K5:L5)</f>
        <v>90410</v>
      </c>
      <c r="L17" s="1006"/>
      <c r="M17" s="1006">
        <f>AVERAGE(M5:N5)</f>
        <v>92485</v>
      </c>
      <c r="N17" s="1006"/>
      <c r="O17" s="1006">
        <f t="shared" ref="O17:O25" si="0">AVERAGE(O5:P5)</f>
        <v>96705</v>
      </c>
      <c r="P17" s="1006"/>
      <c r="Q17" s="571">
        <f>Q5</f>
        <v>98080</v>
      </c>
      <c r="R17" s="1006">
        <f t="shared" ref="R17:R25" si="1">AVERAGE(R5:S5)</f>
        <v>98090</v>
      </c>
      <c r="S17" s="1006"/>
      <c r="T17" s="1006">
        <f t="shared" ref="T17:T25" si="2">AVERAGE(T5:U5)</f>
        <v>98080</v>
      </c>
      <c r="U17" s="1006"/>
      <c r="V17" s="571">
        <f>V5</f>
        <v>98080</v>
      </c>
      <c r="W17" s="1006">
        <f t="shared" ref="W17:W25" si="3">AVERAGE(W5:X5)</f>
        <v>98800</v>
      </c>
      <c r="X17" s="1006"/>
      <c r="Y17" s="1006">
        <f>AVERAGE(Y5:AA5)</f>
        <v>94263.333333333328</v>
      </c>
      <c r="Z17" s="1006"/>
      <c r="AA17" s="1006"/>
      <c r="AB17" s="571">
        <f>AB5</f>
        <v>84730</v>
      </c>
      <c r="AC17" s="1006">
        <f t="shared" ref="AC17:AC25" si="4">AVERAGE(AC5:AD5)</f>
        <v>80700</v>
      </c>
      <c r="AD17" s="1006"/>
      <c r="AE17" s="1006">
        <f t="shared" ref="AE17:AE25" si="5">AVERAGE(AE5:AF5)</f>
        <v>79305</v>
      </c>
      <c r="AF17" s="1006"/>
      <c r="AG17" s="571">
        <f>AG5</f>
        <v>79305</v>
      </c>
      <c r="AH17" s="1006">
        <f>AVERAGE(AH5:AK5)</f>
        <v>79305</v>
      </c>
      <c r="AI17" s="1006"/>
      <c r="AJ17" s="1006"/>
      <c r="AK17" s="1006"/>
      <c r="AL17" s="1006">
        <f>AVERAGE(AL5:AO5)</f>
        <v>76971.25</v>
      </c>
      <c r="AM17" s="1006"/>
      <c r="AN17" s="1006"/>
      <c r="AO17" s="1006"/>
      <c r="AP17" s="1006">
        <f>AVERAGE(AP5:AS5)</f>
        <v>71624</v>
      </c>
      <c r="AQ17" s="1006"/>
      <c r="AR17" s="1006"/>
      <c r="AS17" s="1006"/>
      <c r="AT17" s="1006">
        <f t="shared" ref="AT17:AT25" si="6">AVERAGE(AT5:AU5)</f>
        <v>69865</v>
      </c>
      <c r="AU17" s="1006"/>
      <c r="AV17" s="1006">
        <f t="shared" ref="AV17:AV25" si="7">AVERAGE(AV5:AW5)</f>
        <v>70558</v>
      </c>
      <c r="AW17" s="1006"/>
      <c r="AX17" s="1006">
        <f>AVERAGE(AX5:AZ5)</f>
        <v>69712.666666666672</v>
      </c>
      <c r="AY17" s="1006"/>
      <c r="AZ17" s="1006"/>
      <c r="BA17" s="1006">
        <f>AVERAGE(BA5:BC5)</f>
        <v>68626.666666666672</v>
      </c>
      <c r="BB17" s="1006"/>
      <c r="BC17" s="1006"/>
      <c r="BD17" s="1006">
        <f>AVERAGE(BD5:BG5)</f>
        <v>65705</v>
      </c>
      <c r="BE17" s="1006"/>
      <c r="BF17" s="1006"/>
      <c r="BG17" s="1006"/>
      <c r="BH17" s="571">
        <f>BH5</f>
        <v>65250</v>
      </c>
      <c r="BI17" s="1006">
        <f>AVERAGE(BI5:BK5)</f>
        <v>66630</v>
      </c>
      <c r="BJ17" s="1006"/>
      <c r="BK17" s="1006"/>
      <c r="BL17" s="1006">
        <f>AVERAGE(BL5:BN5)</f>
        <v>67090</v>
      </c>
      <c r="BM17" s="1006"/>
      <c r="BN17" s="1006"/>
      <c r="BO17" s="1006">
        <f t="shared" ref="BO17:BO25" si="8">AVERAGE(BO5:BP5)</f>
        <v>67100</v>
      </c>
      <c r="BP17" s="1006"/>
      <c r="BQ17" s="1006">
        <f t="shared" ref="BQ17:BQ25" si="9">AVERAGE(BQ5:BR5)</f>
        <v>64805</v>
      </c>
      <c r="BR17" s="1006"/>
      <c r="BS17" s="1006">
        <f>AVERAGE(BS5:BU5)</f>
        <v>61115</v>
      </c>
      <c r="BT17" s="1006"/>
      <c r="BU17" s="1006"/>
      <c r="BV17" s="1006">
        <f>AVERAGE(BV5:BX5)</f>
        <v>64206.666666666664</v>
      </c>
      <c r="BW17" s="1006"/>
      <c r="BX17" s="1006"/>
      <c r="BY17" s="1006">
        <f>AVERAGE(BY5:CA5)</f>
        <v>69273.333333333328</v>
      </c>
      <c r="BZ17" s="1006"/>
      <c r="CA17" s="1006"/>
      <c r="CB17" s="1006">
        <f>AVERAGE(CB5:CD5)</f>
        <v>71830</v>
      </c>
      <c r="CC17" s="1006"/>
      <c r="CD17" s="1006"/>
      <c r="CE17" s="1006">
        <f>AVERAGE(CE5:CH5)</f>
        <v>73066.666666666672</v>
      </c>
      <c r="CF17" s="1006"/>
      <c r="CG17" s="1006"/>
      <c r="CH17" s="1006"/>
      <c r="CI17" s="1006">
        <f>AVERAGE(CI5:CK5)</f>
        <v>75090</v>
      </c>
      <c r="CJ17" s="1006"/>
      <c r="CK17" s="1006"/>
      <c r="CL17" s="1006">
        <f>AVERAGE(CL5:CN5)</f>
        <v>77566.666666666672</v>
      </c>
      <c r="CM17" s="1006"/>
      <c r="CN17" s="1006"/>
      <c r="CO17" s="1006">
        <f>AVERAGE(CO5:CQ5)</f>
        <v>81580</v>
      </c>
      <c r="CP17" s="1006"/>
      <c r="CQ17" s="1006"/>
      <c r="CR17" s="1006">
        <f>AVERAGE(CR5:CU5)</f>
        <v>82045</v>
      </c>
      <c r="CS17" s="1006"/>
      <c r="CT17" s="1006"/>
      <c r="CU17" s="1006"/>
      <c r="CV17" s="1006">
        <f>AVERAGE(CV5:CZ5)</f>
        <v>86830</v>
      </c>
      <c r="CW17" s="1006"/>
      <c r="CX17" s="1006"/>
      <c r="CY17" s="1006"/>
      <c r="CZ17" s="1006"/>
      <c r="DA17" s="1006">
        <f>AVERAGE(DA5:DC5)</f>
        <v>95920</v>
      </c>
      <c r="DB17" s="1006"/>
      <c r="DC17" s="1006"/>
      <c r="DD17" s="1006">
        <f>AVERAGE(DD5:DF5)</f>
        <v>99820</v>
      </c>
      <c r="DE17" s="1006"/>
      <c r="DF17" s="1006"/>
      <c r="DG17" s="1006">
        <f>AVERAGE(DG5:DI5)</f>
        <v>92940</v>
      </c>
      <c r="DH17" s="1006"/>
      <c r="DI17" s="1006"/>
      <c r="DJ17" s="1006">
        <f>AVERAGE(DJ5:DL5)</f>
        <v>87090</v>
      </c>
      <c r="DK17" s="1006"/>
      <c r="DL17" s="1006"/>
      <c r="DM17" s="1006">
        <f>AVERAGE(DM5:DP5)</f>
        <v>87703.333333333328</v>
      </c>
      <c r="DN17" s="1006"/>
      <c r="DO17" s="1006"/>
      <c r="DP17" s="1006"/>
      <c r="DQ17" s="1006">
        <f>AVERAGE(DQ5:DS5)</f>
        <v>90790</v>
      </c>
      <c r="DR17" s="1006"/>
      <c r="DS17" s="1006"/>
      <c r="DT17" s="1006">
        <f t="shared" ref="DT17:DT25" si="10">AVERAGE(DT5:DU5)</f>
        <v>91730</v>
      </c>
      <c r="DU17" s="1006"/>
      <c r="DV17" s="1006">
        <f>AVERAGE(DV5:DX5)</f>
        <v>96355</v>
      </c>
      <c r="DW17" s="1006"/>
      <c r="DX17" s="1006"/>
      <c r="DY17" s="1006">
        <f t="shared" ref="DY17:DY25" si="11">AVERAGE(DY5:DZ5)</f>
        <v>100500</v>
      </c>
      <c r="DZ17" s="1006"/>
      <c r="EA17" s="1006">
        <f>AVERAGE(EA5:EC5)</f>
        <v>96543.333333333328</v>
      </c>
      <c r="EB17" s="1006"/>
      <c r="EC17" s="1006"/>
    </row>
    <row r="18" spans="2:133" s="361" customFormat="1" x14ac:dyDescent="0.25">
      <c r="D18" s="567" t="s">
        <v>550</v>
      </c>
      <c r="E18" s="1006">
        <f t="shared" ref="E18:E25" si="12">AVERAGE(E6:H6)</f>
        <v>82492.5</v>
      </c>
      <c r="F18" s="1006"/>
      <c r="G18" s="1006"/>
      <c r="H18" s="1006"/>
      <c r="I18" s="1006">
        <f t="shared" ref="I18:I25" si="13">AVERAGE(I6:J6)</f>
        <v>89205</v>
      </c>
      <c r="J18" s="1006"/>
      <c r="K18" s="1006">
        <f t="shared" ref="K18:M25" si="14">AVERAGE(K6:L6)</f>
        <v>91290</v>
      </c>
      <c r="L18" s="1006"/>
      <c r="M18" s="1006">
        <f t="shared" si="14"/>
        <v>93365</v>
      </c>
      <c r="N18" s="1006"/>
      <c r="O18" s="1006">
        <f t="shared" si="0"/>
        <v>99005</v>
      </c>
      <c r="P18" s="1006"/>
      <c r="Q18" s="571">
        <f t="shared" ref="Q18:Q25" si="15">Q6</f>
        <v>100880</v>
      </c>
      <c r="R18" s="1006">
        <f t="shared" si="1"/>
        <v>100890</v>
      </c>
      <c r="S18" s="1006"/>
      <c r="T18" s="1006">
        <f t="shared" si="2"/>
        <v>99040</v>
      </c>
      <c r="U18" s="1006"/>
      <c r="V18" s="571">
        <f t="shared" ref="V18:V25" si="16">V6</f>
        <v>99030</v>
      </c>
      <c r="W18" s="1006">
        <f t="shared" si="3"/>
        <v>99755</v>
      </c>
      <c r="X18" s="1006"/>
      <c r="Y18" s="1006">
        <f t="shared" ref="Y18:Y25" si="17">AVERAGE(Y6:AA6)</f>
        <v>94883.333333333328</v>
      </c>
      <c r="Z18" s="1006"/>
      <c r="AA18" s="1006"/>
      <c r="AB18" s="571">
        <f t="shared" ref="AB18:AB25" si="18">AB6</f>
        <v>81920</v>
      </c>
      <c r="AC18" s="1006">
        <f t="shared" si="4"/>
        <v>79900</v>
      </c>
      <c r="AD18" s="1006"/>
      <c r="AE18" s="1006">
        <f t="shared" si="5"/>
        <v>79015</v>
      </c>
      <c r="AF18" s="1006"/>
      <c r="AG18" s="571">
        <f t="shared" ref="AG18:AG25" si="19">AG6</f>
        <v>79015</v>
      </c>
      <c r="AH18" s="1006">
        <f t="shared" ref="AH18:AH25" si="20">AVERAGE(AH6:AK6)</f>
        <v>79015</v>
      </c>
      <c r="AI18" s="1006"/>
      <c r="AJ18" s="1006"/>
      <c r="AK18" s="1006"/>
      <c r="AL18" s="1006">
        <f t="shared" ref="AL18:AL25" si="21">AVERAGE(AL6:AO6)</f>
        <v>77371.25</v>
      </c>
      <c r="AM18" s="1006"/>
      <c r="AN18" s="1006"/>
      <c r="AO18" s="1006"/>
      <c r="AP18" s="1006">
        <f t="shared" ref="AP18:AP25" si="22">AVERAGE(AP6:AS6)</f>
        <v>73405</v>
      </c>
      <c r="AQ18" s="1006"/>
      <c r="AR18" s="1006"/>
      <c r="AS18" s="1006"/>
      <c r="AT18" s="1006">
        <f t="shared" si="6"/>
        <v>71649</v>
      </c>
      <c r="AU18" s="1006"/>
      <c r="AV18" s="1006">
        <f t="shared" si="7"/>
        <v>72322</v>
      </c>
      <c r="AW18" s="1006"/>
      <c r="AX18" s="1006">
        <f t="shared" ref="AX18:AX25" si="23">AVERAGE(AX6:AZ6)</f>
        <v>71480</v>
      </c>
      <c r="AY18" s="1006"/>
      <c r="AZ18" s="1006"/>
      <c r="BA18" s="1006">
        <f t="shared" ref="BA18:BA25" si="24">AVERAGE(BA6:BC6)</f>
        <v>71323.333333333328</v>
      </c>
      <c r="BB18" s="1006"/>
      <c r="BC18" s="1006"/>
      <c r="BD18" s="1006">
        <f t="shared" ref="BD18:BD25" si="25">AVERAGE(BD6:BG6)</f>
        <v>68400</v>
      </c>
      <c r="BE18" s="1006"/>
      <c r="BF18" s="1006"/>
      <c r="BG18" s="1006"/>
      <c r="BH18" s="571">
        <f t="shared" ref="BH18:BH25" si="26">BH6</f>
        <v>67940</v>
      </c>
      <c r="BI18" s="1006">
        <f t="shared" ref="BI18:BI25" si="27">AVERAGE(BI6:BK6)</f>
        <v>69325</v>
      </c>
      <c r="BJ18" s="1006"/>
      <c r="BK18" s="1006"/>
      <c r="BL18" s="1006">
        <f t="shared" ref="BL18:BL25" si="28">AVERAGE(BL6:BN6)</f>
        <v>70405</v>
      </c>
      <c r="BM18" s="1006"/>
      <c r="BN18" s="1006"/>
      <c r="BO18" s="1006">
        <f t="shared" si="8"/>
        <v>71030</v>
      </c>
      <c r="BP18" s="1006"/>
      <c r="BQ18" s="1006">
        <f t="shared" si="9"/>
        <v>68735</v>
      </c>
      <c r="BR18" s="1006"/>
      <c r="BS18" s="1006">
        <f t="shared" ref="BS18:BS25" si="29">AVERAGE(BS6:BU6)</f>
        <v>65045</v>
      </c>
      <c r="BT18" s="1006"/>
      <c r="BU18" s="1006"/>
      <c r="BV18" s="1006">
        <f t="shared" ref="BV18:BV25" si="30">AVERAGE(BV6:BX6)</f>
        <v>68136.666666666672</v>
      </c>
      <c r="BW18" s="1006"/>
      <c r="BX18" s="1006"/>
      <c r="BY18" s="1006">
        <f t="shared" ref="BY18:BY25" si="31">AVERAGE(BY6:CA6)</f>
        <v>73203.333333333328</v>
      </c>
      <c r="BZ18" s="1006"/>
      <c r="CA18" s="1006"/>
      <c r="CB18" s="1006">
        <f t="shared" ref="CB18:CB25" si="32">AVERAGE(CB6:CD6)</f>
        <v>75670</v>
      </c>
      <c r="CC18" s="1006"/>
      <c r="CD18" s="1006"/>
      <c r="CE18" s="1006">
        <f t="shared" ref="CE18:CE25" si="33">AVERAGE(CE6:CH6)</f>
        <v>76906.666666666672</v>
      </c>
      <c r="CF18" s="1006"/>
      <c r="CG18" s="1006"/>
      <c r="CH18" s="1006"/>
      <c r="CI18" s="1006">
        <f t="shared" ref="CI18:CI25" si="34">AVERAGE(CI6:CK6)</f>
        <v>78930</v>
      </c>
      <c r="CJ18" s="1006"/>
      <c r="CK18" s="1006"/>
      <c r="CL18" s="1006">
        <f t="shared" ref="CL18:CL25" si="35">AVERAGE(CL6:CN6)</f>
        <v>81406.666666666672</v>
      </c>
      <c r="CM18" s="1006"/>
      <c r="CN18" s="1006"/>
      <c r="CO18" s="1006">
        <f t="shared" ref="CO18:CO25" si="36">AVERAGE(CO6:CQ6)</f>
        <v>85420</v>
      </c>
      <c r="CP18" s="1006"/>
      <c r="CQ18" s="1006"/>
      <c r="CR18" s="1006">
        <f t="shared" ref="CR18:CR25" si="37">AVERAGE(CR6:CU6)</f>
        <v>86340</v>
      </c>
      <c r="CS18" s="1006"/>
      <c r="CT18" s="1006"/>
      <c r="CU18" s="1006"/>
      <c r="CV18" s="1006">
        <f t="shared" ref="CV18:CV25" si="38">AVERAGE(CV6:CZ6)</f>
        <v>90966.666666666672</v>
      </c>
      <c r="CW18" s="1006"/>
      <c r="CX18" s="1006"/>
      <c r="CY18" s="1006"/>
      <c r="CZ18" s="1006"/>
      <c r="DA18" s="1006">
        <f t="shared" ref="DA18:DA25" si="39">AVERAGE(DA6:DC6)</f>
        <v>99290</v>
      </c>
      <c r="DB18" s="1006"/>
      <c r="DC18" s="1006"/>
      <c r="DD18" s="1006">
        <f t="shared" ref="DD18:DD25" si="40">AVERAGE(DD6:DF6)</f>
        <v>104233.33333333333</v>
      </c>
      <c r="DE18" s="1006"/>
      <c r="DF18" s="1006"/>
      <c r="DG18" s="1006">
        <f t="shared" ref="DG18:DG25" si="41">AVERAGE(DG6:DI6)</f>
        <v>97780</v>
      </c>
      <c r="DH18" s="1006"/>
      <c r="DI18" s="1006"/>
      <c r="DJ18" s="1006">
        <f t="shared" ref="DJ18:DJ25" si="42">AVERAGE(DJ6:DL6)</f>
        <v>91930</v>
      </c>
      <c r="DK18" s="1006"/>
      <c r="DL18" s="1006"/>
      <c r="DM18" s="1006">
        <f t="shared" ref="DM18:DM25" si="43">AVERAGE(DM6:DP6)</f>
        <v>92543.333333333328</v>
      </c>
      <c r="DN18" s="1006"/>
      <c r="DO18" s="1006"/>
      <c r="DP18" s="1006"/>
      <c r="DQ18" s="1006">
        <f t="shared" ref="DQ18:DQ25" si="44">AVERAGE(DQ6:DS6)</f>
        <v>95630</v>
      </c>
      <c r="DR18" s="1006"/>
      <c r="DS18" s="1006"/>
      <c r="DT18" s="1006">
        <f t="shared" si="10"/>
        <v>96570</v>
      </c>
      <c r="DU18" s="1006"/>
      <c r="DV18" s="1006">
        <f t="shared" ref="DV18:DV25" si="45">AVERAGE(DV6:DX6)</f>
        <v>100735</v>
      </c>
      <c r="DW18" s="1006"/>
      <c r="DX18" s="1006"/>
      <c r="DY18" s="1006">
        <f t="shared" si="11"/>
        <v>104880</v>
      </c>
      <c r="DZ18" s="1006"/>
      <c r="EA18" s="1006">
        <f t="shared" ref="EA18:EA25" si="46">AVERAGE(EA6:EC6)</f>
        <v>100923.33333333333</v>
      </c>
      <c r="EB18" s="1006"/>
      <c r="EC18" s="1006"/>
    </row>
    <row r="19" spans="2:133" s="361" customFormat="1" x14ac:dyDescent="0.25">
      <c r="D19" s="567" t="s">
        <v>547</v>
      </c>
      <c r="E19" s="1006">
        <f t="shared" si="12"/>
        <v>80282.5</v>
      </c>
      <c r="F19" s="1006"/>
      <c r="G19" s="1006"/>
      <c r="H19" s="1006"/>
      <c r="I19" s="1006">
        <f t="shared" si="13"/>
        <v>84540</v>
      </c>
      <c r="J19" s="1006"/>
      <c r="K19" s="1006">
        <f t="shared" si="14"/>
        <v>85475</v>
      </c>
      <c r="L19" s="1006"/>
      <c r="M19" s="1006">
        <f t="shared" si="14"/>
        <v>86855</v>
      </c>
      <c r="N19" s="1006"/>
      <c r="O19" s="1006">
        <f t="shared" si="0"/>
        <v>91265</v>
      </c>
      <c r="P19" s="1006"/>
      <c r="Q19" s="571">
        <f t="shared" si="15"/>
        <v>92640</v>
      </c>
      <c r="R19" s="1006">
        <f t="shared" si="1"/>
        <v>92650</v>
      </c>
      <c r="S19" s="1006"/>
      <c r="T19" s="1006">
        <f t="shared" si="2"/>
        <v>92650</v>
      </c>
      <c r="U19" s="1006"/>
      <c r="V19" s="571">
        <f t="shared" si="16"/>
        <v>92640</v>
      </c>
      <c r="W19" s="1006">
        <f t="shared" si="3"/>
        <v>93365</v>
      </c>
      <c r="X19" s="1006"/>
      <c r="Y19" s="1006">
        <f t="shared" si="17"/>
        <v>89133.333333333328</v>
      </c>
      <c r="Z19" s="1006"/>
      <c r="AA19" s="1006"/>
      <c r="AB19" s="571">
        <f t="shared" si="18"/>
        <v>82070</v>
      </c>
      <c r="AC19" s="1006">
        <f t="shared" si="4"/>
        <v>81270</v>
      </c>
      <c r="AD19" s="1006"/>
      <c r="AE19" s="1006">
        <f t="shared" si="5"/>
        <v>80335</v>
      </c>
      <c r="AF19" s="1006"/>
      <c r="AG19" s="571">
        <f t="shared" si="19"/>
        <v>80335</v>
      </c>
      <c r="AH19" s="1006">
        <f t="shared" si="20"/>
        <v>80335</v>
      </c>
      <c r="AI19" s="1006"/>
      <c r="AJ19" s="1006"/>
      <c r="AK19" s="1006"/>
      <c r="AL19" s="1006">
        <f t="shared" si="21"/>
        <v>77018.75</v>
      </c>
      <c r="AM19" s="1006"/>
      <c r="AN19" s="1006"/>
      <c r="AO19" s="1006"/>
      <c r="AP19" s="1006">
        <f t="shared" si="22"/>
        <v>72438</v>
      </c>
      <c r="AQ19" s="1006"/>
      <c r="AR19" s="1006"/>
      <c r="AS19" s="1006"/>
      <c r="AT19" s="1006">
        <f t="shared" si="6"/>
        <v>70365</v>
      </c>
      <c r="AU19" s="1006"/>
      <c r="AV19" s="1006">
        <f t="shared" si="7"/>
        <v>71048</v>
      </c>
      <c r="AW19" s="1006"/>
      <c r="AX19" s="1006">
        <f t="shared" si="23"/>
        <v>70206</v>
      </c>
      <c r="AY19" s="1006"/>
      <c r="AZ19" s="1006"/>
      <c r="BA19" s="1006">
        <f t="shared" si="24"/>
        <v>70043.333333333328</v>
      </c>
      <c r="BB19" s="1006"/>
      <c r="BC19" s="1006"/>
      <c r="BD19" s="1006">
        <f t="shared" si="25"/>
        <v>67120</v>
      </c>
      <c r="BE19" s="1006"/>
      <c r="BF19" s="1006"/>
      <c r="BG19" s="1006"/>
      <c r="BH19" s="571">
        <f t="shared" si="26"/>
        <v>66660</v>
      </c>
      <c r="BI19" s="1006">
        <f t="shared" si="27"/>
        <v>67125</v>
      </c>
      <c r="BJ19" s="1006"/>
      <c r="BK19" s="1006"/>
      <c r="BL19" s="1006">
        <f t="shared" si="28"/>
        <v>67590</v>
      </c>
      <c r="BM19" s="1006"/>
      <c r="BN19" s="1006"/>
      <c r="BO19" s="1006">
        <f t="shared" si="8"/>
        <v>67600</v>
      </c>
      <c r="BP19" s="1006"/>
      <c r="BQ19" s="1006">
        <f t="shared" si="9"/>
        <v>65305</v>
      </c>
      <c r="BR19" s="1006"/>
      <c r="BS19" s="1006">
        <f t="shared" si="29"/>
        <v>64385</v>
      </c>
      <c r="BT19" s="1006"/>
      <c r="BU19" s="1006"/>
      <c r="BV19" s="1006">
        <f t="shared" si="30"/>
        <v>66863.333333333328</v>
      </c>
      <c r="BW19" s="1006"/>
      <c r="BX19" s="1006"/>
      <c r="BY19" s="1006">
        <f t="shared" si="31"/>
        <v>70385</v>
      </c>
      <c r="BZ19" s="1006"/>
      <c r="CA19" s="1006"/>
      <c r="CB19" s="1006">
        <f t="shared" si="32"/>
        <v>71310</v>
      </c>
      <c r="CC19" s="1006"/>
      <c r="CD19" s="1006"/>
      <c r="CE19" s="1006">
        <f t="shared" si="33"/>
        <v>72546.666666666672</v>
      </c>
      <c r="CF19" s="1006"/>
      <c r="CG19" s="1006"/>
      <c r="CH19" s="1006"/>
      <c r="CI19" s="1006">
        <f t="shared" si="34"/>
        <v>74570</v>
      </c>
      <c r="CJ19" s="1006"/>
      <c r="CK19" s="1006"/>
      <c r="CL19" s="1006">
        <f t="shared" si="35"/>
        <v>76126.666666666672</v>
      </c>
      <c r="CM19" s="1006"/>
      <c r="CN19" s="1006"/>
      <c r="CO19" s="1006">
        <f t="shared" si="36"/>
        <v>80140</v>
      </c>
      <c r="CP19" s="1006"/>
      <c r="CQ19" s="1006"/>
      <c r="CR19" s="1006">
        <f t="shared" si="37"/>
        <v>80140</v>
      </c>
      <c r="CS19" s="1006"/>
      <c r="CT19" s="1006"/>
      <c r="CU19" s="1006"/>
      <c r="CV19" s="1006">
        <f t="shared" si="38"/>
        <v>84946.666666666672</v>
      </c>
      <c r="CW19" s="1006"/>
      <c r="CX19" s="1006"/>
      <c r="CY19" s="1006"/>
      <c r="CZ19" s="1006"/>
      <c r="DA19" s="1006">
        <f t="shared" si="39"/>
        <v>92430</v>
      </c>
      <c r="DB19" s="1006"/>
      <c r="DC19" s="1006"/>
      <c r="DD19" s="1006">
        <f t="shared" si="40"/>
        <v>96140</v>
      </c>
      <c r="DE19" s="1006"/>
      <c r="DF19" s="1006"/>
      <c r="DG19" s="1006">
        <f t="shared" si="41"/>
        <v>88610</v>
      </c>
      <c r="DH19" s="1006"/>
      <c r="DI19" s="1006"/>
      <c r="DJ19" s="1006">
        <f t="shared" si="42"/>
        <v>85530</v>
      </c>
      <c r="DK19" s="1006"/>
      <c r="DL19" s="1006"/>
      <c r="DM19" s="1006">
        <f t="shared" si="43"/>
        <v>86143.333333333328</v>
      </c>
      <c r="DN19" s="1006"/>
      <c r="DO19" s="1006"/>
      <c r="DP19" s="1006"/>
      <c r="DQ19" s="1006">
        <f t="shared" si="44"/>
        <v>88310</v>
      </c>
      <c r="DR19" s="1006"/>
      <c r="DS19" s="1006"/>
      <c r="DT19" s="1006">
        <f t="shared" si="10"/>
        <v>89250</v>
      </c>
      <c r="DU19" s="1006"/>
      <c r="DV19" s="1006">
        <f t="shared" si="45"/>
        <v>93645</v>
      </c>
      <c r="DW19" s="1006"/>
      <c r="DX19" s="1006"/>
      <c r="DY19" s="1006">
        <f t="shared" si="11"/>
        <v>98020</v>
      </c>
      <c r="DZ19" s="1006"/>
      <c r="EA19" s="1006">
        <f t="shared" si="46"/>
        <v>93136.666666666672</v>
      </c>
      <c r="EB19" s="1006"/>
      <c r="EC19" s="1006"/>
    </row>
    <row r="20" spans="2:133" s="361" customFormat="1" x14ac:dyDescent="0.25">
      <c r="D20" s="567" t="s">
        <v>548</v>
      </c>
      <c r="E20" s="1006">
        <f t="shared" si="12"/>
        <v>77310</v>
      </c>
      <c r="F20" s="1006"/>
      <c r="G20" s="1006"/>
      <c r="H20" s="1006"/>
      <c r="I20" s="1006">
        <f t="shared" si="13"/>
        <v>83405</v>
      </c>
      <c r="J20" s="1006"/>
      <c r="K20" s="1006">
        <f t="shared" si="14"/>
        <v>86190</v>
      </c>
      <c r="L20" s="1006"/>
      <c r="M20" s="1006">
        <f t="shared" si="14"/>
        <v>87245</v>
      </c>
      <c r="N20" s="1006"/>
      <c r="O20" s="1006">
        <f t="shared" si="0"/>
        <v>92625</v>
      </c>
      <c r="P20" s="1006"/>
      <c r="Q20" s="571">
        <f t="shared" si="15"/>
        <v>94930</v>
      </c>
      <c r="R20" s="1006">
        <f t="shared" si="1"/>
        <v>94930</v>
      </c>
      <c r="S20" s="1006"/>
      <c r="T20" s="1006">
        <f t="shared" si="2"/>
        <v>94930</v>
      </c>
      <c r="U20" s="1006"/>
      <c r="V20" s="571">
        <f t="shared" si="16"/>
        <v>95850</v>
      </c>
      <c r="W20" s="1006">
        <f t="shared" si="3"/>
        <v>96570</v>
      </c>
      <c r="X20" s="1006"/>
      <c r="Y20" s="1006">
        <f t="shared" si="17"/>
        <v>93266.666666666672</v>
      </c>
      <c r="Z20" s="1006"/>
      <c r="AA20" s="1006"/>
      <c r="AB20" s="571">
        <f t="shared" si="18"/>
        <v>84350</v>
      </c>
      <c r="AC20" s="1006">
        <f t="shared" si="4"/>
        <v>83550</v>
      </c>
      <c r="AD20" s="1006"/>
      <c r="AE20" s="1006">
        <f t="shared" si="5"/>
        <v>82615</v>
      </c>
      <c r="AF20" s="1006"/>
      <c r="AG20" s="571">
        <f t="shared" si="19"/>
        <v>82615</v>
      </c>
      <c r="AH20" s="1006">
        <f t="shared" si="20"/>
        <v>82615</v>
      </c>
      <c r="AI20" s="1006"/>
      <c r="AJ20" s="1006"/>
      <c r="AK20" s="1006"/>
      <c r="AL20" s="1006">
        <f t="shared" si="21"/>
        <v>79788.75</v>
      </c>
      <c r="AM20" s="1006"/>
      <c r="AN20" s="1006"/>
      <c r="AO20" s="1006"/>
      <c r="AP20" s="1006">
        <f t="shared" si="22"/>
        <v>74308</v>
      </c>
      <c r="AQ20" s="1006"/>
      <c r="AR20" s="1006"/>
      <c r="AS20" s="1006"/>
      <c r="AT20" s="1006">
        <f t="shared" si="6"/>
        <v>71311</v>
      </c>
      <c r="AU20" s="1006"/>
      <c r="AV20" s="1006">
        <f t="shared" si="7"/>
        <v>71608</v>
      </c>
      <c r="AW20" s="1006"/>
      <c r="AX20" s="1006">
        <f t="shared" si="23"/>
        <v>70756</v>
      </c>
      <c r="AY20" s="1006"/>
      <c r="AZ20" s="1006"/>
      <c r="BA20" s="1006">
        <f t="shared" si="24"/>
        <v>70600</v>
      </c>
      <c r="BB20" s="1006"/>
      <c r="BC20" s="1006"/>
      <c r="BD20" s="1006">
        <f t="shared" si="25"/>
        <v>67680</v>
      </c>
      <c r="BE20" s="1006"/>
      <c r="BF20" s="1006"/>
      <c r="BG20" s="1006"/>
      <c r="BH20" s="571">
        <f t="shared" si="26"/>
        <v>67220</v>
      </c>
      <c r="BI20" s="1006">
        <f t="shared" si="27"/>
        <v>67675</v>
      </c>
      <c r="BJ20" s="1006"/>
      <c r="BK20" s="1006"/>
      <c r="BL20" s="1006">
        <f t="shared" si="28"/>
        <v>68140</v>
      </c>
      <c r="BM20" s="1006"/>
      <c r="BN20" s="1006"/>
      <c r="BO20" s="1006">
        <f t="shared" si="8"/>
        <v>68150</v>
      </c>
      <c r="BP20" s="1006"/>
      <c r="BQ20" s="1006">
        <f t="shared" si="9"/>
        <v>65855</v>
      </c>
      <c r="BR20" s="1006"/>
      <c r="BS20" s="1006">
        <f t="shared" si="29"/>
        <v>64935</v>
      </c>
      <c r="BT20" s="1006"/>
      <c r="BU20" s="1006"/>
      <c r="BV20" s="1006">
        <f t="shared" si="30"/>
        <v>66950</v>
      </c>
      <c r="BW20" s="1006"/>
      <c r="BX20" s="1006"/>
      <c r="BY20" s="1006">
        <f t="shared" si="31"/>
        <v>70005</v>
      </c>
      <c r="BZ20" s="1006"/>
      <c r="CA20" s="1006"/>
      <c r="CB20" s="1006">
        <f t="shared" si="32"/>
        <v>70930</v>
      </c>
      <c r="CC20" s="1006"/>
      <c r="CD20" s="1006"/>
      <c r="CE20" s="1006">
        <f t="shared" si="33"/>
        <v>72166.666666666672</v>
      </c>
      <c r="CF20" s="1006"/>
      <c r="CG20" s="1006"/>
      <c r="CH20" s="1006"/>
      <c r="CI20" s="1006">
        <f t="shared" si="34"/>
        <v>74190</v>
      </c>
      <c r="CJ20" s="1006"/>
      <c r="CK20" s="1006"/>
      <c r="CL20" s="1006">
        <f t="shared" si="35"/>
        <v>76666.666666666672</v>
      </c>
      <c r="CM20" s="1006"/>
      <c r="CN20" s="1006"/>
      <c r="CO20" s="1006">
        <f t="shared" si="36"/>
        <v>80680</v>
      </c>
      <c r="CP20" s="1006"/>
      <c r="CQ20" s="1006"/>
      <c r="CR20" s="1006">
        <f t="shared" si="37"/>
        <v>80680</v>
      </c>
      <c r="CS20" s="1006"/>
      <c r="CT20" s="1006"/>
      <c r="CU20" s="1006"/>
      <c r="CV20" s="1006">
        <f t="shared" si="38"/>
        <v>83766.666666666672</v>
      </c>
      <c r="CW20" s="1006"/>
      <c r="CX20" s="1006"/>
      <c r="CY20" s="1006"/>
      <c r="CZ20" s="1006"/>
      <c r="DA20" s="1006">
        <f t="shared" si="39"/>
        <v>91003.333333333328</v>
      </c>
      <c r="DB20" s="1006"/>
      <c r="DC20" s="1006"/>
      <c r="DD20" s="1006">
        <f t="shared" si="40"/>
        <v>96256.666666666672</v>
      </c>
      <c r="DE20" s="1006"/>
      <c r="DF20" s="1006"/>
      <c r="DG20" s="1006">
        <f t="shared" si="41"/>
        <v>91343.333333333328</v>
      </c>
      <c r="DH20" s="1006"/>
      <c r="DI20" s="1006"/>
      <c r="DJ20" s="1006">
        <f t="shared" si="42"/>
        <v>89490</v>
      </c>
      <c r="DK20" s="1006"/>
      <c r="DL20" s="1006"/>
      <c r="DM20" s="1006">
        <f t="shared" si="43"/>
        <v>90103.333333333328</v>
      </c>
      <c r="DN20" s="1006"/>
      <c r="DO20" s="1006"/>
      <c r="DP20" s="1006"/>
      <c r="DQ20" s="1006">
        <f t="shared" si="44"/>
        <v>93190</v>
      </c>
      <c r="DR20" s="1006"/>
      <c r="DS20" s="1006"/>
      <c r="DT20" s="1006">
        <f t="shared" si="10"/>
        <v>94130</v>
      </c>
      <c r="DU20" s="1006"/>
      <c r="DV20" s="1006">
        <f t="shared" si="45"/>
        <v>98295</v>
      </c>
      <c r="DW20" s="1006"/>
      <c r="DX20" s="1006"/>
      <c r="DY20" s="1006">
        <f t="shared" si="11"/>
        <v>102440</v>
      </c>
      <c r="DZ20" s="1006"/>
      <c r="EA20" s="1006">
        <f t="shared" si="46"/>
        <v>97556.666666666672</v>
      </c>
      <c r="EB20" s="1006"/>
      <c r="EC20" s="1006"/>
    </row>
    <row r="21" spans="2:133" s="361" customFormat="1" x14ac:dyDescent="0.25">
      <c r="D21" s="567" t="s">
        <v>546</v>
      </c>
      <c r="E21" s="1006">
        <f t="shared" si="12"/>
        <v>77120</v>
      </c>
      <c r="F21" s="1006"/>
      <c r="G21" s="1006"/>
      <c r="H21" s="1006"/>
      <c r="I21" s="1006">
        <f t="shared" si="13"/>
        <v>78330</v>
      </c>
      <c r="J21" s="1006"/>
      <c r="K21" s="1006">
        <f t="shared" si="14"/>
        <v>78330</v>
      </c>
      <c r="L21" s="1006"/>
      <c r="M21" s="1006">
        <f t="shared" si="14"/>
        <v>79710</v>
      </c>
      <c r="N21" s="1006"/>
      <c r="O21" s="1006">
        <f t="shared" si="0"/>
        <v>81840</v>
      </c>
      <c r="P21" s="1006"/>
      <c r="Q21" s="571">
        <f t="shared" si="15"/>
        <v>82290</v>
      </c>
      <c r="R21" s="1006">
        <f t="shared" si="1"/>
        <v>81605</v>
      </c>
      <c r="S21" s="1006"/>
      <c r="T21" s="1006">
        <f t="shared" si="2"/>
        <v>80450</v>
      </c>
      <c r="U21" s="1006"/>
      <c r="V21" s="571">
        <f t="shared" si="16"/>
        <v>82290</v>
      </c>
      <c r="W21" s="1006">
        <f t="shared" si="3"/>
        <v>84860</v>
      </c>
      <c r="X21" s="1006"/>
      <c r="Y21" s="1006">
        <f t="shared" si="17"/>
        <v>82790</v>
      </c>
      <c r="Z21" s="1006"/>
      <c r="AA21" s="1006"/>
      <c r="AB21" s="571">
        <f t="shared" si="18"/>
        <v>75410</v>
      </c>
      <c r="AC21" s="1006">
        <f t="shared" si="4"/>
        <v>75535</v>
      </c>
      <c r="AD21" s="1006"/>
      <c r="AE21" s="1006">
        <f t="shared" si="5"/>
        <v>75515</v>
      </c>
      <c r="AF21" s="1006"/>
      <c r="AG21" s="571">
        <f t="shared" si="19"/>
        <v>76895</v>
      </c>
      <c r="AH21" s="1006">
        <f t="shared" si="20"/>
        <v>76895</v>
      </c>
      <c r="AI21" s="1006"/>
      <c r="AJ21" s="1006"/>
      <c r="AK21" s="1006"/>
      <c r="AL21" s="1006">
        <f t="shared" si="21"/>
        <v>73118.75</v>
      </c>
      <c r="AM21" s="1006"/>
      <c r="AN21" s="1006"/>
      <c r="AO21" s="1006"/>
      <c r="AP21" s="1006">
        <f t="shared" si="22"/>
        <v>69505.666666666672</v>
      </c>
      <c r="AQ21" s="1006"/>
      <c r="AR21" s="1006"/>
      <c r="AS21" s="1006"/>
      <c r="AT21" s="1006">
        <f t="shared" si="6"/>
        <v>68825</v>
      </c>
      <c r="AU21" s="1006"/>
      <c r="AV21" s="1006">
        <f t="shared" si="7"/>
        <v>69518</v>
      </c>
      <c r="AW21" s="1006"/>
      <c r="AX21" s="1006">
        <f t="shared" si="23"/>
        <v>66726.666666666672</v>
      </c>
      <c r="AY21" s="1006"/>
      <c r="AZ21" s="1006"/>
      <c r="BA21" s="1006">
        <f t="shared" si="24"/>
        <v>68260</v>
      </c>
      <c r="BB21" s="1006"/>
      <c r="BC21" s="1006"/>
      <c r="BD21" s="1006">
        <f t="shared" si="25"/>
        <v>65340</v>
      </c>
      <c r="BE21" s="1006"/>
      <c r="BF21" s="1006"/>
      <c r="BG21" s="1006"/>
      <c r="BH21" s="571">
        <f t="shared" si="26"/>
        <v>64110</v>
      </c>
      <c r="BI21" s="1006">
        <f t="shared" si="27"/>
        <v>65725</v>
      </c>
      <c r="BJ21" s="1006"/>
      <c r="BK21" s="1006"/>
      <c r="BL21" s="1006">
        <f t="shared" si="28"/>
        <v>66420</v>
      </c>
      <c r="BM21" s="1006"/>
      <c r="BN21" s="1006"/>
      <c r="BO21" s="1006">
        <f t="shared" si="8"/>
        <v>66430</v>
      </c>
      <c r="BP21" s="1006"/>
      <c r="BQ21" s="1006">
        <f t="shared" si="9"/>
        <v>62745</v>
      </c>
      <c r="BR21" s="1006"/>
      <c r="BS21" s="1006">
        <f t="shared" si="29"/>
        <v>59985</v>
      </c>
      <c r="BT21" s="1006"/>
      <c r="BU21" s="1006"/>
      <c r="BV21" s="1006">
        <f t="shared" si="30"/>
        <v>63743.333333333336</v>
      </c>
      <c r="BW21" s="1006"/>
      <c r="BX21" s="1006"/>
      <c r="BY21" s="1006">
        <f t="shared" si="31"/>
        <v>67265</v>
      </c>
      <c r="BZ21" s="1006"/>
      <c r="CA21" s="1006"/>
      <c r="CB21" s="1006">
        <f t="shared" si="32"/>
        <v>67680</v>
      </c>
      <c r="CC21" s="1006"/>
      <c r="CD21" s="1006"/>
      <c r="CE21" s="1006">
        <f t="shared" si="33"/>
        <v>68533.333333333328</v>
      </c>
      <c r="CF21" s="1006"/>
      <c r="CG21" s="1006"/>
      <c r="CH21" s="1006"/>
      <c r="CI21" s="1006">
        <f t="shared" si="34"/>
        <v>71170</v>
      </c>
      <c r="CJ21" s="1006"/>
      <c r="CK21" s="1006"/>
      <c r="CL21" s="1006">
        <f t="shared" si="35"/>
        <v>74566.666666666672</v>
      </c>
      <c r="CM21" s="1006"/>
      <c r="CN21" s="1006"/>
      <c r="CO21" s="1006">
        <f t="shared" si="36"/>
        <v>80425</v>
      </c>
      <c r="CP21" s="1006"/>
      <c r="CQ21" s="1006"/>
      <c r="CR21" s="1006">
        <f t="shared" si="37"/>
        <v>79965</v>
      </c>
      <c r="CS21" s="1006"/>
      <c r="CT21" s="1006"/>
      <c r="CU21" s="1006"/>
      <c r="CV21" s="1006">
        <f t="shared" si="38"/>
        <v>83513.333333333328</v>
      </c>
      <c r="CW21" s="1006"/>
      <c r="CX21" s="1006"/>
      <c r="CY21" s="1006"/>
      <c r="CZ21" s="1006"/>
      <c r="DA21" s="1006">
        <f t="shared" si="39"/>
        <v>94750</v>
      </c>
      <c r="DB21" s="1006"/>
      <c r="DC21" s="1006"/>
      <c r="DD21" s="1006">
        <f t="shared" si="40"/>
        <v>97356.666666666672</v>
      </c>
      <c r="DE21" s="1006"/>
      <c r="DF21" s="1006"/>
      <c r="DG21" s="1006">
        <f t="shared" si="41"/>
        <v>88703.333333333328</v>
      </c>
      <c r="DH21" s="1006"/>
      <c r="DI21" s="1006"/>
      <c r="DJ21" s="1006">
        <f t="shared" si="42"/>
        <v>85010</v>
      </c>
      <c r="DK21" s="1006"/>
      <c r="DL21" s="1006"/>
      <c r="DM21" s="1006">
        <f t="shared" si="43"/>
        <v>87430</v>
      </c>
      <c r="DN21" s="1006"/>
      <c r="DO21" s="1006"/>
      <c r="DP21" s="1006"/>
      <c r="DQ21" s="1006">
        <f t="shared" si="44"/>
        <v>92103.333333333328</v>
      </c>
      <c r="DR21" s="1006"/>
      <c r="DS21" s="1006"/>
      <c r="DT21" s="1006">
        <f t="shared" si="10"/>
        <v>94270</v>
      </c>
      <c r="DU21" s="1006"/>
      <c r="DV21" s="1006">
        <f t="shared" si="45"/>
        <v>99825</v>
      </c>
      <c r="DW21" s="1006"/>
      <c r="DX21" s="1006"/>
      <c r="DY21" s="1006">
        <f t="shared" si="11"/>
        <v>104890</v>
      </c>
      <c r="DZ21" s="1006"/>
      <c r="EA21" s="1006">
        <f t="shared" si="46"/>
        <v>98780</v>
      </c>
      <c r="EB21" s="1006"/>
      <c r="EC21" s="1006"/>
    </row>
    <row r="22" spans="2:133" s="361" customFormat="1" x14ac:dyDescent="0.25">
      <c r="D22" s="567" t="s">
        <v>545</v>
      </c>
      <c r="E22" s="1006">
        <f t="shared" si="12"/>
        <v>81583.333333333328</v>
      </c>
      <c r="F22" s="1006"/>
      <c r="G22" s="1006"/>
      <c r="H22" s="1006"/>
      <c r="I22" s="1006">
        <f t="shared" si="13"/>
        <v>86410</v>
      </c>
      <c r="J22" s="1006"/>
      <c r="K22" s="1006">
        <f t="shared" si="14"/>
        <v>87540</v>
      </c>
      <c r="L22" s="1006"/>
      <c r="M22" s="1006">
        <f t="shared" si="14"/>
        <v>87540</v>
      </c>
      <c r="N22" s="1006"/>
      <c r="O22" s="1006">
        <f t="shared" si="0"/>
        <v>90145</v>
      </c>
      <c r="P22" s="1006"/>
      <c r="Q22" s="571">
        <f t="shared" si="15"/>
        <v>93370</v>
      </c>
      <c r="R22" s="1006">
        <f t="shared" si="1"/>
        <v>92685</v>
      </c>
      <c r="S22" s="1006"/>
      <c r="T22" s="1006">
        <f t="shared" si="2"/>
        <v>90140</v>
      </c>
      <c r="U22" s="1006"/>
      <c r="V22" s="571">
        <f t="shared" si="16"/>
        <v>91980</v>
      </c>
      <c r="W22" s="1006">
        <f t="shared" si="3"/>
        <v>94555</v>
      </c>
      <c r="X22" s="1006"/>
      <c r="Y22" s="1006">
        <f t="shared" si="17"/>
        <v>91556.666666666672</v>
      </c>
      <c r="Z22" s="1006"/>
      <c r="AA22" s="1006"/>
      <c r="AB22" s="571">
        <f t="shared" si="18"/>
        <v>79530</v>
      </c>
      <c r="AC22" s="1006">
        <f t="shared" si="4"/>
        <v>79655</v>
      </c>
      <c r="AD22" s="1006"/>
      <c r="AE22" s="1006">
        <f t="shared" si="5"/>
        <v>81825</v>
      </c>
      <c r="AF22" s="1006"/>
      <c r="AG22" s="571">
        <f t="shared" si="19"/>
        <v>83435</v>
      </c>
      <c r="AH22" s="1006">
        <f t="shared" si="20"/>
        <v>85980</v>
      </c>
      <c r="AI22" s="1006"/>
      <c r="AJ22" s="1006"/>
      <c r="AK22" s="1006"/>
      <c r="AL22" s="1006">
        <f t="shared" si="21"/>
        <v>87955</v>
      </c>
      <c r="AM22" s="1006"/>
      <c r="AN22" s="1006"/>
      <c r="AO22" s="1006"/>
      <c r="AP22" s="1006">
        <f t="shared" si="22"/>
        <v>83954.666666666672</v>
      </c>
      <c r="AQ22" s="1006"/>
      <c r="AR22" s="1006"/>
      <c r="AS22" s="1006"/>
      <c r="AT22" s="1006">
        <f t="shared" si="6"/>
        <v>82115</v>
      </c>
      <c r="AU22" s="1006"/>
      <c r="AV22" s="1006">
        <f t="shared" si="7"/>
        <v>83500</v>
      </c>
      <c r="AW22" s="1006"/>
      <c r="AX22" s="1006">
        <f t="shared" si="23"/>
        <v>85580</v>
      </c>
      <c r="AY22" s="1006"/>
      <c r="AZ22" s="1006"/>
      <c r="BA22" s="1006">
        <f t="shared" si="24"/>
        <v>83266.666666666672</v>
      </c>
      <c r="BB22" s="1006"/>
      <c r="BC22" s="1006"/>
      <c r="BD22" s="1006">
        <f t="shared" si="25"/>
        <v>77880</v>
      </c>
      <c r="BE22" s="1006"/>
      <c r="BF22" s="1006"/>
      <c r="BG22" s="1006"/>
      <c r="BH22" s="571">
        <f t="shared" si="26"/>
        <v>74490</v>
      </c>
      <c r="BI22" s="1006">
        <f t="shared" si="27"/>
        <v>74950</v>
      </c>
      <c r="BJ22" s="1006"/>
      <c r="BK22" s="1006"/>
      <c r="BL22" s="1006">
        <f t="shared" si="28"/>
        <v>74336.666666666672</v>
      </c>
      <c r="BM22" s="1006"/>
      <c r="BN22" s="1006"/>
      <c r="BO22" s="1006">
        <f t="shared" si="8"/>
        <v>71280</v>
      </c>
      <c r="BP22" s="1006"/>
      <c r="BQ22" s="1006">
        <f t="shared" si="9"/>
        <v>66675</v>
      </c>
      <c r="BR22" s="1006"/>
      <c r="BS22" s="1006">
        <f t="shared" si="29"/>
        <v>65755</v>
      </c>
      <c r="BT22" s="1006"/>
      <c r="BU22" s="1006"/>
      <c r="BV22" s="1006">
        <f t="shared" si="30"/>
        <v>70155</v>
      </c>
      <c r="BW22" s="1006"/>
      <c r="BX22" s="1006"/>
      <c r="BY22" s="1006">
        <f t="shared" si="31"/>
        <v>73825</v>
      </c>
      <c r="BZ22" s="1006"/>
      <c r="CA22" s="1006"/>
      <c r="CB22" s="1006">
        <f t="shared" si="32"/>
        <v>73130</v>
      </c>
      <c r="CC22" s="1006"/>
      <c r="CD22" s="1006"/>
      <c r="CE22" s="1006">
        <f t="shared" si="33"/>
        <v>73135</v>
      </c>
      <c r="CF22" s="1006"/>
      <c r="CG22" s="1006"/>
      <c r="CH22" s="1006"/>
      <c r="CI22" s="1006">
        <f t="shared" si="34"/>
        <v>76543.333333333328</v>
      </c>
      <c r="CJ22" s="1006"/>
      <c r="CK22" s="1006"/>
      <c r="CL22" s="1006">
        <f t="shared" si="35"/>
        <v>82100</v>
      </c>
      <c r="CM22" s="1006"/>
      <c r="CN22" s="1006"/>
      <c r="CO22" s="1006">
        <f t="shared" si="36"/>
        <v>90270</v>
      </c>
      <c r="CP22" s="1006"/>
      <c r="CQ22" s="1006"/>
      <c r="CR22" s="1006">
        <f t="shared" si="37"/>
        <v>93045</v>
      </c>
      <c r="CS22" s="1006"/>
      <c r="CT22" s="1006"/>
      <c r="CU22" s="1006"/>
      <c r="CV22" s="1006">
        <f t="shared" si="38"/>
        <v>98506</v>
      </c>
      <c r="CW22" s="1006"/>
      <c r="CX22" s="1006"/>
      <c r="CY22" s="1006"/>
      <c r="CZ22" s="1006"/>
      <c r="DA22" s="1006">
        <f t="shared" si="39"/>
        <v>112460</v>
      </c>
      <c r="DB22" s="1006"/>
      <c r="DC22" s="1006"/>
      <c r="DD22" s="1006">
        <f t="shared" si="40"/>
        <v>112375</v>
      </c>
      <c r="DE22" s="1006"/>
      <c r="DF22" s="1006"/>
      <c r="DG22" s="1006">
        <f t="shared" si="41"/>
        <v>106073.33333333333</v>
      </c>
      <c r="DH22" s="1006"/>
      <c r="DI22" s="1006"/>
      <c r="DJ22" s="1006">
        <f t="shared" si="42"/>
        <v>98836.666666666672</v>
      </c>
      <c r="DK22" s="1006"/>
      <c r="DL22" s="1006"/>
      <c r="DM22" s="1006">
        <f t="shared" si="43"/>
        <v>99296.666666666672</v>
      </c>
      <c r="DN22" s="1006"/>
      <c r="DO22" s="1006"/>
      <c r="DP22" s="1006"/>
      <c r="DQ22" s="1006">
        <f t="shared" si="44"/>
        <v>103615</v>
      </c>
      <c r="DR22" s="1006"/>
      <c r="DS22" s="1006"/>
      <c r="DT22" s="1006">
        <f t="shared" si="10"/>
        <v>105015</v>
      </c>
      <c r="DU22" s="1006"/>
      <c r="DV22" s="1006">
        <f t="shared" si="45"/>
        <v>110873.33333333333</v>
      </c>
      <c r="DW22" s="1006"/>
      <c r="DX22" s="1006"/>
      <c r="DY22" s="1006">
        <f t="shared" si="11"/>
        <v>116100</v>
      </c>
      <c r="DZ22" s="1006"/>
      <c r="EA22" s="1006">
        <f t="shared" si="46"/>
        <v>107533.33333333333</v>
      </c>
      <c r="EB22" s="1006"/>
      <c r="EC22" s="1006"/>
    </row>
    <row r="23" spans="2:133" s="361" customFormat="1" x14ac:dyDescent="0.25">
      <c r="D23" s="567" t="s">
        <v>543</v>
      </c>
      <c r="E23" s="1006">
        <f t="shared" si="12"/>
        <v>82476.666666666672</v>
      </c>
      <c r="F23" s="1006"/>
      <c r="G23" s="1006"/>
      <c r="H23" s="1006"/>
      <c r="I23" s="1006">
        <f t="shared" si="13"/>
        <v>87315</v>
      </c>
      <c r="J23" s="1006"/>
      <c r="K23" s="1006">
        <f t="shared" si="14"/>
        <v>88460</v>
      </c>
      <c r="L23" s="1006"/>
      <c r="M23" s="1006">
        <f t="shared" si="14"/>
        <v>88460</v>
      </c>
      <c r="N23" s="1006"/>
      <c r="O23" s="1006">
        <f t="shared" si="0"/>
        <v>91045</v>
      </c>
      <c r="P23" s="1006"/>
      <c r="Q23" s="571">
        <f t="shared" si="15"/>
        <v>93810</v>
      </c>
      <c r="R23" s="1006">
        <f t="shared" si="1"/>
        <v>93120</v>
      </c>
      <c r="S23" s="1006"/>
      <c r="T23" s="1006">
        <f t="shared" si="2"/>
        <v>90580</v>
      </c>
      <c r="U23" s="1006"/>
      <c r="V23" s="571">
        <f t="shared" si="16"/>
        <v>92420</v>
      </c>
      <c r="W23" s="1006">
        <f t="shared" si="3"/>
        <v>94995</v>
      </c>
      <c r="X23" s="1006"/>
      <c r="Y23" s="1006">
        <f t="shared" si="17"/>
        <v>91996.666666666672</v>
      </c>
      <c r="Z23" s="1006"/>
      <c r="AA23" s="1006"/>
      <c r="AB23" s="571">
        <f t="shared" si="18"/>
        <v>79970</v>
      </c>
      <c r="AC23" s="1006">
        <f t="shared" si="4"/>
        <v>80095</v>
      </c>
      <c r="AD23" s="1006"/>
      <c r="AE23" s="1006">
        <f t="shared" si="5"/>
        <v>82260</v>
      </c>
      <c r="AF23" s="1006"/>
      <c r="AG23" s="571">
        <f t="shared" si="19"/>
        <v>83875</v>
      </c>
      <c r="AH23" s="1006">
        <f t="shared" si="20"/>
        <v>86417.5</v>
      </c>
      <c r="AI23" s="1006"/>
      <c r="AJ23" s="1006"/>
      <c r="AK23" s="1006"/>
      <c r="AL23" s="1006">
        <f t="shared" si="21"/>
        <v>88445</v>
      </c>
      <c r="AM23" s="1006"/>
      <c r="AN23" s="1006"/>
      <c r="AO23" s="1006"/>
      <c r="AP23" s="1006">
        <f t="shared" si="22"/>
        <v>84491.333333333328</v>
      </c>
      <c r="AQ23" s="1006"/>
      <c r="AR23" s="1006"/>
      <c r="AS23" s="1006"/>
      <c r="AT23" s="1006">
        <f t="shared" si="6"/>
        <v>82655</v>
      </c>
      <c r="AU23" s="1006"/>
      <c r="AV23" s="1006">
        <f t="shared" si="7"/>
        <v>84035</v>
      </c>
      <c r="AW23" s="1006"/>
      <c r="AX23" s="1006">
        <f t="shared" si="23"/>
        <v>86120</v>
      </c>
      <c r="AY23" s="1006"/>
      <c r="AZ23" s="1006"/>
      <c r="BA23" s="1006">
        <f t="shared" si="24"/>
        <v>83800</v>
      </c>
      <c r="BB23" s="1006"/>
      <c r="BC23" s="1006"/>
      <c r="BD23" s="1006">
        <f t="shared" si="25"/>
        <v>78416.666666666672</v>
      </c>
      <c r="BE23" s="1006"/>
      <c r="BF23" s="1006"/>
      <c r="BG23" s="1006"/>
      <c r="BH23" s="571">
        <f t="shared" si="26"/>
        <v>75030</v>
      </c>
      <c r="BI23" s="1006">
        <f t="shared" si="27"/>
        <v>75490</v>
      </c>
      <c r="BJ23" s="1006"/>
      <c r="BK23" s="1006"/>
      <c r="BL23" s="1006">
        <f t="shared" si="28"/>
        <v>74876.666666666672</v>
      </c>
      <c r="BM23" s="1006"/>
      <c r="BN23" s="1006"/>
      <c r="BO23" s="1006">
        <f t="shared" si="8"/>
        <v>71820</v>
      </c>
      <c r="BP23" s="1006"/>
      <c r="BQ23" s="1006">
        <f t="shared" si="9"/>
        <v>67215</v>
      </c>
      <c r="BR23" s="1006"/>
      <c r="BS23" s="1006">
        <f t="shared" si="29"/>
        <v>66295</v>
      </c>
      <c r="BT23" s="1006"/>
      <c r="BU23" s="1006"/>
      <c r="BV23" s="1006">
        <f t="shared" si="30"/>
        <v>70265</v>
      </c>
      <c r="BW23" s="1006"/>
      <c r="BX23" s="1006"/>
      <c r="BY23" s="1006">
        <f t="shared" si="31"/>
        <v>73705</v>
      </c>
      <c r="BZ23" s="1006"/>
      <c r="CA23" s="1006"/>
      <c r="CB23" s="1006">
        <f t="shared" si="32"/>
        <v>73010</v>
      </c>
      <c r="CC23" s="1006"/>
      <c r="CD23" s="1006"/>
      <c r="CE23" s="1006">
        <f t="shared" si="33"/>
        <v>73015</v>
      </c>
      <c r="CF23" s="1006"/>
      <c r="CG23" s="1006"/>
      <c r="CH23" s="1006"/>
      <c r="CI23" s="1006">
        <f t="shared" si="34"/>
        <v>76423.333333333328</v>
      </c>
      <c r="CJ23" s="1006"/>
      <c r="CK23" s="1006"/>
      <c r="CL23" s="1006">
        <f t="shared" si="35"/>
        <v>81980</v>
      </c>
      <c r="CM23" s="1006"/>
      <c r="CN23" s="1006"/>
      <c r="CO23" s="1006">
        <f t="shared" si="36"/>
        <v>90150</v>
      </c>
      <c r="CP23" s="1006"/>
      <c r="CQ23" s="1006"/>
      <c r="CR23" s="1006">
        <f t="shared" si="37"/>
        <v>92970</v>
      </c>
      <c r="CS23" s="1006"/>
      <c r="CT23" s="1006"/>
      <c r="CU23" s="1006"/>
      <c r="CV23" s="1006">
        <f t="shared" si="38"/>
        <v>98582</v>
      </c>
      <c r="CW23" s="1006"/>
      <c r="CX23" s="1006"/>
      <c r="CY23" s="1006"/>
      <c r="CZ23" s="1006"/>
      <c r="DA23" s="1006">
        <f t="shared" si="39"/>
        <v>112600</v>
      </c>
      <c r="DB23" s="1006"/>
      <c r="DC23" s="1006"/>
      <c r="DD23" s="1006">
        <f t="shared" si="40"/>
        <v>112515</v>
      </c>
      <c r="DE23" s="1006"/>
      <c r="DF23" s="1006"/>
      <c r="DG23" s="1006">
        <f t="shared" si="41"/>
        <v>106213.33333333333</v>
      </c>
      <c r="DH23" s="1006"/>
      <c r="DI23" s="1006"/>
      <c r="DJ23" s="1006">
        <f t="shared" si="42"/>
        <v>98976.666666666672</v>
      </c>
      <c r="DK23" s="1006"/>
      <c r="DL23" s="1006"/>
      <c r="DM23" s="1006">
        <f t="shared" si="43"/>
        <v>99436.666666666672</v>
      </c>
      <c r="DN23" s="1006"/>
      <c r="DO23" s="1006"/>
      <c r="DP23" s="1006"/>
      <c r="DQ23" s="1006">
        <f t="shared" si="44"/>
        <v>103755</v>
      </c>
      <c r="DR23" s="1006"/>
      <c r="DS23" s="1006"/>
      <c r="DT23" s="1006">
        <f t="shared" si="10"/>
        <v>105155</v>
      </c>
      <c r="DU23" s="1006"/>
      <c r="DV23" s="1006">
        <f t="shared" si="45"/>
        <v>111013.33333333333</v>
      </c>
      <c r="DW23" s="1006"/>
      <c r="DX23" s="1006"/>
      <c r="DY23" s="1006">
        <f t="shared" si="11"/>
        <v>116240</v>
      </c>
      <c r="DZ23" s="1006"/>
      <c r="EA23" s="1006">
        <f t="shared" si="46"/>
        <v>107673.33333333333</v>
      </c>
      <c r="EB23" s="1006"/>
      <c r="EC23" s="1006"/>
    </row>
    <row r="24" spans="2:133" s="361" customFormat="1" x14ac:dyDescent="0.25">
      <c r="D24" s="567" t="s">
        <v>544</v>
      </c>
      <c r="E24" s="1006">
        <f t="shared" si="12"/>
        <v>84556.666666666672</v>
      </c>
      <c r="F24" s="1006"/>
      <c r="G24" s="1006"/>
      <c r="H24" s="1006"/>
      <c r="I24" s="1006">
        <f t="shared" si="13"/>
        <v>88910</v>
      </c>
      <c r="J24" s="1006"/>
      <c r="K24" s="1006">
        <f t="shared" si="14"/>
        <v>89580</v>
      </c>
      <c r="L24" s="1006"/>
      <c r="M24" s="1006">
        <f t="shared" si="14"/>
        <v>88100</v>
      </c>
      <c r="N24" s="1006"/>
      <c r="O24" s="1006">
        <f t="shared" si="0"/>
        <v>90635</v>
      </c>
      <c r="P24" s="1006"/>
      <c r="Q24" s="571">
        <f t="shared" si="15"/>
        <v>93400</v>
      </c>
      <c r="R24" s="1006">
        <f t="shared" si="1"/>
        <v>92710</v>
      </c>
      <c r="S24" s="1006"/>
      <c r="T24" s="1006">
        <f t="shared" si="2"/>
        <v>90170</v>
      </c>
      <c r="U24" s="1006"/>
      <c r="V24" s="571">
        <f t="shared" si="16"/>
        <v>92010</v>
      </c>
      <c r="W24" s="1006">
        <f t="shared" si="3"/>
        <v>94585</v>
      </c>
      <c r="X24" s="1006"/>
      <c r="Y24" s="1006">
        <f t="shared" si="17"/>
        <v>91586.666666666672</v>
      </c>
      <c r="Z24" s="1006"/>
      <c r="AA24" s="1006"/>
      <c r="AB24" s="571">
        <f t="shared" si="18"/>
        <v>79560</v>
      </c>
      <c r="AC24" s="1006">
        <f t="shared" si="4"/>
        <v>79685</v>
      </c>
      <c r="AD24" s="1006"/>
      <c r="AE24" s="1006">
        <f t="shared" si="5"/>
        <v>81850</v>
      </c>
      <c r="AF24" s="1006"/>
      <c r="AG24" s="571">
        <f t="shared" si="19"/>
        <v>83465</v>
      </c>
      <c r="AH24" s="1006">
        <f t="shared" si="20"/>
        <v>87410</v>
      </c>
      <c r="AI24" s="1006"/>
      <c r="AJ24" s="1006"/>
      <c r="AK24" s="1006"/>
      <c r="AL24" s="1006">
        <f t="shared" si="21"/>
        <v>89365</v>
      </c>
      <c r="AM24" s="1006"/>
      <c r="AN24" s="1006"/>
      <c r="AO24" s="1006"/>
      <c r="AP24" s="1006">
        <f t="shared" si="22"/>
        <v>85361.333333333328</v>
      </c>
      <c r="AQ24" s="1006"/>
      <c r="AR24" s="1006"/>
      <c r="AS24" s="1006"/>
      <c r="AT24" s="1006">
        <f t="shared" si="6"/>
        <v>83525</v>
      </c>
      <c r="AU24" s="1006"/>
      <c r="AV24" s="1006">
        <f t="shared" si="7"/>
        <v>84905</v>
      </c>
      <c r="AW24" s="1006"/>
      <c r="AX24" s="1006">
        <f t="shared" si="23"/>
        <v>86985</v>
      </c>
      <c r="AY24" s="1006"/>
      <c r="AZ24" s="1006"/>
      <c r="BA24" s="1006">
        <f t="shared" si="24"/>
        <v>84670</v>
      </c>
      <c r="BB24" s="1006"/>
      <c r="BC24" s="1006"/>
      <c r="BD24" s="1006">
        <f t="shared" si="25"/>
        <v>79286.666666666672</v>
      </c>
      <c r="BE24" s="1006"/>
      <c r="BF24" s="1006"/>
      <c r="BG24" s="1006"/>
      <c r="BH24" s="571">
        <f t="shared" si="26"/>
        <v>75900</v>
      </c>
      <c r="BI24" s="1006">
        <f t="shared" si="27"/>
        <v>76360</v>
      </c>
      <c r="BJ24" s="1006"/>
      <c r="BK24" s="1006"/>
      <c r="BL24" s="1006">
        <f t="shared" si="28"/>
        <v>75746.666666666672</v>
      </c>
      <c r="BM24" s="1006"/>
      <c r="BN24" s="1006"/>
      <c r="BO24" s="1006">
        <f t="shared" si="8"/>
        <v>72690</v>
      </c>
      <c r="BP24" s="1006"/>
      <c r="BQ24" s="1006">
        <f t="shared" si="9"/>
        <v>68085</v>
      </c>
      <c r="BR24" s="1006"/>
      <c r="BS24" s="1006">
        <f t="shared" si="29"/>
        <v>67165</v>
      </c>
      <c r="BT24" s="1006"/>
      <c r="BU24" s="1006"/>
      <c r="BV24" s="1006">
        <f t="shared" si="30"/>
        <v>71335</v>
      </c>
      <c r="BW24" s="1006"/>
      <c r="BX24" s="1006"/>
      <c r="BY24" s="1006">
        <f t="shared" si="31"/>
        <v>74775</v>
      </c>
      <c r="BZ24" s="1006"/>
      <c r="CA24" s="1006"/>
      <c r="CB24" s="1006">
        <f t="shared" si="32"/>
        <v>73900</v>
      </c>
      <c r="CC24" s="1006"/>
      <c r="CD24" s="1006"/>
      <c r="CE24" s="1006">
        <f t="shared" si="33"/>
        <v>73905</v>
      </c>
      <c r="CF24" s="1006"/>
      <c r="CG24" s="1006"/>
      <c r="CH24" s="1006"/>
      <c r="CI24" s="1006">
        <f t="shared" si="34"/>
        <v>77313.333333333328</v>
      </c>
      <c r="CJ24" s="1006"/>
      <c r="CK24" s="1006"/>
      <c r="CL24" s="1006">
        <f t="shared" si="35"/>
        <v>82870</v>
      </c>
      <c r="CM24" s="1006"/>
      <c r="CN24" s="1006"/>
      <c r="CO24" s="1006">
        <f t="shared" si="36"/>
        <v>91040</v>
      </c>
      <c r="CP24" s="1006"/>
      <c r="CQ24" s="1006"/>
      <c r="CR24" s="1006">
        <f t="shared" si="37"/>
        <v>93815</v>
      </c>
      <c r="CS24" s="1006"/>
      <c r="CT24" s="1006"/>
      <c r="CU24" s="1006"/>
      <c r="CV24" s="1006">
        <f t="shared" si="38"/>
        <v>99326</v>
      </c>
      <c r="CW24" s="1006"/>
      <c r="CX24" s="1006"/>
      <c r="CY24" s="1006"/>
      <c r="CZ24" s="1006"/>
      <c r="DA24" s="1006">
        <f t="shared" si="39"/>
        <v>113280</v>
      </c>
      <c r="DB24" s="1006"/>
      <c r="DC24" s="1006"/>
      <c r="DD24" s="1006">
        <f t="shared" si="40"/>
        <v>113295</v>
      </c>
      <c r="DE24" s="1006"/>
      <c r="DF24" s="1006"/>
      <c r="DG24" s="1006">
        <f t="shared" si="41"/>
        <v>106993.33333333333</v>
      </c>
      <c r="DH24" s="1006"/>
      <c r="DI24" s="1006"/>
      <c r="DJ24" s="1006">
        <f t="shared" si="42"/>
        <v>99726.666666666672</v>
      </c>
      <c r="DK24" s="1006"/>
      <c r="DL24" s="1006"/>
      <c r="DM24" s="1006">
        <f t="shared" si="43"/>
        <v>100126.66666666667</v>
      </c>
      <c r="DN24" s="1006"/>
      <c r="DO24" s="1006"/>
      <c r="DP24" s="1006"/>
      <c r="DQ24" s="1006">
        <f t="shared" si="44"/>
        <v>104905</v>
      </c>
      <c r="DR24" s="1006"/>
      <c r="DS24" s="1006"/>
      <c r="DT24" s="1006">
        <f t="shared" si="10"/>
        <v>106305</v>
      </c>
      <c r="DU24" s="1006"/>
      <c r="DV24" s="1006">
        <f t="shared" si="45"/>
        <v>112163.33333333333</v>
      </c>
      <c r="DW24" s="1006"/>
      <c r="DX24" s="1006"/>
      <c r="DY24" s="1006">
        <f t="shared" si="11"/>
        <v>117390</v>
      </c>
      <c r="DZ24" s="1006"/>
      <c r="EA24" s="1006">
        <f t="shared" si="46"/>
        <v>108823.33333333333</v>
      </c>
      <c r="EB24" s="1006"/>
      <c r="EC24" s="1006"/>
    </row>
    <row r="25" spans="2:133" s="361" customFormat="1" x14ac:dyDescent="0.25">
      <c r="D25" s="567" t="s">
        <v>542</v>
      </c>
      <c r="E25" s="1006">
        <f t="shared" si="12"/>
        <v>84816.666666666672</v>
      </c>
      <c r="F25" s="1006"/>
      <c r="G25" s="1006"/>
      <c r="H25" s="1006"/>
      <c r="I25" s="1006">
        <f t="shared" si="13"/>
        <v>89865</v>
      </c>
      <c r="J25" s="1006"/>
      <c r="K25" s="1006">
        <f t="shared" si="14"/>
        <v>91220</v>
      </c>
      <c r="L25" s="1006"/>
      <c r="M25" s="1006">
        <f t="shared" si="14"/>
        <v>89740</v>
      </c>
      <c r="N25" s="1006"/>
      <c r="O25" s="1006">
        <f t="shared" si="0"/>
        <v>92610</v>
      </c>
      <c r="P25" s="1006"/>
      <c r="Q25" s="571">
        <f t="shared" si="15"/>
        <v>95374</v>
      </c>
      <c r="R25" s="1006">
        <f t="shared" si="1"/>
        <v>94690</v>
      </c>
      <c r="S25" s="1006"/>
      <c r="T25" s="1006">
        <f t="shared" si="2"/>
        <v>92150</v>
      </c>
      <c r="U25" s="1006"/>
      <c r="V25" s="571">
        <f t="shared" si="16"/>
        <v>93990</v>
      </c>
      <c r="W25" s="1006">
        <f t="shared" si="3"/>
        <v>97015</v>
      </c>
      <c r="X25" s="1006"/>
      <c r="Y25" s="1006">
        <f t="shared" si="17"/>
        <v>94016.666666666672</v>
      </c>
      <c r="Z25" s="1006"/>
      <c r="AA25" s="1006"/>
      <c r="AB25" s="571">
        <f t="shared" si="18"/>
        <v>82050</v>
      </c>
      <c r="AC25" s="1006">
        <f t="shared" si="4"/>
        <v>82175</v>
      </c>
      <c r="AD25" s="1006"/>
      <c r="AE25" s="1006">
        <f t="shared" si="5"/>
        <v>84345</v>
      </c>
      <c r="AF25" s="1006"/>
      <c r="AG25" s="571">
        <f t="shared" si="19"/>
        <v>85955</v>
      </c>
      <c r="AH25" s="1006">
        <f t="shared" si="20"/>
        <v>89037.5</v>
      </c>
      <c r="AI25" s="1006"/>
      <c r="AJ25" s="1006"/>
      <c r="AK25" s="1006"/>
      <c r="AL25" s="1006">
        <f t="shared" si="21"/>
        <v>90745</v>
      </c>
      <c r="AM25" s="1006"/>
      <c r="AN25" s="1006"/>
      <c r="AO25" s="1006"/>
      <c r="AP25" s="1006">
        <f t="shared" si="22"/>
        <v>86638</v>
      </c>
      <c r="AQ25" s="1006"/>
      <c r="AR25" s="1006"/>
      <c r="AS25" s="1006"/>
      <c r="AT25" s="1006">
        <f t="shared" si="6"/>
        <v>84480</v>
      </c>
      <c r="AU25" s="1006"/>
      <c r="AV25" s="1006">
        <f t="shared" si="7"/>
        <v>85475</v>
      </c>
      <c r="AW25" s="1006"/>
      <c r="AX25" s="1006">
        <f t="shared" si="23"/>
        <v>87555</v>
      </c>
      <c r="AY25" s="1006"/>
      <c r="AZ25" s="1006"/>
      <c r="BA25" s="1006">
        <f t="shared" si="24"/>
        <v>84623.333333333328</v>
      </c>
      <c r="BB25" s="1006"/>
      <c r="BC25" s="1006"/>
      <c r="BD25" s="1006">
        <f t="shared" si="25"/>
        <v>78926.666666666672</v>
      </c>
      <c r="BE25" s="1006"/>
      <c r="BF25" s="1006"/>
      <c r="BG25" s="1006"/>
      <c r="BH25" s="571">
        <f t="shared" si="26"/>
        <v>75080</v>
      </c>
      <c r="BI25" s="1006">
        <f t="shared" si="27"/>
        <v>75540</v>
      </c>
      <c r="BJ25" s="1006"/>
      <c r="BK25" s="1006"/>
      <c r="BL25" s="1006">
        <f t="shared" si="28"/>
        <v>75386.666666666672</v>
      </c>
      <c r="BM25" s="1006"/>
      <c r="BN25" s="1006"/>
      <c r="BO25" s="1006">
        <f t="shared" si="8"/>
        <v>72790</v>
      </c>
      <c r="BP25" s="1006"/>
      <c r="BQ25" s="1006">
        <f t="shared" si="9"/>
        <v>69115</v>
      </c>
      <c r="BR25" s="1006"/>
      <c r="BS25" s="1006">
        <f t="shared" si="29"/>
        <v>68195</v>
      </c>
      <c r="BT25" s="1006"/>
      <c r="BU25" s="1006"/>
      <c r="BV25" s="1006">
        <f t="shared" si="30"/>
        <v>72595</v>
      </c>
      <c r="BW25" s="1006"/>
      <c r="BX25" s="1006"/>
      <c r="BY25" s="1006">
        <f t="shared" si="31"/>
        <v>76265</v>
      </c>
      <c r="BZ25" s="1006"/>
      <c r="CA25" s="1006"/>
      <c r="CB25" s="1006">
        <f t="shared" si="32"/>
        <v>75570</v>
      </c>
      <c r="CC25" s="1006"/>
      <c r="CD25" s="1006"/>
      <c r="CE25" s="1006">
        <f t="shared" si="33"/>
        <v>75805</v>
      </c>
      <c r="CF25" s="1006"/>
      <c r="CG25" s="1006"/>
      <c r="CH25" s="1006"/>
      <c r="CI25" s="1006">
        <f t="shared" si="34"/>
        <v>80216.666666666672</v>
      </c>
      <c r="CJ25" s="1006"/>
      <c r="CK25" s="1006"/>
      <c r="CL25" s="1006">
        <f t="shared" si="35"/>
        <v>86390</v>
      </c>
      <c r="CM25" s="1006"/>
      <c r="CN25" s="1006"/>
      <c r="CO25" s="1006">
        <f t="shared" si="36"/>
        <v>94560</v>
      </c>
      <c r="CP25" s="1006"/>
      <c r="CQ25" s="1006"/>
      <c r="CR25" s="1006">
        <f t="shared" si="37"/>
        <v>97335</v>
      </c>
      <c r="CS25" s="1006"/>
      <c r="CT25" s="1006"/>
      <c r="CU25" s="1006"/>
      <c r="CV25" s="1006">
        <f t="shared" si="38"/>
        <v>102326</v>
      </c>
      <c r="CW25" s="1006"/>
      <c r="CX25" s="1006"/>
      <c r="CY25" s="1006"/>
      <c r="CZ25" s="1006"/>
      <c r="DA25" s="1006">
        <f t="shared" si="39"/>
        <v>116280</v>
      </c>
      <c r="DB25" s="1006"/>
      <c r="DC25" s="1006"/>
      <c r="DD25" s="1006">
        <f t="shared" si="40"/>
        <v>116295</v>
      </c>
      <c r="DE25" s="1006"/>
      <c r="DF25" s="1006"/>
      <c r="DG25" s="1006">
        <f t="shared" si="41"/>
        <v>109993.33333333333</v>
      </c>
      <c r="DH25" s="1006"/>
      <c r="DI25" s="1006"/>
      <c r="DJ25" s="1006">
        <f t="shared" si="42"/>
        <v>102756.66666666667</v>
      </c>
      <c r="DK25" s="1006"/>
      <c r="DL25" s="1006"/>
      <c r="DM25" s="1006">
        <f t="shared" si="43"/>
        <v>103216.66666666667</v>
      </c>
      <c r="DN25" s="1006"/>
      <c r="DO25" s="1006"/>
      <c r="DP25" s="1006"/>
      <c r="DQ25" s="1006">
        <f t="shared" si="44"/>
        <v>107535</v>
      </c>
      <c r="DR25" s="1006"/>
      <c r="DS25" s="1006"/>
      <c r="DT25" s="1006">
        <f t="shared" si="10"/>
        <v>108935</v>
      </c>
      <c r="DU25" s="1006"/>
      <c r="DV25" s="1006">
        <f t="shared" si="45"/>
        <v>114793.33333333333</v>
      </c>
      <c r="DW25" s="1006"/>
      <c r="DX25" s="1006"/>
      <c r="DY25" s="1006">
        <f t="shared" si="11"/>
        <v>120020</v>
      </c>
      <c r="DZ25" s="1006"/>
      <c r="EA25" s="1006">
        <f t="shared" si="46"/>
        <v>111453.33333333333</v>
      </c>
      <c r="EB25" s="1006"/>
      <c r="EC25" s="1006"/>
    </row>
    <row r="27" spans="2:133" s="362" customFormat="1" x14ac:dyDescent="0.25">
      <c r="C27" s="8" t="s">
        <v>578</v>
      </c>
      <c r="D27" s="567" t="s">
        <v>109</v>
      </c>
      <c r="E27" s="572">
        <f>E16</f>
        <v>43101</v>
      </c>
      <c r="F27" s="572">
        <f t="shared" ref="F27:F36" si="47">I16</f>
        <v>43134</v>
      </c>
      <c r="G27" s="572">
        <f t="shared" ref="G27:G36" si="48">K16</f>
        <v>43164</v>
      </c>
      <c r="H27" s="572">
        <f t="shared" ref="H27:H36" si="49">M16</f>
        <v>43194</v>
      </c>
      <c r="I27" s="572">
        <f t="shared" ref="I27:I36" si="50">O16</f>
        <v>43224</v>
      </c>
      <c r="J27" s="572">
        <f t="shared" ref="J27:J36" si="51">Q16</f>
        <v>43252</v>
      </c>
      <c r="K27" s="572">
        <f t="shared" ref="K27:K36" si="52">R16</f>
        <v>43282</v>
      </c>
      <c r="L27" s="572">
        <f t="shared" ref="L27:L36" si="53">T16</f>
        <v>43313</v>
      </c>
      <c r="M27" s="572">
        <f t="shared" ref="M27:M36" si="54">V16</f>
        <v>43344</v>
      </c>
      <c r="N27" s="572">
        <f t="shared" ref="N27:N36" si="55">W16</f>
        <v>43374</v>
      </c>
      <c r="O27" s="572">
        <f t="shared" ref="O27:O36" si="56">Y16</f>
        <v>43405</v>
      </c>
      <c r="P27" s="572">
        <f t="shared" ref="P27:P36" si="57">AB16</f>
        <v>43435</v>
      </c>
      <c r="Q27" s="572">
        <f t="shared" ref="Q27:Q36" si="58">AC16</f>
        <v>43466</v>
      </c>
      <c r="R27" s="572">
        <f t="shared" ref="R27:R36" si="59">AE16</f>
        <v>43497</v>
      </c>
      <c r="S27" s="572">
        <f t="shared" ref="S27:S36" si="60">AG16</f>
        <v>43525</v>
      </c>
      <c r="T27" s="572">
        <f t="shared" ref="T27:T36" si="61">AH16</f>
        <v>43556</v>
      </c>
      <c r="U27" s="572">
        <f t="shared" ref="U27:U36" si="62">AL16</f>
        <v>43586</v>
      </c>
      <c r="V27" s="572">
        <f t="shared" ref="V27:V36" si="63">AP16</f>
        <v>43617</v>
      </c>
      <c r="W27" s="572">
        <f t="shared" ref="W27:W36" si="64">AT16</f>
        <v>43647</v>
      </c>
      <c r="X27" s="572">
        <f t="shared" ref="X27:X36" si="65">AV16</f>
        <v>43678</v>
      </c>
      <c r="Y27" s="572">
        <f t="shared" ref="Y27:Y36" si="66">AX16</f>
        <v>43709</v>
      </c>
      <c r="Z27" s="572">
        <f t="shared" ref="Z27:Z36" si="67">BA16</f>
        <v>43739</v>
      </c>
      <c r="AA27" s="572">
        <f t="shared" ref="AA27:AA36" si="68">BD16</f>
        <v>43770</v>
      </c>
      <c r="AB27" s="572">
        <f t="shared" ref="AB27:AB36" si="69">BH16</f>
        <v>43800</v>
      </c>
      <c r="AC27" s="572">
        <f t="shared" ref="AC27:AC36" si="70">BI16</f>
        <v>43831</v>
      </c>
      <c r="AD27" s="572">
        <f t="shared" ref="AD27:AD36" si="71">BL16</f>
        <v>43862</v>
      </c>
      <c r="AE27" s="572">
        <f t="shared" ref="AE27:AE36" si="72">BO16</f>
        <v>43891</v>
      </c>
      <c r="AF27" s="572">
        <f t="shared" ref="AF27:AF36" si="73">BQ16</f>
        <v>43922</v>
      </c>
      <c r="AG27" s="572">
        <f t="shared" ref="AG27:AG36" si="74">BS16</f>
        <v>43952</v>
      </c>
      <c r="AH27" s="572">
        <f t="shared" ref="AH27:AH36" si="75">BV16</f>
        <v>43983</v>
      </c>
      <c r="AI27" s="572">
        <f t="shared" ref="AI27:AI36" si="76">BY16</f>
        <v>44013</v>
      </c>
      <c r="AJ27" s="572">
        <f t="shared" ref="AJ27:AJ36" si="77">CB16</f>
        <v>44044</v>
      </c>
      <c r="AK27" s="572">
        <f t="shared" ref="AK27:AK36" si="78">CE16</f>
        <v>44075</v>
      </c>
      <c r="AL27" s="572">
        <f t="shared" ref="AL27:AL36" si="79">CI16</f>
        <v>44105</v>
      </c>
      <c r="AM27" s="572">
        <f t="shared" ref="AM27:AM36" si="80">CL16</f>
        <v>44136</v>
      </c>
      <c r="AN27" s="572">
        <f t="shared" ref="AN27:AN36" si="81">CO16</f>
        <v>44166</v>
      </c>
      <c r="AO27" s="572">
        <f t="shared" ref="AO27:AO36" si="82">CR16</f>
        <v>44197</v>
      </c>
      <c r="AP27" s="572">
        <f t="shared" ref="AP27:AP36" si="83">CV16</f>
        <v>44228</v>
      </c>
      <c r="AQ27" s="572">
        <f t="shared" ref="AQ27:AQ36" si="84">DA16</f>
        <v>44256</v>
      </c>
      <c r="AR27" s="572">
        <f t="shared" ref="AR27:AR36" si="85">DD16</f>
        <v>44287</v>
      </c>
      <c r="AS27" s="572">
        <f t="shared" ref="AS27:AS36" si="86">DG16</f>
        <v>44317</v>
      </c>
      <c r="AT27" s="572">
        <f t="shared" ref="AT27:AT36" si="87">DJ16</f>
        <v>44348</v>
      </c>
      <c r="AU27" s="572">
        <f t="shared" ref="AU27:AU36" si="88">DM16</f>
        <v>44378</v>
      </c>
      <c r="AV27" s="572">
        <f t="shared" ref="AV27:AV36" si="89">DQ16</f>
        <v>44409</v>
      </c>
      <c r="AW27" s="572">
        <f t="shared" ref="AW27:AW36" si="90">DT16</f>
        <v>44440</v>
      </c>
      <c r="AX27" s="572">
        <f t="shared" ref="AX27:AX36" si="91">DV16</f>
        <v>44470</v>
      </c>
      <c r="AY27" s="572">
        <f t="shared" ref="AY27:AY36" si="92">DY16</f>
        <v>44501</v>
      </c>
      <c r="AZ27" s="572">
        <f t="shared" ref="AZ27:AZ36" si="93">EA16</f>
        <v>44531</v>
      </c>
    </row>
    <row r="28" spans="2:133" x14ac:dyDescent="0.25">
      <c r="B28" s="538"/>
      <c r="C28" s="6">
        <f>'Grade MIX'!Q14</f>
        <v>0.34627016129032256</v>
      </c>
      <c r="D28" s="567" t="s">
        <v>549</v>
      </c>
      <c r="E28" s="571">
        <f>E17</f>
        <v>80470</v>
      </c>
      <c r="F28" s="571">
        <f t="shared" si="47"/>
        <v>87410</v>
      </c>
      <c r="G28" s="571">
        <f t="shared" si="48"/>
        <v>90410</v>
      </c>
      <c r="H28" s="571">
        <f t="shared" si="49"/>
        <v>92485</v>
      </c>
      <c r="I28" s="571">
        <f t="shared" si="50"/>
        <v>96705</v>
      </c>
      <c r="J28" s="571">
        <f t="shared" si="51"/>
        <v>98080</v>
      </c>
      <c r="K28" s="571">
        <f t="shared" si="52"/>
        <v>98090</v>
      </c>
      <c r="L28" s="571">
        <f t="shared" si="53"/>
        <v>98080</v>
      </c>
      <c r="M28" s="571">
        <f t="shared" si="54"/>
        <v>98080</v>
      </c>
      <c r="N28" s="571">
        <f t="shared" si="55"/>
        <v>98800</v>
      </c>
      <c r="O28" s="571">
        <f t="shared" si="56"/>
        <v>94263.333333333328</v>
      </c>
      <c r="P28" s="571">
        <f t="shared" si="57"/>
        <v>84730</v>
      </c>
      <c r="Q28" s="571">
        <f t="shared" si="58"/>
        <v>80700</v>
      </c>
      <c r="R28" s="571">
        <f t="shared" si="59"/>
        <v>79305</v>
      </c>
      <c r="S28" s="571">
        <f t="shared" si="60"/>
        <v>79305</v>
      </c>
      <c r="T28" s="571">
        <f t="shared" si="61"/>
        <v>79305</v>
      </c>
      <c r="U28" s="571">
        <f t="shared" si="62"/>
        <v>76971.25</v>
      </c>
      <c r="V28" s="571">
        <f t="shared" si="63"/>
        <v>71624</v>
      </c>
      <c r="W28" s="571">
        <f t="shared" si="64"/>
        <v>69865</v>
      </c>
      <c r="X28" s="571">
        <f t="shared" si="65"/>
        <v>70558</v>
      </c>
      <c r="Y28" s="571">
        <f t="shared" si="66"/>
        <v>69712.666666666672</v>
      </c>
      <c r="Z28" s="571">
        <f t="shared" si="67"/>
        <v>68626.666666666672</v>
      </c>
      <c r="AA28" s="571">
        <f t="shared" si="68"/>
        <v>65705</v>
      </c>
      <c r="AB28" s="571">
        <f t="shared" si="69"/>
        <v>65250</v>
      </c>
      <c r="AC28" s="571">
        <f t="shared" si="70"/>
        <v>66630</v>
      </c>
      <c r="AD28" s="571">
        <f t="shared" si="71"/>
        <v>67090</v>
      </c>
      <c r="AE28" s="571">
        <f t="shared" si="72"/>
        <v>67100</v>
      </c>
      <c r="AF28" s="571">
        <f t="shared" si="73"/>
        <v>64805</v>
      </c>
      <c r="AG28" s="571">
        <f t="shared" si="74"/>
        <v>61115</v>
      </c>
      <c r="AH28" s="571">
        <f t="shared" si="75"/>
        <v>64206.666666666664</v>
      </c>
      <c r="AI28" s="571">
        <f t="shared" si="76"/>
        <v>69273.333333333328</v>
      </c>
      <c r="AJ28" s="571">
        <f t="shared" si="77"/>
        <v>71830</v>
      </c>
      <c r="AK28" s="571">
        <f t="shared" si="78"/>
        <v>73066.666666666672</v>
      </c>
      <c r="AL28" s="571">
        <f t="shared" si="79"/>
        <v>75090</v>
      </c>
      <c r="AM28" s="571">
        <f t="shared" si="80"/>
        <v>77566.666666666672</v>
      </c>
      <c r="AN28" s="571">
        <f t="shared" si="81"/>
        <v>81580</v>
      </c>
      <c r="AO28" s="571">
        <f t="shared" si="82"/>
        <v>82045</v>
      </c>
      <c r="AP28" s="571">
        <f t="shared" si="83"/>
        <v>86830</v>
      </c>
      <c r="AQ28" s="571">
        <f t="shared" si="84"/>
        <v>95920</v>
      </c>
      <c r="AR28" s="571">
        <f t="shared" si="85"/>
        <v>99820</v>
      </c>
      <c r="AS28" s="571">
        <f t="shared" si="86"/>
        <v>92940</v>
      </c>
      <c r="AT28" s="571">
        <f t="shared" si="87"/>
        <v>87090</v>
      </c>
      <c r="AU28" s="571">
        <f t="shared" si="88"/>
        <v>87703.333333333328</v>
      </c>
      <c r="AV28" s="571">
        <f t="shared" si="89"/>
        <v>90790</v>
      </c>
      <c r="AW28" s="571">
        <f t="shared" si="90"/>
        <v>91730</v>
      </c>
      <c r="AX28" s="571">
        <f t="shared" si="91"/>
        <v>96355</v>
      </c>
      <c r="AY28" s="571">
        <f t="shared" si="92"/>
        <v>100500</v>
      </c>
      <c r="AZ28" s="571">
        <f t="shared" si="93"/>
        <v>96543.333333333328</v>
      </c>
    </row>
    <row r="29" spans="2:133" x14ac:dyDescent="0.25">
      <c r="B29" s="538"/>
      <c r="C29" s="6">
        <f>'Grade MIX'!Q29+'Grade MIX'!Q32</f>
        <v>0.34727822580645162</v>
      </c>
      <c r="D29" s="567" t="s">
        <v>550</v>
      </c>
      <c r="E29" s="571">
        <f t="shared" ref="E29:E36" si="94">E18</f>
        <v>82492.5</v>
      </c>
      <c r="F29" s="571">
        <f t="shared" si="47"/>
        <v>89205</v>
      </c>
      <c r="G29" s="571">
        <f t="shared" si="48"/>
        <v>91290</v>
      </c>
      <c r="H29" s="571">
        <f t="shared" si="49"/>
        <v>93365</v>
      </c>
      <c r="I29" s="571">
        <f t="shared" si="50"/>
        <v>99005</v>
      </c>
      <c r="J29" s="571">
        <f t="shared" si="51"/>
        <v>100880</v>
      </c>
      <c r="K29" s="571">
        <f t="shared" si="52"/>
        <v>100890</v>
      </c>
      <c r="L29" s="571">
        <f t="shared" si="53"/>
        <v>99040</v>
      </c>
      <c r="M29" s="571">
        <f t="shared" si="54"/>
        <v>99030</v>
      </c>
      <c r="N29" s="571">
        <f t="shared" si="55"/>
        <v>99755</v>
      </c>
      <c r="O29" s="571">
        <f t="shared" si="56"/>
        <v>94883.333333333328</v>
      </c>
      <c r="P29" s="571">
        <f t="shared" si="57"/>
        <v>81920</v>
      </c>
      <c r="Q29" s="571">
        <f t="shared" si="58"/>
        <v>79900</v>
      </c>
      <c r="R29" s="571">
        <f t="shared" si="59"/>
        <v>79015</v>
      </c>
      <c r="S29" s="571">
        <f t="shared" si="60"/>
        <v>79015</v>
      </c>
      <c r="T29" s="571">
        <f t="shared" si="61"/>
        <v>79015</v>
      </c>
      <c r="U29" s="571">
        <f t="shared" si="62"/>
        <v>77371.25</v>
      </c>
      <c r="V29" s="571">
        <f t="shared" si="63"/>
        <v>73405</v>
      </c>
      <c r="W29" s="571">
        <f t="shared" si="64"/>
        <v>71649</v>
      </c>
      <c r="X29" s="571">
        <f t="shared" si="65"/>
        <v>72322</v>
      </c>
      <c r="Y29" s="571">
        <f t="shared" si="66"/>
        <v>71480</v>
      </c>
      <c r="Z29" s="571">
        <f t="shared" si="67"/>
        <v>71323.333333333328</v>
      </c>
      <c r="AA29" s="571">
        <f t="shared" si="68"/>
        <v>68400</v>
      </c>
      <c r="AB29" s="571">
        <f t="shared" si="69"/>
        <v>67940</v>
      </c>
      <c r="AC29" s="571">
        <f t="shared" si="70"/>
        <v>69325</v>
      </c>
      <c r="AD29" s="571">
        <f t="shared" si="71"/>
        <v>70405</v>
      </c>
      <c r="AE29" s="571">
        <f t="shared" si="72"/>
        <v>71030</v>
      </c>
      <c r="AF29" s="571">
        <f t="shared" si="73"/>
        <v>68735</v>
      </c>
      <c r="AG29" s="571">
        <f t="shared" si="74"/>
        <v>65045</v>
      </c>
      <c r="AH29" s="571">
        <f t="shared" si="75"/>
        <v>68136.666666666672</v>
      </c>
      <c r="AI29" s="571">
        <f t="shared" si="76"/>
        <v>73203.333333333328</v>
      </c>
      <c r="AJ29" s="571">
        <f t="shared" si="77"/>
        <v>75670</v>
      </c>
      <c r="AK29" s="571">
        <f t="shared" si="78"/>
        <v>76906.666666666672</v>
      </c>
      <c r="AL29" s="571">
        <f t="shared" si="79"/>
        <v>78930</v>
      </c>
      <c r="AM29" s="571">
        <f t="shared" si="80"/>
        <v>81406.666666666672</v>
      </c>
      <c r="AN29" s="571">
        <f t="shared" si="81"/>
        <v>85420</v>
      </c>
      <c r="AO29" s="571">
        <f t="shared" si="82"/>
        <v>86340</v>
      </c>
      <c r="AP29" s="571">
        <f t="shared" si="83"/>
        <v>90966.666666666672</v>
      </c>
      <c r="AQ29" s="571">
        <f t="shared" si="84"/>
        <v>99290</v>
      </c>
      <c r="AR29" s="571">
        <f t="shared" si="85"/>
        <v>104233.33333333333</v>
      </c>
      <c r="AS29" s="571">
        <f t="shared" si="86"/>
        <v>97780</v>
      </c>
      <c r="AT29" s="571">
        <f t="shared" si="87"/>
        <v>91930</v>
      </c>
      <c r="AU29" s="571">
        <f t="shared" si="88"/>
        <v>92543.333333333328</v>
      </c>
      <c r="AV29" s="571">
        <f t="shared" si="89"/>
        <v>95630</v>
      </c>
      <c r="AW29" s="571">
        <f t="shared" si="90"/>
        <v>96570</v>
      </c>
      <c r="AX29" s="571">
        <f t="shared" si="91"/>
        <v>100735</v>
      </c>
      <c r="AY29" s="571">
        <f t="shared" si="92"/>
        <v>104880</v>
      </c>
      <c r="AZ29" s="571">
        <f t="shared" si="93"/>
        <v>100923.33333333333</v>
      </c>
    </row>
    <row r="30" spans="2:133" x14ac:dyDescent="0.25">
      <c r="B30" s="538"/>
      <c r="C30" s="6">
        <f>'Grade MIX'!Q30:Q31</f>
        <v>0.11290322580645161</v>
      </c>
      <c r="D30" s="567" t="s">
        <v>547</v>
      </c>
      <c r="E30" s="571">
        <f t="shared" si="94"/>
        <v>80282.5</v>
      </c>
      <c r="F30" s="571">
        <f t="shared" si="47"/>
        <v>84540</v>
      </c>
      <c r="G30" s="571">
        <f t="shared" si="48"/>
        <v>85475</v>
      </c>
      <c r="H30" s="571">
        <f t="shared" si="49"/>
        <v>86855</v>
      </c>
      <c r="I30" s="571">
        <f t="shared" si="50"/>
        <v>91265</v>
      </c>
      <c r="J30" s="571">
        <f t="shared" si="51"/>
        <v>92640</v>
      </c>
      <c r="K30" s="571">
        <f t="shared" si="52"/>
        <v>92650</v>
      </c>
      <c r="L30" s="571">
        <f t="shared" si="53"/>
        <v>92650</v>
      </c>
      <c r="M30" s="571">
        <f t="shared" si="54"/>
        <v>92640</v>
      </c>
      <c r="N30" s="571">
        <f t="shared" si="55"/>
        <v>93365</v>
      </c>
      <c r="O30" s="571">
        <f t="shared" si="56"/>
        <v>89133.333333333328</v>
      </c>
      <c r="P30" s="571">
        <f t="shared" si="57"/>
        <v>82070</v>
      </c>
      <c r="Q30" s="571">
        <f t="shared" si="58"/>
        <v>81270</v>
      </c>
      <c r="R30" s="571">
        <f t="shared" si="59"/>
        <v>80335</v>
      </c>
      <c r="S30" s="571">
        <f t="shared" si="60"/>
        <v>80335</v>
      </c>
      <c r="T30" s="571">
        <f t="shared" si="61"/>
        <v>80335</v>
      </c>
      <c r="U30" s="571">
        <f t="shared" si="62"/>
        <v>77018.75</v>
      </c>
      <c r="V30" s="571">
        <f t="shared" si="63"/>
        <v>72438</v>
      </c>
      <c r="W30" s="571">
        <f t="shared" si="64"/>
        <v>70365</v>
      </c>
      <c r="X30" s="571">
        <f t="shared" si="65"/>
        <v>71048</v>
      </c>
      <c r="Y30" s="571">
        <f t="shared" si="66"/>
        <v>70206</v>
      </c>
      <c r="Z30" s="571">
        <f t="shared" si="67"/>
        <v>70043.333333333328</v>
      </c>
      <c r="AA30" s="571">
        <f t="shared" si="68"/>
        <v>67120</v>
      </c>
      <c r="AB30" s="571">
        <f t="shared" si="69"/>
        <v>66660</v>
      </c>
      <c r="AC30" s="571">
        <f t="shared" si="70"/>
        <v>67125</v>
      </c>
      <c r="AD30" s="571">
        <f t="shared" si="71"/>
        <v>67590</v>
      </c>
      <c r="AE30" s="571">
        <f t="shared" si="72"/>
        <v>67600</v>
      </c>
      <c r="AF30" s="571">
        <f t="shared" si="73"/>
        <v>65305</v>
      </c>
      <c r="AG30" s="571">
        <f t="shared" si="74"/>
        <v>64385</v>
      </c>
      <c r="AH30" s="571">
        <f t="shared" si="75"/>
        <v>66863.333333333328</v>
      </c>
      <c r="AI30" s="571">
        <f t="shared" si="76"/>
        <v>70385</v>
      </c>
      <c r="AJ30" s="571">
        <f t="shared" si="77"/>
        <v>71310</v>
      </c>
      <c r="AK30" s="571">
        <f t="shared" si="78"/>
        <v>72546.666666666672</v>
      </c>
      <c r="AL30" s="571">
        <f t="shared" si="79"/>
        <v>74570</v>
      </c>
      <c r="AM30" s="571">
        <f t="shared" si="80"/>
        <v>76126.666666666672</v>
      </c>
      <c r="AN30" s="571">
        <f t="shared" si="81"/>
        <v>80140</v>
      </c>
      <c r="AO30" s="571">
        <f t="shared" si="82"/>
        <v>80140</v>
      </c>
      <c r="AP30" s="571">
        <f t="shared" si="83"/>
        <v>84946.666666666672</v>
      </c>
      <c r="AQ30" s="571">
        <f t="shared" si="84"/>
        <v>92430</v>
      </c>
      <c r="AR30" s="571">
        <f t="shared" si="85"/>
        <v>96140</v>
      </c>
      <c r="AS30" s="571">
        <f t="shared" si="86"/>
        <v>88610</v>
      </c>
      <c r="AT30" s="571">
        <f t="shared" si="87"/>
        <v>85530</v>
      </c>
      <c r="AU30" s="571">
        <f t="shared" si="88"/>
        <v>86143.333333333328</v>
      </c>
      <c r="AV30" s="571">
        <f t="shared" si="89"/>
        <v>88310</v>
      </c>
      <c r="AW30" s="571">
        <f t="shared" si="90"/>
        <v>89250</v>
      </c>
      <c r="AX30" s="571">
        <f t="shared" si="91"/>
        <v>93645</v>
      </c>
      <c r="AY30" s="571">
        <f t="shared" si="92"/>
        <v>98020</v>
      </c>
      <c r="AZ30" s="571">
        <f t="shared" si="93"/>
        <v>93136.666666666672</v>
      </c>
    </row>
    <row r="31" spans="2:133" x14ac:dyDescent="0.25">
      <c r="B31" s="538"/>
      <c r="C31" s="6">
        <f>'Grade MIX'!Q35</f>
        <v>0.19354838709677419</v>
      </c>
      <c r="D31" s="567" t="s">
        <v>548</v>
      </c>
      <c r="E31" s="571">
        <f t="shared" si="94"/>
        <v>77310</v>
      </c>
      <c r="F31" s="571">
        <f t="shared" si="47"/>
        <v>83405</v>
      </c>
      <c r="G31" s="571">
        <f t="shared" si="48"/>
        <v>86190</v>
      </c>
      <c r="H31" s="571">
        <f t="shared" si="49"/>
        <v>87245</v>
      </c>
      <c r="I31" s="571">
        <f t="shared" si="50"/>
        <v>92625</v>
      </c>
      <c r="J31" s="571">
        <f t="shared" si="51"/>
        <v>94930</v>
      </c>
      <c r="K31" s="571">
        <f t="shared" si="52"/>
        <v>94930</v>
      </c>
      <c r="L31" s="571">
        <f t="shared" si="53"/>
        <v>94930</v>
      </c>
      <c r="M31" s="571">
        <f t="shared" si="54"/>
        <v>95850</v>
      </c>
      <c r="N31" s="571">
        <f t="shared" si="55"/>
        <v>96570</v>
      </c>
      <c r="O31" s="571">
        <f t="shared" si="56"/>
        <v>93266.666666666672</v>
      </c>
      <c r="P31" s="571">
        <f t="shared" si="57"/>
        <v>84350</v>
      </c>
      <c r="Q31" s="571">
        <f t="shared" si="58"/>
        <v>83550</v>
      </c>
      <c r="R31" s="571">
        <f t="shared" si="59"/>
        <v>82615</v>
      </c>
      <c r="S31" s="571">
        <f t="shared" si="60"/>
        <v>82615</v>
      </c>
      <c r="T31" s="571">
        <f t="shared" si="61"/>
        <v>82615</v>
      </c>
      <c r="U31" s="571">
        <f t="shared" si="62"/>
        <v>79788.75</v>
      </c>
      <c r="V31" s="571">
        <f t="shared" si="63"/>
        <v>74308</v>
      </c>
      <c r="W31" s="571">
        <f t="shared" si="64"/>
        <v>71311</v>
      </c>
      <c r="X31" s="571">
        <f t="shared" si="65"/>
        <v>71608</v>
      </c>
      <c r="Y31" s="571">
        <f t="shared" si="66"/>
        <v>70756</v>
      </c>
      <c r="Z31" s="571">
        <f t="shared" si="67"/>
        <v>70600</v>
      </c>
      <c r="AA31" s="571">
        <f t="shared" si="68"/>
        <v>67680</v>
      </c>
      <c r="AB31" s="571">
        <f t="shared" si="69"/>
        <v>67220</v>
      </c>
      <c r="AC31" s="571">
        <f t="shared" si="70"/>
        <v>67675</v>
      </c>
      <c r="AD31" s="571">
        <f t="shared" si="71"/>
        <v>68140</v>
      </c>
      <c r="AE31" s="571">
        <f t="shared" si="72"/>
        <v>68150</v>
      </c>
      <c r="AF31" s="571">
        <f t="shared" si="73"/>
        <v>65855</v>
      </c>
      <c r="AG31" s="571">
        <f t="shared" si="74"/>
        <v>64935</v>
      </c>
      <c r="AH31" s="571">
        <f t="shared" si="75"/>
        <v>66950</v>
      </c>
      <c r="AI31" s="571">
        <f t="shared" si="76"/>
        <v>70005</v>
      </c>
      <c r="AJ31" s="571">
        <f t="shared" si="77"/>
        <v>70930</v>
      </c>
      <c r="AK31" s="571">
        <f t="shared" si="78"/>
        <v>72166.666666666672</v>
      </c>
      <c r="AL31" s="571">
        <f t="shared" si="79"/>
        <v>74190</v>
      </c>
      <c r="AM31" s="571">
        <f t="shared" si="80"/>
        <v>76666.666666666672</v>
      </c>
      <c r="AN31" s="571">
        <f t="shared" si="81"/>
        <v>80680</v>
      </c>
      <c r="AO31" s="571">
        <f t="shared" si="82"/>
        <v>80680</v>
      </c>
      <c r="AP31" s="571">
        <f t="shared" si="83"/>
        <v>83766.666666666672</v>
      </c>
      <c r="AQ31" s="571">
        <f t="shared" si="84"/>
        <v>91003.333333333328</v>
      </c>
      <c r="AR31" s="571">
        <f t="shared" si="85"/>
        <v>96256.666666666672</v>
      </c>
      <c r="AS31" s="571">
        <f t="shared" si="86"/>
        <v>91343.333333333328</v>
      </c>
      <c r="AT31" s="571">
        <f t="shared" si="87"/>
        <v>89490</v>
      </c>
      <c r="AU31" s="571">
        <f t="shared" si="88"/>
        <v>90103.333333333328</v>
      </c>
      <c r="AV31" s="571">
        <f t="shared" si="89"/>
        <v>93190</v>
      </c>
      <c r="AW31" s="571">
        <f t="shared" si="90"/>
        <v>94130</v>
      </c>
      <c r="AX31" s="571">
        <f t="shared" si="91"/>
        <v>98295</v>
      </c>
      <c r="AY31" s="571">
        <f t="shared" si="92"/>
        <v>102440</v>
      </c>
      <c r="AZ31" s="571">
        <f t="shared" si="93"/>
        <v>97556.666666666672</v>
      </c>
    </row>
    <row r="32" spans="2:133" x14ac:dyDescent="0.25">
      <c r="B32" s="538"/>
      <c r="C32" s="6">
        <v>1</v>
      </c>
      <c r="D32" s="567" t="s">
        <v>546</v>
      </c>
      <c r="E32" s="571">
        <f t="shared" si="94"/>
        <v>77120</v>
      </c>
      <c r="F32" s="571">
        <f t="shared" si="47"/>
        <v>78330</v>
      </c>
      <c r="G32" s="571">
        <f t="shared" si="48"/>
        <v>78330</v>
      </c>
      <c r="H32" s="571">
        <f t="shared" si="49"/>
        <v>79710</v>
      </c>
      <c r="I32" s="571">
        <f t="shared" si="50"/>
        <v>81840</v>
      </c>
      <c r="J32" s="571">
        <f t="shared" si="51"/>
        <v>82290</v>
      </c>
      <c r="K32" s="571">
        <f t="shared" si="52"/>
        <v>81605</v>
      </c>
      <c r="L32" s="571">
        <f t="shared" si="53"/>
        <v>80450</v>
      </c>
      <c r="M32" s="571">
        <f t="shared" si="54"/>
        <v>82290</v>
      </c>
      <c r="N32" s="571">
        <f t="shared" si="55"/>
        <v>84860</v>
      </c>
      <c r="O32" s="571">
        <f t="shared" si="56"/>
        <v>82790</v>
      </c>
      <c r="P32" s="571">
        <f t="shared" si="57"/>
        <v>75410</v>
      </c>
      <c r="Q32" s="571">
        <f t="shared" si="58"/>
        <v>75535</v>
      </c>
      <c r="R32" s="571">
        <f t="shared" si="59"/>
        <v>75515</v>
      </c>
      <c r="S32" s="571">
        <f t="shared" si="60"/>
        <v>76895</v>
      </c>
      <c r="T32" s="571">
        <f t="shared" si="61"/>
        <v>76895</v>
      </c>
      <c r="U32" s="571">
        <f t="shared" si="62"/>
        <v>73118.75</v>
      </c>
      <c r="V32" s="571">
        <f t="shared" si="63"/>
        <v>69505.666666666672</v>
      </c>
      <c r="W32" s="571">
        <f t="shared" si="64"/>
        <v>68825</v>
      </c>
      <c r="X32" s="571">
        <f t="shared" si="65"/>
        <v>69518</v>
      </c>
      <c r="Y32" s="571">
        <f t="shared" si="66"/>
        <v>66726.666666666672</v>
      </c>
      <c r="Z32" s="571">
        <f t="shared" si="67"/>
        <v>68260</v>
      </c>
      <c r="AA32" s="571">
        <f t="shared" si="68"/>
        <v>65340</v>
      </c>
      <c r="AB32" s="571">
        <f t="shared" si="69"/>
        <v>64110</v>
      </c>
      <c r="AC32" s="571">
        <f t="shared" si="70"/>
        <v>65725</v>
      </c>
      <c r="AD32" s="571">
        <f t="shared" si="71"/>
        <v>66420</v>
      </c>
      <c r="AE32" s="571">
        <f t="shared" si="72"/>
        <v>66430</v>
      </c>
      <c r="AF32" s="571">
        <f t="shared" si="73"/>
        <v>62745</v>
      </c>
      <c r="AG32" s="571">
        <f t="shared" si="74"/>
        <v>59985</v>
      </c>
      <c r="AH32" s="571">
        <f t="shared" si="75"/>
        <v>63743.333333333336</v>
      </c>
      <c r="AI32" s="571">
        <f t="shared" si="76"/>
        <v>67265</v>
      </c>
      <c r="AJ32" s="571">
        <f t="shared" si="77"/>
        <v>67680</v>
      </c>
      <c r="AK32" s="571">
        <f t="shared" si="78"/>
        <v>68533.333333333328</v>
      </c>
      <c r="AL32" s="571">
        <f t="shared" si="79"/>
        <v>71170</v>
      </c>
      <c r="AM32" s="571">
        <f t="shared" si="80"/>
        <v>74566.666666666672</v>
      </c>
      <c r="AN32" s="571">
        <f t="shared" si="81"/>
        <v>80425</v>
      </c>
      <c r="AO32" s="571">
        <f t="shared" si="82"/>
        <v>79965</v>
      </c>
      <c r="AP32" s="571">
        <f t="shared" si="83"/>
        <v>83513.333333333328</v>
      </c>
      <c r="AQ32" s="571">
        <f t="shared" si="84"/>
        <v>94750</v>
      </c>
      <c r="AR32" s="571">
        <f t="shared" si="85"/>
        <v>97356.666666666672</v>
      </c>
      <c r="AS32" s="571">
        <f t="shared" si="86"/>
        <v>88703.333333333328</v>
      </c>
      <c r="AT32" s="571">
        <f t="shared" si="87"/>
        <v>85010</v>
      </c>
      <c r="AU32" s="571">
        <f t="shared" si="88"/>
        <v>87430</v>
      </c>
      <c r="AV32" s="571">
        <f t="shared" si="89"/>
        <v>92103.333333333328</v>
      </c>
      <c r="AW32" s="571">
        <f t="shared" si="90"/>
        <v>94270</v>
      </c>
      <c r="AX32" s="571">
        <f t="shared" si="91"/>
        <v>99825</v>
      </c>
      <c r="AY32" s="571">
        <f t="shared" si="92"/>
        <v>104890</v>
      </c>
      <c r="AZ32" s="571">
        <f t="shared" si="93"/>
        <v>98780</v>
      </c>
    </row>
    <row r="33" spans="2:52" x14ac:dyDescent="0.25">
      <c r="B33" s="538"/>
      <c r="C33" s="571">
        <f>'Grade MIX'!Q5</f>
        <v>0.32577236724181541</v>
      </c>
      <c r="D33" s="567" t="s">
        <v>545</v>
      </c>
      <c r="E33" s="571">
        <f t="shared" si="94"/>
        <v>81583.333333333328</v>
      </c>
      <c r="F33" s="571">
        <f t="shared" si="47"/>
        <v>86410</v>
      </c>
      <c r="G33" s="571">
        <f t="shared" si="48"/>
        <v>87540</v>
      </c>
      <c r="H33" s="571">
        <f t="shared" si="49"/>
        <v>87540</v>
      </c>
      <c r="I33" s="571">
        <f t="shared" si="50"/>
        <v>90145</v>
      </c>
      <c r="J33" s="571">
        <f t="shared" si="51"/>
        <v>93370</v>
      </c>
      <c r="K33" s="571">
        <f t="shared" si="52"/>
        <v>92685</v>
      </c>
      <c r="L33" s="571">
        <f t="shared" si="53"/>
        <v>90140</v>
      </c>
      <c r="M33" s="571">
        <f t="shared" si="54"/>
        <v>91980</v>
      </c>
      <c r="N33" s="571">
        <f t="shared" si="55"/>
        <v>94555</v>
      </c>
      <c r="O33" s="571">
        <f t="shared" si="56"/>
        <v>91556.666666666672</v>
      </c>
      <c r="P33" s="571">
        <f t="shared" si="57"/>
        <v>79530</v>
      </c>
      <c r="Q33" s="571">
        <f t="shared" si="58"/>
        <v>79655</v>
      </c>
      <c r="R33" s="571">
        <f t="shared" si="59"/>
        <v>81825</v>
      </c>
      <c r="S33" s="571">
        <f t="shared" si="60"/>
        <v>83435</v>
      </c>
      <c r="T33" s="571">
        <f t="shared" si="61"/>
        <v>85980</v>
      </c>
      <c r="U33" s="571">
        <f t="shared" si="62"/>
        <v>87955</v>
      </c>
      <c r="V33" s="571">
        <f t="shared" si="63"/>
        <v>83954.666666666672</v>
      </c>
      <c r="W33" s="571">
        <f t="shared" si="64"/>
        <v>82115</v>
      </c>
      <c r="X33" s="571">
        <f t="shared" si="65"/>
        <v>83500</v>
      </c>
      <c r="Y33" s="571">
        <f t="shared" si="66"/>
        <v>85580</v>
      </c>
      <c r="Z33" s="571">
        <f t="shared" si="67"/>
        <v>83266.666666666672</v>
      </c>
      <c r="AA33" s="571">
        <f t="shared" si="68"/>
        <v>77880</v>
      </c>
      <c r="AB33" s="571">
        <f t="shared" si="69"/>
        <v>74490</v>
      </c>
      <c r="AC33" s="571">
        <f t="shared" si="70"/>
        <v>74950</v>
      </c>
      <c r="AD33" s="571">
        <f t="shared" si="71"/>
        <v>74336.666666666672</v>
      </c>
      <c r="AE33" s="571">
        <f t="shared" si="72"/>
        <v>71280</v>
      </c>
      <c r="AF33" s="571">
        <f t="shared" si="73"/>
        <v>66675</v>
      </c>
      <c r="AG33" s="571">
        <f t="shared" si="74"/>
        <v>65755</v>
      </c>
      <c r="AH33" s="571">
        <f t="shared" si="75"/>
        <v>70155</v>
      </c>
      <c r="AI33" s="571">
        <f t="shared" si="76"/>
        <v>73825</v>
      </c>
      <c r="AJ33" s="571">
        <f t="shared" si="77"/>
        <v>73130</v>
      </c>
      <c r="AK33" s="571">
        <f t="shared" si="78"/>
        <v>73135</v>
      </c>
      <c r="AL33" s="571">
        <f t="shared" si="79"/>
        <v>76543.333333333328</v>
      </c>
      <c r="AM33" s="571">
        <f t="shared" si="80"/>
        <v>82100</v>
      </c>
      <c r="AN33" s="571">
        <f t="shared" si="81"/>
        <v>90270</v>
      </c>
      <c r="AO33" s="571">
        <f t="shared" si="82"/>
        <v>93045</v>
      </c>
      <c r="AP33" s="571">
        <f t="shared" si="83"/>
        <v>98506</v>
      </c>
      <c r="AQ33" s="571">
        <f t="shared" si="84"/>
        <v>112460</v>
      </c>
      <c r="AR33" s="571">
        <f t="shared" si="85"/>
        <v>112375</v>
      </c>
      <c r="AS33" s="571">
        <f t="shared" si="86"/>
        <v>106073.33333333333</v>
      </c>
      <c r="AT33" s="571">
        <f t="shared" si="87"/>
        <v>98836.666666666672</v>
      </c>
      <c r="AU33" s="571">
        <f t="shared" si="88"/>
        <v>99296.666666666672</v>
      </c>
      <c r="AV33" s="571">
        <f t="shared" si="89"/>
        <v>103615</v>
      </c>
      <c r="AW33" s="571">
        <f t="shared" si="90"/>
        <v>105015</v>
      </c>
      <c r="AX33" s="571">
        <f t="shared" si="91"/>
        <v>110873.33333333333</v>
      </c>
      <c r="AY33" s="571">
        <f t="shared" si="92"/>
        <v>116100</v>
      </c>
      <c r="AZ33" s="571">
        <f t="shared" si="93"/>
        <v>107533.33333333333</v>
      </c>
    </row>
    <row r="34" spans="2:52" x14ac:dyDescent="0.25">
      <c r="B34" s="538"/>
      <c r="C34" s="571">
        <f>'Grade MIX'!Q4</f>
        <v>0.61148667303883919</v>
      </c>
      <c r="D34" s="567" t="s">
        <v>543</v>
      </c>
      <c r="E34" s="571">
        <f t="shared" si="94"/>
        <v>82476.666666666672</v>
      </c>
      <c r="F34" s="571">
        <f t="shared" si="47"/>
        <v>87315</v>
      </c>
      <c r="G34" s="571">
        <f t="shared" si="48"/>
        <v>88460</v>
      </c>
      <c r="H34" s="571">
        <f t="shared" si="49"/>
        <v>88460</v>
      </c>
      <c r="I34" s="571">
        <f t="shared" si="50"/>
        <v>91045</v>
      </c>
      <c r="J34" s="571">
        <f t="shared" si="51"/>
        <v>93810</v>
      </c>
      <c r="K34" s="571">
        <f t="shared" si="52"/>
        <v>93120</v>
      </c>
      <c r="L34" s="571">
        <f t="shared" si="53"/>
        <v>90580</v>
      </c>
      <c r="M34" s="571">
        <f t="shared" si="54"/>
        <v>92420</v>
      </c>
      <c r="N34" s="571">
        <f t="shared" si="55"/>
        <v>94995</v>
      </c>
      <c r="O34" s="571">
        <f t="shared" si="56"/>
        <v>91996.666666666672</v>
      </c>
      <c r="P34" s="571">
        <f t="shared" si="57"/>
        <v>79970</v>
      </c>
      <c r="Q34" s="571">
        <f t="shared" si="58"/>
        <v>80095</v>
      </c>
      <c r="R34" s="571">
        <f t="shared" si="59"/>
        <v>82260</v>
      </c>
      <c r="S34" s="571">
        <f t="shared" si="60"/>
        <v>83875</v>
      </c>
      <c r="T34" s="571">
        <f t="shared" si="61"/>
        <v>86417.5</v>
      </c>
      <c r="U34" s="571">
        <f t="shared" si="62"/>
        <v>88445</v>
      </c>
      <c r="V34" s="571">
        <f t="shared" si="63"/>
        <v>84491.333333333328</v>
      </c>
      <c r="W34" s="571">
        <f t="shared" si="64"/>
        <v>82655</v>
      </c>
      <c r="X34" s="571">
        <f t="shared" si="65"/>
        <v>84035</v>
      </c>
      <c r="Y34" s="571">
        <f t="shared" si="66"/>
        <v>86120</v>
      </c>
      <c r="Z34" s="571">
        <f t="shared" si="67"/>
        <v>83800</v>
      </c>
      <c r="AA34" s="571">
        <f t="shared" si="68"/>
        <v>78416.666666666672</v>
      </c>
      <c r="AB34" s="571">
        <f t="shared" si="69"/>
        <v>75030</v>
      </c>
      <c r="AC34" s="571">
        <f t="shared" si="70"/>
        <v>75490</v>
      </c>
      <c r="AD34" s="571">
        <f t="shared" si="71"/>
        <v>74876.666666666672</v>
      </c>
      <c r="AE34" s="571">
        <f t="shared" si="72"/>
        <v>71820</v>
      </c>
      <c r="AF34" s="571">
        <f t="shared" si="73"/>
        <v>67215</v>
      </c>
      <c r="AG34" s="571">
        <f t="shared" si="74"/>
        <v>66295</v>
      </c>
      <c r="AH34" s="571">
        <f t="shared" si="75"/>
        <v>70265</v>
      </c>
      <c r="AI34" s="571">
        <f t="shared" si="76"/>
        <v>73705</v>
      </c>
      <c r="AJ34" s="571">
        <f t="shared" si="77"/>
        <v>73010</v>
      </c>
      <c r="AK34" s="571">
        <f t="shared" si="78"/>
        <v>73015</v>
      </c>
      <c r="AL34" s="571">
        <f t="shared" si="79"/>
        <v>76423.333333333328</v>
      </c>
      <c r="AM34" s="571">
        <f t="shared" si="80"/>
        <v>81980</v>
      </c>
      <c r="AN34" s="571">
        <f t="shared" si="81"/>
        <v>90150</v>
      </c>
      <c r="AO34" s="571">
        <f t="shared" si="82"/>
        <v>92970</v>
      </c>
      <c r="AP34" s="571">
        <f t="shared" si="83"/>
        <v>98582</v>
      </c>
      <c r="AQ34" s="571">
        <f t="shared" si="84"/>
        <v>112600</v>
      </c>
      <c r="AR34" s="571">
        <f t="shared" si="85"/>
        <v>112515</v>
      </c>
      <c r="AS34" s="571">
        <f t="shared" si="86"/>
        <v>106213.33333333333</v>
      </c>
      <c r="AT34" s="571">
        <f t="shared" si="87"/>
        <v>98976.666666666672</v>
      </c>
      <c r="AU34" s="571">
        <f t="shared" si="88"/>
        <v>99436.666666666672</v>
      </c>
      <c r="AV34" s="571">
        <f t="shared" si="89"/>
        <v>103755</v>
      </c>
      <c r="AW34" s="571">
        <f t="shared" si="90"/>
        <v>105155</v>
      </c>
      <c r="AX34" s="571">
        <f t="shared" si="91"/>
        <v>111013.33333333333</v>
      </c>
      <c r="AY34" s="571">
        <f t="shared" si="92"/>
        <v>116240</v>
      </c>
      <c r="AZ34" s="571">
        <f t="shared" si="93"/>
        <v>107673.33333333333</v>
      </c>
    </row>
    <row r="35" spans="2:52" x14ac:dyDescent="0.25">
      <c r="B35" s="538"/>
      <c r="C35" s="571">
        <f>'Grade MIX'!Q7</f>
        <v>6.2740959719345513E-2</v>
      </c>
      <c r="D35" s="567" t="s">
        <v>544</v>
      </c>
      <c r="E35" s="571">
        <f t="shared" si="94"/>
        <v>84556.666666666672</v>
      </c>
      <c r="F35" s="571">
        <f t="shared" si="47"/>
        <v>88910</v>
      </c>
      <c r="G35" s="571">
        <f t="shared" si="48"/>
        <v>89580</v>
      </c>
      <c r="H35" s="571">
        <f t="shared" si="49"/>
        <v>88100</v>
      </c>
      <c r="I35" s="571">
        <f t="shared" si="50"/>
        <v>90635</v>
      </c>
      <c r="J35" s="571">
        <f t="shared" si="51"/>
        <v>93400</v>
      </c>
      <c r="K35" s="571">
        <f t="shared" si="52"/>
        <v>92710</v>
      </c>
      <c r="L35" s="571">
        <f t="shared" si="53"/>
        <v>90170</v>
      </c>
      <c r="M35" s="571">
        <f t="shared" si="54"/>
        <v>92010</v>
      </c>
      <c r="N35" s="571">
        <f t="shared" si="55"/>
        <v>94585</v>
      </c>
      <c r="O35" s="571">
        <f t="shared" si="56"/>
        <v>91586.666666666672</v>
      </c>
      <c r="P35" s="571">
        <f t="shared" si="57"/>
        <v>79560</v>
      </c>
      <c r="Q35" s="571">
        <f t="shared" si="58"/>
        <v>79685</v>
      </c>
      <c r="R35" s="571">
        <f t="shared" si="59"/>
        <v>81850</v>
      </c>
      <c r="S35" s="571">
        <f t="shared" si="60"/>
        <v>83465</v>
      </c>
      <c r="T35" s="571">
        <f t="shared" si="61"/>
        <v>87410</v>
      </c>
      <c r="U35" s="571">
        <f t="shared" si="62"/>
        <v>89365</v>
      </c>
      <c r="V35" s="571">
        <f t="shared" si="63"/>
        <v>85361.333333333328</v>
      </c>
      <c r="W35" s="571">
        <f t="shared" si="64"/>
        <v>83525</v>
      </c>
      <c r="X35" s="571">
        <f t="shared" si="65"/>
        <v>84905</v>
      </c>
      <c r="Y35" s="571">
        <f t="shared" si="66"/>
        <v>86985</v>
      </c>
      <c r="Z35" s="571">
        <f t="shared" si="67"/>
        <v>84670</v>
      </c>
      <c r="AA35" s="571">
        <f t="shared" si="68"/>
        <v>79286.666666666672</v>
      </c>
      <c r="AB35" s="571">
        <f t="shared" si="69"/>
        <v>75900</v>
      </c>
      <c r="AC35" s="571">
        <f t="shared" si="70"/>
        <v>76360</v>
      </c>
      <c r="AD35" s="571">
        <f t="shared" si="71"/>
        <v>75746.666666666672</v>
      </c>
      <c r="AE35" s="571">
        <f t="shared" si="72"/>
        <v>72690</v>
      </c>
      <c r="AF35" s="571">
        <f t="shared" si="73"/>
        <v>68085</v>
      </c>
      <c r="AG35" s="571">
        <f t="shared" si="74"/>
        <v>67165</v>
      </c>
      <c r="AH35" s="571">
        <f t="shared" si="75"/>
        <v>71335</v>
      </c>
      <c r="AI35" s="571">
        <f t="shared" si="76"/>
        <v>74775</v>
      </c>
      <c r="AJ35" s="571">
        <f t="shared" si="77"/>
        <v>73900</v>
      </c>
      <c r="AK35" s="571">
        <f t="shared" si="78"/>
        <v>73905</v>
      </c>
      <c r="AL35" s="571">
        <f t="shared" si="79"/>
        <v>77313.333333333328</v>
      </c>
      <c r="AM35" s="571">
        <f t="shared" si="80"/>
        <v>82870</v>
      </c>
      <c r="AN35" s="571">
        <f t="shared" si="81"/>
        <v>91040</v>
      </c>
      <c r="AO35" s="571">
        <f t="shared" si="82"/>
        <v>93815</v>
      </c>
      <c r="AP35" s="571">
        <f t="shared" si="83"/>
        <v>99326</v>
      </c>
      <c r="AQ35" s="571">
        <f t="shared" si="84"/>
        <v>113280</v>
      </c>
      <c r="AR35" s="571">
        <f t="shared" si="85"/>
        <v>113295</v>
      </c>
      <c r="AS35" s="571">
        <f t="shared" si="86"/>
        <v>106993.33333333333</v>
      </c>
      <c r="AT35" s="571">
        <f t="shared" si="87"/>
        <v>99726.666666666672</v>
      </c>
      <c r="AU35" s="571">
        <f t="shared" si="88"/>
        <v>100126.66666666667</v>
      </c>
      <c r="AV35" s="571">
        <f t="shared" si="89"/>
        <v>104905</v>
      </c>
      <c r="AW35" s="571">
        <f t="shared" si="90"/>
        <v>106305</v>
      </c>
      <c r="AX35" s="571">
        <f t="shared" si="91"/>
        <v>112163.33333333333</v>
      </c>
      <c r="AY35" s="571">
        <f t="shared" si="92"/>
        <v>117390</v>
      </c>
      <c r="AZ35" s="571">
        <f t="shared" si="93"/>
        <v>108823.33333333333</v>
      </c>
    </row>
    <row r="36" spans="2:52" x14ac:dyDescent="0.25">
      <c r="B36" s="538"/>
      <c r="C36" s="571">
        <f>B36</f>
        <v>0</v>
      </c>
      <c r="D36" s="567" t="s">
        <v>542</v>
      </c>
      <c r="E36" s="571">
        <f t="shared" si="94"/>
        <v>84816.666666666672</v>
      </c>
      <c r="F36" s="571">
        <f t="shared" si="47"/>
        <v>89865</v>
      </c>
      <c r="G36" s="571">
        <f t="shared" si="48"/>
        <v>91220</v>
      </c>
      <c r="H36" s="571">
        <f t="shared" si="49"/>
        <v>89740</v>
      </c>
      <c r="I36" s="571">
        <f t="shared" si="50"/>
        <v>92610</v>
      </c>
      <c r="J36" s="571">
        <f t="shared" si="51"/>
        <v>95374</v>
      </c>
      <c r="K36" s="571">
        <f t="shared" si="52"/>
        <v>94690</v>
      </c>
      <c r="L36" s="571">
        <f t="shared" si="53"/>
        <v>92150</v>
      </c>
      <c r="M36" s="571">
        <f t="shared" si="54"/>
        <v>93990</v>
      </c>
      <c r="N36" s="571">
        <f t="shared" si="55"/>
        <v>97015</v>
      </c>
      <c r="O36" s="571">
        <f t="shared" si="56"/>
        <v>94016.666666666672</v>
      </c>
      <c r="P36" s="571">
        <f t="shared" si="57"/>
        <v>82050</v>
      </c>
      <c r="Q36" s="571">
        <f t="shared" si="58"/>
        <v>82175</v>
      </c>
      <c r="R36" s="571">
        <f t="shared" si="59"/>
        <v>84345</v>
      </c>
      <c r="S36" s="571">
        <f t="shared" si="60"/>
        <v>85955</v>
      </c>
      <c r="T36" s="571">
        <f t="shared" si="61"/>
        <v>89037.5</v>
      </c>
      <c r="U36" s="571">
        <f t="shared" si="62"/>
        <v>90745</v>
      </c>
      <c r="V36" s="571">
        <f t="shared" si="63"/>
        <v>86638</v>
      </c>
      <c r="W36" s="571">
        <f t="shared" si="64"/>
        <v>84480</v>
      </c>
      <c r="X36" s="571">
        <f t="shared" si="65"/>
        <v>85475</v>
      </c>
      <c r="Y36" s="571">
        <f t="shared" si="66"/>
        <v>87555</v>
      </c>
      <c r="Z36" s="571">
        <f t="shared" si="67"/>
        <v>84623.333333333328</v>
      </c>
      <c r="AA36" s="571">
        <f t="shared" si="68"/>
        <v>78926.666666666672</v>
      </c>
      <c r="AB36" s="571">
        <f t="shared" si="69"/>
        <v>75080</v>
      </c>
      <c r="AC36" s="571">
        <f t="shared" si="70"/>
        <v>75540</v>
      </c>
      <c r="AD36" s="571">
        <f t="shared" si="71"/>
        <v>75386.666666666672</v>
      </c>
      <c r="AE36" s="571">
        <f t="shared" si="72"/>
        <v>72790</v>
      </c>
      <c r="AF36" s="571">
        <f t="shared" si="73"/>
        <v>69115</v>
      </c>
      <c r="AG36" s="571">
        <f t="shared" si="74"/>
        <v>68195</v>
      </c>
      <c r="AH36" s="571">
        <f t="shared" si="75"/>
        <v>72595</v>
      </c>
      <c r="AI36" s="571">
        <f t="shared" si="76"/>
        <v>76265</v>
      </c>
      <c r="AJ36" s="571">
        <f t="shared" si="77"/>
        <v>75570</v>
      </c>
      <c r="AK36" s="571">
        <f t="shared" si="78"/>
        <v>75805</v>
      </c>
      <c r="AL36" s="571">
        <f t="shared" si="79"/>
        <v>80216.666666666672</v>
      </c>
      <c r="AM36" s="571">
        <f t="shared" si="80"/>
        <v>86390</v>
      </c>
      <c r="AN36" s="571">
        <f t="shared" si="81"/>
        <v>94560</v>
      </c>
      <c r="AO36" s="571">
        <f t="shared" si="82"/>
        <v>97335</v>
      </c>
      <c r="AP36" s="571">
        <f t="shared" si="83"/>
        <v>102326</v>
      </c>
      <c r="AQ36" s="571">
        <f t="shared" si="84"/>
        <v>116280</v>
      </c>
      <c r="AR36" s="571">
        <f t="shared" si="85"/>
        <v>116295</v>
      </c>
      <c r="AS36" s="571">
        <f t="shared" si="86"/>
        <v>109993.33333333333</v>
      </c>
      <c r="AT36" s="571">
        <f t="shared" si="87"/>
        <v>102756.66666666667</v>
      </c>
      <c r="AU36" s="571">
        <f t="shared" si="88"/>
        <v>103216.66666666667</v>
      </c>
      <c r="AV36" s="571">
        <f t="shared" si="89"/>
        <v>107535</v>
      </c>
      <c r="AW36" s="571">
        <f t="shared" si="90"/>
        <v>108935</v>
      </c>
      <c r="AX36" s="571">
        <f t="shared" si="91"/>
        <v>114793.33333333333</v>
      </c>
      <c r="AY36" s="571">
        <f t="shared" si="92"/>
        <v>120020</v>
      </c>
      <c r="AZ36" s="571">
        <f t="shared" si="93"/>
        <v>111453.33333333333</v>
      </c>
    </row>
    <row r="37" spans="2:52" s="361" customFormat="1" x14ac:dyDescent="0.25">
      <c r="B37" s="538"/>
      <c r="C37" s="538"/>
      <c r="D37" s="579"/>
      <c r="E37" s="580"/>
      <c r="F37" s="580"/>
      <c r="G37" s="580"/>
      <c r="H37" s="580"/>
      <c r="I37" s="580"/>
      <c r="J37" s="580"/>
      <c r="K37" s="580"/>
      <c r="L37" s="580"/>
      <c r="M37" s="580"/>
      <c r="N37" s="580"/>
      <c r="O37" s="580"/>
      <c r="P37" s="580"/>
      <c r="Q37" s="580"/>
      <c r="R37" s="580"/>
      <c r="S37" s="580"/>
      <c r="T37" s="580"/>
      <c r="U37" s="580"/>
      <c r="V37" s="580"/>
      <c r="W37" s="580"/>
      <c r="X37" s="580"/>
      <c r="Y37" s="580"/>
      <c r="Z37" s="580"/>
      <c r="AA37" s="580"/>
      <c r="AB37" s="580"/>
      <c r="AC37" s="580"/>
      <c r="AD37" s="580"/>
      <c r="AE37" s="580"/>
      <c r="AF37" s="580"/>
      <c r="AG37" s="580"/>
      <c r="AH37" s="580"/>
      <c r="AI37" s="580"/>
      <c r="AJ37" s="580"/>
      <c r="AK37" s="580"/>
      <c r="AL37" s="580"/>
      <c r="AM37" s="580"/>
      <c r="AN37" s="580"/>
      <c r="AO37" s="580"/>
      <c r="AP37" s="580"/>
      <c r="AQ37" s="580"/>
      <c r="AR37" s="580"/>
      <c r="AS37" s="580"/>
      <c r="AT37" s="580"/>
      <c r="AU37" s="580"/>
      <c r="AV37" s="580"/>
      <c r="AW37" s="580"/>
      <c r="AX37" s="580"/>
      <c r="AY37" s="580"/>
      <c r="AZ37" s="580"/>
    </row>
    <row r="38" spans="2:52" s="361" customFormat="1" x14ac:dyDescent="0.25">
      <c r="B38" s="538"/>
      <c r="C38" s="538"/>
      <c r="D38" s="579"/>
      <c r="E38" s="580"/>
      <c r="F38" s="580"/>
      <c r="G38" s="580"/>
      <c r="H38" s="580"/>
      <c r="I38" s="580"/>
      <c r="J38" s="580"/>
      <c r="K38" s="580"/>
      <c r="L38" s="580"/>
      <c r="M38" s="580"/>
      <c r="N38" s="580"/>
      <c r="O38" s="580"/>
      <c r="P38" s="580"/>
      <c r="Q38" s="580"/>
      <c r="R38" s="580"/>
      <c r="S38" s="580"/>
      <c r="T38" s="580"/>
      <c r="U38" s="580"/>
      <c r="V38" s="580"/>
      <c r="W38" s="580"/>
      <c r="X38" s="580"/>
      <c r="Y38" s="580"/>
      <c r="Z38" s="580"/>
      <c r="AA38" s="580"/>
      <c r="AB38" s="580"/>
      <c r="AC38" s="580"/>
      <c r="AD38" s="580"/>
      <c r="AE38" s="580"/>
      <c r="AF38" s="580"/>
      <c r="AG38" s="580"/>
      <c r="AH38" s="580"/>
      <c r="AI38" s="580"/>
      <c r="AJ38" s="580"/>
      <c r="AK38" s="580"/>
      <c r="AL38" s="580"/>
      <c r="AM38" s="580"/>
      <c r="AN38" s="580"/>
      <c r="AO38" s="580"/>
      <c r="AP38" s="580"/>
      <c r="AQ38" s="580"/>
      <c r="AR38" s="580"/>
      <c r="AS38" s="580"/>
      <c r="AT38" s="580"/>
      <c r="AU38" s="580"/>
      <c r="AV38" s="580"/>
      <c r="AW38" s="580"/>
      <c r="AX38" s="580"/>
      <c r="AY38" s="580"/>
      <c r="AZ38" s="580"/>
    </row>
    <row r="39" spans="2:52" x14ac:dyDescent="0.25">
      <c r="D39" s="567" t="s">
        <v>109</v>
      </c>
      <c r="E39" s="572">
        <v>43101</v>
      </c>
      <c r="F39" s="572">
        <v>43132</v>
      </c>
      <c r="G39" s="572">
        <v>43160</v>
      </c>
      <c r="H39" s="572">
        <v>43191</v>
      </c>
      <c r="I39" s="572">
        <v>43221</v>
      </c>
      <c r="J39" s="572">
        <v>43252</v>
      </c>
      <c r="K39" s="572">
        <v>43282</v>
      </c>
      <c r="L39" s="572">
        <v>43313</v>
      </c>
      <c r="M39" s="572">
        <v>43344</v>
      </c>
      <c r="N39" s="572">
        <v>43374</v>
      </c>
      <c r="O39" s="572">
        <v>43405</v>
      </c>
      <c r="P39" s="572">
        <v>43435</v>
      </c>
      <c r="Q39" s="572">
        <v>43466</v>
      </c>
      <c r="R39" s="572">
        <v>43497</v>
      </c>
      <c r="S39" s="572">
        <v>43525</v>
      </c>
      <c r="T39" s="572">
        <v>43556</v>
      </c>
      <c r="U39" s="572">
        <v>43586</v>
      </c>
      <c r="V39" s="572">
        <v>43617</v>
      </c>
      <c r="W39" s="572">
        <v>43647</v>
      </c>
      <c r="X39" s="572">
        <v>43678</v>
      </c>
      <c r="Y39" s="572">
        <v>43709</v>
      </c>
      <c r="Z39" s="572">
        <v>43739</v>
      </c>
      <c r="AA39" s="572">
        <v>43770</v>
      </c>
      <c r="AB39" s="572">
        <v>43800</v>
      </c>
      <c r="AC39" s="572">
        <v>43831</v>
      </c>
      <c r="AD39" s="572">
        <v>43862</v>
      </c>
      <c r="AE39" s="572">
        <v>43891</v>
      </c>
      <c r="AF39" s="572">
        <v>43922</v>
      </c>
      <c r="AG39" s="572">
        <v>43952</v>
      </c>
      <c r="AH39" s="572">
        <v>43983</v>
      </c>
      <c r="AI39" s="572">
        <v>44013</v>
      </c>
      <c r="AJ39" s="572">
        <v>44044</v>
      </c>
      <c r="AK39" s="572">
        <v>44075</v>
      </c>
      <c r="AL39" s="572">
        <v>44105</v>
      </c>
      <c r="AM39" s="572">
        <v>44136</v>
      </c>
      <c r="AN39" s="572">
        <v>44166</v>
      </c>
      <c r="AO39" s="572">
        <v>44197</v>
      </c>
      <c r="AP39" s="572">
        <v>44228</v>
      </c>
      <c r="AQ39" s="572">
        <v>44256</v>
      </c>
      <c r="AR39" s="572">
        <v>44287</v>
      </c>
      <c r="AS39" s="572">
        <v>44317</v>
      </c>
      <c r="AT39" s="572">
        <v>44348</v>
      </c>
      <c r="AU39" s="572">
        <v>44378</v>
      </c>
      <c r="AV39" s="572">
        <v>44409</v>
      </c>
      <c r="AW39" s="572">
        <v>44440</v>
      </c>
      <c r="AX39" s="572">
        <v>44470</v>
      </c>
      <c r="AY39" s="572">
        <v>44501</v>
      </c>
      <c r="AZ39" s="572">
        <v>44531</v>
      </c>
    </row>
    <row r="40" spans="2:52" x14ac:dyDescent="0.25">
      <c r="D40" s="567" t="s">
        <v>567</v>
      </c>
      <c r="E40" s="543">
        <f>$C$28*E28+$C$29*E29+$C$30*E30+$C$31*E31</f>
        <v>80539.58795362903</v>
      </c>
      <c r="F40" s="543">
        <f t="shared" ref="F40:AZ40" si="95">$C$28*F28+$C$29*F29+$C$30*F30+$C$31*F31</f>
        <v>86934.170866935485</v>
      </c>
      <c r="G40" s="543">
        <f t="shared" si="95"/>
        <v>89341.653225806454</v>
      </c>
      <c r="H40" s="543">
        <f t="shared" si="95"/>
        <v>91140.766129032243</v>
      </c>
      <c r="I40" s="543">
        <f t="shared" si="95"/>
        <v>96099.868951612909</v>
      </c>
      <c r="J40" s="543">
        <f t="shared" si="95"/>
        <v>97828.508064516122</v>
      </c>
      <c r="K40" s="543">
        <f t="shared" si="95"/>
        <v>97836.572580645152</v>
      </c>
      <c r="L40" s="543">
        <f t="shared" si="95"/>
        <v>97190.645161290318</v>
      </c>
      <c r="M40" s="543">
        <f t="shared" si="95"/>
        <v>97364.107862903213</v>
      </c>
      <c r="N40" s="543">
        <f t="shared" si="95"/>
        <v>98086.408770161288</v>
      </c>
      <c r="O40" s="543">
        <f t="shared" si="95"/>
        <v>93706.549059139783</v>
      </c>
      <c r="P40" s="543">
        <f t="shared" si="95"/>
        <v>83380.277217741939</v>
      </c>
      <c r="Q40" s="543">
        <f t="shared" si="95"/>
        <v>81038.145161290318</v>
      </c>
      <c r="R40" s="543">
        <f t="shared" si="95"/>
        <v>79961.224798387091</v>
      </c>
      <c r="S40" s="543">
        <f t="shared" si="95"/>
        <v>79961.224798387091</v>
      </c>
      <c r="T40" s="543">
        <f t="shared" si="95"/>
        <v>79961.224798387091</v>
      </c>
      <c r="U40" s="543">
        <f t="shared" si="95"/>
        <v>77660.846774193546</v>
      </c>
      <c r="V40" s="543">
        <f t="shared" si="95"/>
        <v>72853.889616935485</v>
      </c>
      <c r="W40" s="543">
        <f t="shared" si="95"/>
        <v>70820.866935483864</v>
      </c>
      <c r="X40" s="543">
        <f t="shared" si="95"/>
        <v>71429.147177419349</v>
      </c>
      <c r="Y40" s="543">
        <f t="shared" si="95"/>
        <v>70584.057459677424</v>
      </c>
      <c r="Z40" s="543">
        <f t="shared" si="95"/>
        <v>70105.042002688162</v>
      </c>
      <c r="AA40" s="543">
        <f t="shared" si="95"/>
        <v>67182.930947580651</v>
      </c>
      <c r="AB40" s="543">
        <f t="shared" si="95"/>
        <v>66724.662298387091</v>
      </c>
      <c r="AC40" s="543">
        <f t="shared" si="95"/>
        <v>67824.059979838712</v>
      </c>
      <c r="AD40" s="543">
        <f t="shared" si="95"/>
        <v>68500.904737903227</v>
      </c>
      <c r="AE40" s="543">
        <f t="shared" si="95"/>
        <v>68724.480846774197</v>
      </c>
      <c r="AF40" s="543">
        <f t="shared" si="95"/>
        <v>66429.480846774182</v>
      </c>
      <c r="AG40" s="543">
        <f t="shared" si="95"/>
        <v>63588.351814516129</v>
      </c>
      <c r="AH40" s="543">
        <f t="shared" si="95"/>
        <v>66402.384072580651</v>
      </c>
      <c r="AI40" s="543">
        <f t="shared" si="95"/>
        <v>70905.260416666657</v>
      </c>
      <c r="AJ40" s="543">
        <f t="shared" si="95"/>
        <v>72930.645161290318</v>
      </c>
      <c r="AK40" s="543">
        <f t="shared" si="95"/>
        <v>74167.31182795699</v>
      </c>
      <c r="AL40" s="543">
        <f t="shared" si="95"/>
        <v>76190.645161290318</v>
      </c>
      <c r="AM40" s="543">
        <f t="shared" si="95"/>
        <v>78563.440860215051</v>
      </c>
      <c r="AN40" s="543">
        <f t="shared" si="95"/>
        <v>82576.774193548394</v>
      </c>
      <c r="AO40" s="543">
        <f t="shared" si="95"/>
        <v>83057.285786290318</v>
      </c>
      <c r="AP40" s="543">
        <f t="shared" si="95"/>
        <v>87461.036626344096</v>
      </c>
      <c r="AQ40" s="543">
        <f t="shared" si="95"/>
        <v>95744.682459677424</v>
      </c>
      <c r="AR40" s="543">
        <f t="shared" si="95"/>
        <v>100247.4932795699</v>
      </c>
      <c r="AS40" s="543">
        <f t="shared" si="95"/>
        <v>93822.923387096787</v>
      </c>
      <c r="AT40" s="543">
        <f t="shared" si="95"/>
        <v>89059.213709677409</v>
      </c>
      <c r="AU40" s="543">
        <f t="shared" si="95"/>
        <v>89672.547043010738</v>
      </c>
      <c r="AV40" s="543">
        <f t="shared" si="95"/>
        <v>92655.342741935485</v>
      </c>
      <c r="AW40" s="543">
        <f t="shared" si="95"/>
        <v>93595.342741935485</v>
      </c>
      <c r="AX40" s="543">
        <f t="shared" si="95"/>
        <v>97945.59475806453</v>
      </c>
      <c r="AY40" s="543">
        <f t="shared" si="95"/>
        <v>102116.5625</v>
      </c>
      <c r="AZ40" s="543">
        <f t="shared" si="95"/>
        <v>97875.917338709667</v>
      </c>
    </row>
    <row r="41" spans="2:52" x14ac:dyDescent="0.25">
      <c r="D41" s="567" t="s">
        <v>568</v>
      </c>
      <c r="E41" s="190">
        <f>E32</f>
        <v>77120</v>
      </c>
      <c r="F41" s="190">
        <f t="shared" ref="F41:AZ41" si="96">F32</f>
        <v>78330</v>
      </c>
      <c r="G41" s="190">
        <f t="shared" si="96"/>
        <v>78330</v>
      </c>
      <c r="H41" s="190">
        <f t="shared" si="96"/>
        <v>79710</v>
      </c>
      <c r="I41" s="190">
        <f t="shared" si="96"/>
        <v>81840</v>
      </c>
      <c r="J41" s="190">
        <f t="shared" si="96"/>
        <v>82290</v>
      </c>
      <c r="K41" s="190">
        <f t="shared" si="96"/>
        <v>81605</v>
      </c>
      <c r="L41" s="190">
        <f t="shared" si="96"/>
        <v>80450</v>
      </c>
      <c r="M41" s="190">
        <f t="shared" si="96"/>
        <v>82290</v>
      </c>
      <c r="N41" s="190">
        <f t="shared" si="96"/>
        <v>84860</v>
      </c>
      <c r="O41" s="190">
        <f t="shared" si="96"/>
        <v>82790</v>
      </c>
      <c r="P41" s="190">
        <f t="shared" si="96"/>
        <v>75410</v>
      </c>
      <c r="Q41" s="190">
        <f t="shared" si="96"/>
        <v>75535</v>
      </c>
      <c r="R41" s="190">
        <f t="shared" si="96"/>
        <v>75515</v>
      </c>
      <c r="S41" s="190">
        <f t="shared" si="96"/>
        <v>76895</v>
      </c>
      <c r="T41" s="190">
        <f t="shared" si="96"/>
        <v>76895</v>
      </c>
      <c r="U41" s="190">
        <f t="shared" si="96"/>
        <v>73118.75</v>
      </c>
      <c r="V41" s="190">
        <f t="shared" si="96"/>
        <v>69505.666666666672</v>
      </c>
      <c r="W41" s="190">
        <f t="shared" si="96"/>
        <v>68825</v>
      </c>
      <c r="X41" s="190">
        <f t="shared" si="96"/>
        <v>69518</v>
      </c>
      <c r="Y41" s="190">
        <f t="shared" si="96"/>
        <v>66726.666666666672</v>
      </c>
      <c r="Z41" s="190">
        <f t="shared" si="96"/>
        <v>68260</v>
      </c>
      <c r="AA41" s="190">
        <f t="shared" si="96"/>
        <v>65340</v>
      </c>
      <c r="AB41" s="190">
        <f t="shared" si="96"/>
        <v>64110</v>
      </c>
      <c r="AC41" s="190">
        <f t="shared" si="96"/>
        <v>65725</v>
      </c>
      <c r="AD41" s="190">
        <f t="shared" si="96"/>
        <v>66420</v>
      </c>
      <c r="AE41" s="190">
        <f t="shared" si="96"/>
        <v>66430</v>
      </c>
      <c r="AF41" s="190">
        <f t="shared" si="96"/>
        <v>62745</v>
      </c>
      <c r="AG41" s="190">
        <f t="shared" si="96"/>
        <v>59985</v>
      </c>
      <c r="AH41" s="190">
        <f t="shared" si="96"/>
        <v>63743.333333333336</v>
      </c>
      <c r="AI41" s="190">
        <f t="shared" si="96"/>
        <v>67265</v>
      </c>
      <c r="AJ41" s="190">
        <f t="shared" si="96"/>
        <v>67680</v>
      </c>
      <c r="AK41" s="190">
        <f t="shared" si="96"/>
        <v>68533.333333333328</v>
      </c>
      <c r="AL41" s="190">
        <f t="shared" si="96"/>
        <v>71170</v>
      </c>
      <c r="AM41" s="190">
        <f t="shared" si="96"/>
        <v>74566.666666666672</v>
      </c>
      <c r="AN41" s="190">
        <f t="shared" si="96"/>
        <v>80425</v>
      </c>
      <c r="AO41" s="190">
        <f t="shared" si="96"/>
        <v>79965</v>
      </c>
      <c r="AP41" s="190">
        <f t="shared" si="96"/>
        <v>83513.333333333328</v>
      </c>
      <c r="AQ41" s="190">
        <f t="shared" si="96"/>
        <v>94750</v>
      </c>
      <c r="AR41" s="190">
        <f t="shared" si="96"/>
        <v>97356.666666666672</v>
      </c>
      <c r="AS41" s="190">
        <f t="shared" si="96"/>
        <v>88703.333333333328</v>
      </c>
      <c r="AT41" s="190">
        <f t="shared" si="96"/>
        <v>85010</v>
      </c>
      <c r="AU41" s="190">
        <f t="shared" si="96"/>
        <v>87430</v>
      </c>
      <c r="AV41" s="190">
        <f t="shared" si="96"/>
        <v>92103.333333333328</v>
      </c>
      <c r="AW41" s="190">
        <f t="shared" si="96"/>
        <v>94270</v>
      </c>
      <c r="AX41" s="190">
        <f t="shared" si="96"/>
        <v>99825</v>
      </c>
      <c r="AY41" s="190">
        <f t="shared" si="96"/>
        <v>104890</v>
      </c>
      <c r="AZ41" s="190">
        <f t="shared" si="96"/>
        <v>98780</v>
      </c>
    </row>
    <row r="42" spans="2:52" x14ac:dyDescent="0.25">
      <c r="D42" s="567" t="s">
        <v>569</v>
      </c>
      <c r="E42" s="190">
        <f>$C$33*E33+$C$34*E34+$C$35*E35+$C$36*E36</f>
        <v>82316.144548146898</v>
      </c>
      <c r="F42" s="190">
        <f t="shared" ref="F42:AZ42" si="97">$C$33*F33+$C$34*F34+$C$35*F35+$C$36*F36</f>
        <v>87120.247838398529</v>
      </c>
      <c r="G42" s="190">
        <f t="shared" si="97"/>
        <v>88230.55929702321</v>
      </c>
      <c r="H42" s="190">
        <f t="shared" si="97"/>
        <v>88137.702676638582</v>
      </c>
      <c r="I42" s="190">
        <f t="shared" si="97"/>
        <v>90726.081075997456</v>
      </c>
      <c r="J42" s="190">
        <f t="shared" si="97"/>
        <v>93640.936364928682</v>
      </c>
      <c r="K42" s="190">
        <f t="shared" si="97"/>
        <v>92952.565226764884</v>
      </c>
      <c r="L42" s="190">
        <f t="shared" si="97"/>
        <v>90410.936364928682</v>
      </c>
      <c r="M42" s="190">
        <f t="shared" si="97"/>
        <v>92250.936364928682</v>
      </c>
      <c r="N42" s="190">
        <f t="shared" si="97"/>
        <v>94825.936364928682</v>
      </c>
      <c r="O42" s="190">
        <f t="shared" si="97"/>
        <v>91827.603031595354</v>
      </c>
      <c r="P42" s="190">
        <f t="shared" si="97"/>
        <v>79800.936364928682</v>
      </c>
      <c r="Q42" s="190">
        <f t="shared" si="97"/>
        <v>79925.936364928668</v>
      </c>
      <c r="R42" s="190">
        <f t="shared" si="97"/>
        <v>82092.565226764898</v>
      </c>
      <c r="S42" s="190">
        <f t="shared" si="97"/>
        <v>83705.936364928682</v>
      </c>
      <c r="T42" s="190">
        <f t="shared" si="97"/>
        <v>86337.244991853178</v>
      </c>
      <c r="U42" s="190">
        <f t="shared" si="97"/>
        <v>88343.09322299331</v>
      </c>
      <c r="V42" s="190">
        <f t="shared" si="97"/>
        <v>84371.0867978694</v>
      </c>
      <c r="W42" s="190">
        <f t="shared" si="97"/>
        <v>82533.667556645247</v>
      </c>
      <c r="X42" s="190">
        <f t="shared" si="97"/>
        <v>83915.296418481477</v>
      </c>
      <c r="Y42" s="190">
        <f t="shared" si="97"/>
        <v>85998.353851846667</v>
      </c>
      <c r="Z42" s="190">
        <f t="shared" si="97"/>
        <v>83680.839372426868</v>
      </c>
      <c r="AA42" s="190">
        <f t="shared" si="97"/>
        <v>78296.420131202744</v>
      </c>
      <c r="AB42" s="190">
        <f t="shared" si="97"/>
        <v>74908.667556645261</v>
      </c>
      <c r="AC42" s="190">
        <f t="shared" si="97"/>
        <v>75368.667556645261</v>
      </c>
      <c r="AD42" s="190">
        <f t="shared" si="97"/>
        <v>74755.334223311933</v>
      </c>
      <c r="AE42" s="190">
        <f t="shared" si="97"/>
        <v>71698.667556645261</v>
      </c>
      <c r="AF42" s="190">
        <f t="shared" si="97"/>
        <v>67093.667556645261</v>
      </c>
      <c r="AG42" s="190">
        <f t="shared" si="97"/>
        <v>66173.667556645261</v>
      </c>
      <c r="AH42" s="190">
        <f t="shared" si="97"/>
        <v>70296.297866503111</v>
      </c>
      <c r="AI42" s="190">
        <f t="shared" si="97"/>
        <v>73811.225510968739</v>
      </c>
      <c r="AJ42" s="190">
        <f t="shared" si="97"/>
        <v>73104.932138219243</v>
      </c>
      <c r="AK42" s="190">
        <f t="shared" si="97"/>
        <v>73109.932138219243</v>
      </c>
      <c r="AL42" s="190">
        <f t="shared" si="97"/>
        <v>76518.265471552571</v>
      </c>
      <c r="AM42" s="190">
        <f t="shared" si="97"/>
        <v>82074.932138219243</v>
      </c>
      <c r="AN42" s="190">
        <f t="shared" si="97"/>
        <v>90244.932138219243</v>
      </c>
      <c r="AO42" s="190">
        <f t="shared" si="97"/>
        <v>93047.449038505991</v>
      </c>
      <c r="AP42" s="190">
        <f t="shared" si="97"/>
        <v>98603.920574120828</v>
      </c>
      <c r="AQ42" s="190">
        <f t="shared" si="97"/>
        <v>112597.05572119531</v>
      </c>
      <c r="AR42" s="190">
        <f t="shared" si="97"/>
        <v>112518.32981716725</v>
      </c>
      <c r="AS42" s="190">
        <f t="shared" si="97"/>
        <v>106216.66315050058</v>
      </c>
      <c r="AT42" s="190">
        <f t="shared" si="97"/>
        <v>98978.114255042339</v>
      </c>
      <c r="AU42" s="190">
        <f t="shared" si="97"/>
        <v>99434.349797459188</v>
      </c>
      <c r="AV42" s="190">
        <f t="shared" si="97"/>
        <v>103781.54397226339</v>
      </c>
      <c r="AW42" s="190">
        <f t="shared" si="97"/>
        <v>105181.5439722634</v>
      </c>
      <c r="AX42" s="190">
        <f t="shared" si="97"/>
        <v>111039.87730559673</v>
      </c>
      <c r="AY42" s="190">
        <f t="shared" si="97"/>
        <v>116266.5439722634</v>
      </c>
      <c r="AZ42" s="190">
        <f t="shared" si="97"/>
        <v>107699.87730559673</v>
      </c>
    </row>
  </sheetData>
  <mergeCells count="473">
    <mergeCell ref="DM3:DP3"/>
    <mergeCell ref="DQ3:DS3"/>
    <mergeCell ref="AC16:AD16"/>
    <mergeCell ref="AE16:AF16"/>
    <mergeCell ref="AH16:AK16"/>
    <mergeCell ref="AL16:AO16"/>
    <mergeCell ref="AP16:AS16"/>
    <mergeCell ref="AT16:AU16"/>
    <mergeCell ref="AV16:AW16"/>
    <mergeCell ref="AX16:AZ16"/>
    <mergeCell ref="BQ16:BR16"/>
    <mergeCell ref="BS16:BU16"/>
    <mergeCell ref="BV16:BX16"/>
    <mergeCell ref="BY16:CA16"/>
    <mergeCell ref="CB16:CD16"/>
    <mergeCell ref="BA16:BC16"/>
    <mergeCell ref="BD16:BG16"/>
    <mergeCell ref="BI16:BK16"/>
    <mergeCell ref="BL16:BN16"/>
    <mergeCell ref="BO16:BP16"/>
    <mergeCell ref="E3:H3"/>
    <mergeCell ref="I3:J3"/>
    <mergeCell ref="K3:L3"/>
    <mergeCell ref="M3:N3"/>
    <mergeCell ref="O3:P3"/>
    <mergeCell ref="AX3:AZ3"/>
    <mergeCell ref="R3:S3"/>
    <mergeCell ref="T3:U3"/>
    <mergeCell ref="W3:X3"/>
    <mergeCell ref="Y3:AA3"/>
    <mergeCell ref="AC3:AD3"/>
    <mergeCell ref="AE3:AF3"/>
    <mergeCell ref="AH3:AK3"/>
    <mergeCell ref="AL3:AO3"/>
    <mergeCell ref="AP3:AS3"/>
    <mergeCell ref="AT3:AU3"/>
    <mergeCell ref="AV3:AW3"/>
    <mergeCell ref="E16:H16"/>
    <mergeCell ref="I16:J16"/>
    <mergeCell ref="K16:L16"/>
    <mergeCell ref="M16:N16"/>
    <mergeCell ref="O16:P16"/>
    <mergeCell ref="R16:S16"/>
    <mergeCell ref="T16:U16"/>
    <mergeCell ref="W16:X16"/>
    <mergeCell ref="Y16:AA16"/>
    <mergeCell ref="DT3:DU3"/>
    <mergeCell ref="DV3:DX3"/>
    <mergeCell ref="DY3:DZ3"/>
    <mergeCell ref="EA3:EC3"/>
    <mergeCell ref="BA3:BC3"/>
    <mergeCell ref="BD3:BG3"/>
    <mergeCell ref="BI3:BK3"/>
    <mergeCell ref="BL3:BN3"/>
    <mergeCell ref="BO3:BP3"/>
    <mergeCell ref="DA3:DC3"/>
    <mergeCell ref="BQ3:BR3"/>
    <mergeCell ref="BS3:BU3"/>
    <mergeCell ref="BV3:BX3"/>
    <mergeCell ref="BY3:CA3"/>
    <mergeCell ref="CB3:CD3"/>
    <mergeCell ref="CE3:CH3"/>
    <mergeCell ref="CI3:CK3"/>
    <mergeCell ref="CL3:CN3"/>
    <mergeCell ref="CO3:CQ3"/>
    <mergeCell ref="CR3:CU3"/>
    <mergeCell ref="CV3:CZ3"/>
    <mergeCell ref="DD3:DF3"/>
    <mergeCell ref="DG3:DI3"/>
    <mergeCell ref="DJ3:DL3"/>
    <mergeCell ref="DV16:DX16"/>
    <mergeCell ref="DY16:DZ16"/>
    <mergeCell ref="CV16:CZ16"/>
    <mergeCell ref="DA16:DC16"/>
    <mergeCell ref="DD16:DF16"/>
    <mergeCell ref="DG16:DI16"/>
    <mergeCell ref="DJ16:DL16"/>
    <mergeCell ref="CE16:CH16"/>
    <mergeCell ref="CI16:CK16"/>
    <mergeCell ref="CL16:CN16"/>
    <mergeCell ref="CO16:CQ16"/>
    <mergeCell ref="CR16:CU16"/>
    <mergeCell ref="AV17:AW17"/>
    <mergeCell ref="AX17:AZ17"/>
    <mergeCell ref="BA17:BC17"/>
    <mergeCell ref="BD17:BG17"/>
    <mergeCell ref="BI17:BK17"/>
    <mergeCell ref="EA16:EC16"/>
    <mergeCell ref="E17:H17"/>
    <mergeCell ref="I17:J17"/>
    <mergeCell ref="K17:L17"/>
    <mergeCell ref="M17:N17"/>
    <mergeCell ref="O17:P17"/>
    <mergeCell ref="R17:S17"/>
    <mergeCell ref="T17:U17"/>
    <mergeCell ref="W17:X17"/>
    <mergeCell ref="Y17:AA17"/>
    <mergeCell ref="AC17:AD17"/>
    <mergeCell ref="AE17:AF17"/>
    <mergeCell ref="AH17:AK17"/>
    <mergeCell ref="AL17:AO17"/>
    <mergeCell ref="AP17:AS17"/>
    <mergeCell ref="AT17:AU17"/>
    <mergeCell ref="DM16:DP16"/>
    <mergeCell ref="DQ16:DS16"/>
    <mergeCell ref="DT16:DU16"/>
    <mergeCell ref="DA17:DC17"/>
    <mergeCell ref="DD17:DF17"/>
    <mergeCell ref="BY17:CA17"/>
    <mergeCell ref="CB17:CD17"/>
    <mergeCell ref="CE17:CH17"/>
    <mergeCell ref="CI17:CK17"/>
    <mergeCell ref="CL17:CN17"/>
    <mergeCell ref="BL17:BN17"/>
    <mergeCell ref="BO17:BP17"/>
    <mergeCell ref="BQ17:BR17"/>
    <mergeCell ref="BS17:BU17"/>
    <mergeCell ref="BV17:BX17"/>
    <mergeCell ref="DV17:DX17"/>
    <mergeCell ref="DY17:DZ17"/>
    <mergeCell ref="EA17:EC17"/>
    <mergeCell ref="E18:H18"/>
    <mergeCell ref="I18:J18"/>
    <mergeCell ref="K18:L18"/>
    <mergeCell ref="M18:N18"/>
    <mergeCell ref="O18:P18"/>
    <mergeCell ref="R18:S18"/>
    <mergeCell ref="T18:U18"/>
    <mergeCell ref="W18:X18"/>
    <mergeCell ref="Y18:AA18"/>
    <mergeCell ref="AC18:AD18"/>
    <mergeCell ref="AE18:AF18"/>
    <mergeCell ref="AH18:AK18"/>
    <mergeCell ref="AL18:AO18"/>
    <mergeCell ref="DG17:DI17"/>
    <mergeCell ref="DJ17:DL17"/>
    <mergeCell ref="DM17:DP17"/>
    <mergeCell ref="DQ17:DS17"/>
    <mergeCell ref="DT17:DU17"/>
    <mergeCell ref="CO17:CQ17"/>
    <mergeCell ref="CR17:CU17"/>
    <mergeCell ref="CV17:CZ17"/>
    <mergeCell ref="BD18:BG18"/>
    <mergeCell ref="BI18:BK18"/>
    <mergeCell ref="BL18:BN18"/>
    <mergeCell ref="BO18:BP18"/>
    <mergeCell ref="BQ18:BR18"/>
    <mergeCell ref="AP18:AS18"/>
    <mergeCell ref="AT18:AU18"/>
    <mergeCell ref="AV18:AW18"/>
    <mergeCell ref="AX18:AZ18"/>
    <mergeCell ref="BA18:BC18"/>
    <mergeCell ref="CI18:CK18"/>
    <mergeCell ref="CL18:CN18"/>
    <mergeCell ref="CO18:CQ18"/>
    <mergeCell ref="CR18:CU18"/>
    <mergeCell ref="CV18:CZ18"/>
    <mergeCell ref="BS18:BU18"/>
    <mergeCell ref="BV18:BX18"/>
    <mergeCell ref="BY18:CA18"/>
    <mergeCell ref="CB18:CD18"/>
    <mergeCell ref="CE18:CH18"/>
    <mergeCell ref="DQ18:DS18"/>
    <mergeCell ref="DT18:DU18"/>
    <mergeCell ref="DV18:DX18"/>
    <mergeCell ref="DY18:DZ18"/>
    <mergeCell ref="EA18:EC18"/>
    <mergeCell ref="DA18:DC18"/>
    <mergeCell ref="DD18:DF18"/>
    <mergeCell ref="DG18:DI18"/>
    <mergeCell ref="DJ18:DL18"/>
    <mergeCell ref="DM18:DP18"/>
    <mergeCell ref="R19:S19"/>
    <mergeCell ref="T19:U19"/>
    <mergeCell ref="W19:X19"/>
    <mergeCell ref="Y19:AA19"/>
    <mergeCell ref="AC19:AD19"/>
    <mergeCell ref="E19:H19"/>
    <mergeCell ref="I19:J19"/>
    <mergeCell ref="K19:L19"/>
    <mergeCell ref="M19:N19"/>
    <mergeCell ref="O19:P19"/>
    <mergeCell ref="AV19:AW19"/>
    <mergeCell ref="AX19:AZ19"/>
    <mergeCell ref="BA19:BC19"/>
    <mergeCell ref="BD19:BG19"/>
    <mergeCell ref="BI19:BK19"/>
    <mergeCell ref="AE19:AF19"/>
    <mergeCell ref="AH19:AK19"/>
    <mergeCell ref="AL19:AO19"/>
    <mergeCell ref="AP19:AS19"/>
    <mergeCell ref="AT19:AU19"/>
    <mergeCell ref="DA19:DC19"/>
    <mergeCell ref="DD19:DF19"/>
    <mergeCell ref="BY19:CA19"/>
    <mergeCell ref="CB19:CD19"/>
    <mergeCell ref="CE19:CH19"/>
    <mergeCell ref="CI19:CK19"/>
    <mergeCell ref="CL19:CN19"/>
    <mergeCell ref="BL19:BN19"/>
    <mergeCell ref="BO19:BP19"/>
    <mergeCell ref="BQ19:BR19"/>
    <mergeCell ref="BS19:BU19"/>
    <mergeCell ref="BV19:BX19"/>
    <mergeCell ref="DV19:DX19"/>
    <mergeCell ref="DY19:DZ19"/>
    <mergeCell ref="EA19:EC19"/>
    <mergeCell ref="E20:H20"/>
    <mergeCell ref="I20:J20"/>
    <mergeCell ref="K20:L20"/>
    <mergeCell ref="M20:N20"/>
    <mergeCell ref="O20:P20"/>
    <mergeCell ref="R20:S20"/>
    <mergeCell ref="T20:U20"/>
    <mergeCell ref="W20:X20"/>
    <mergeCell ref="Y20:AA20"/>
    <mergeCell ref="AC20:AD20"/>
    <mergeCell ref="AE20:AF20"/>
    <mergeCell ref="AH20:AK20"/>
    <mergeCell ref="AL20:AO20"/>
    <mergeCell ref="DG19:DI19"/>
    <mergeCell ref="DJ19:DL19"/>
    <mergeCell ref="DM19:DP19"/>
    <mergeCell ref="DQ19:DS19"/>
    <mergeCell ref="DT19:DU19"/>
    <mergeCell ref="CO19:CQ19"/>
    <mergeCell ref="CR19:CU19"/>
    <mergeCell ref="CV19:CZ19"/>
    <mergeCell ref="BD20:BG20"/>
    <mergeCell ref="BI20:BK20"/>
    <mergeCell ref="BL20:BN20"/>
    <mergeCell ref="BO20:BP20"/>
    <mergeCell ref="BQ20:BR20"/>
    <mergeCell ref="AP20:AS20"/>
    <mergeCell ref="AT20:AU20"/>
    <mergeCell ref="AV20:AW20"/>
    <mergeCell ref="AX20:AZ20"/>
    <mergeCell ref="BA20:BC20"/>
    <mergeCell ref="CI20:CK20"/>
    <mergeCell ref="CL20:CN20"/>
    <mergeCell ref="CO20:CQ20"/>
    <mergeCell ref="CR20:CU20"/>
    <mergeCell ref="CV20:CZ20"/>
    <mergeCell ref="BS20:BU20"/>
    <mergeCell ref="BV20:BX20"/>
    <mergeCell ref="BY20:CA20"/>
    <mergeCell ref="CB20:CD20"/>
    <mergeCell ref="CE20:CH20"/>
    <mergeCell ref="DQ20:DS20"/>
    <mergeCell ref="DT20:DU20"/>
    <mergeCell ref="DV20:DX20"/>
    <mergeCell ref="DY20:DZ20"/>
    <mergeCell ref="EA20:EC20"/>
    <mergeCell ref="DA20:DC20"/>
    <mergeCell ref="DD20:DF20"/>
    <mergeCell ref="DG20:DI20"/>
    <mergeCell ref="DJ20:DL20"/>
    <mergeCell ref="DM20:DP20"/>
    <mergeCell ref="R21:S21"/>
    <mergeCell ref="T21:U21"/>
    <mergeCell ref="W21:X21"/>
    <mergeCell ref="Y21:AA21"/>
    <mergeCell ref="AC21:AD21"/>
    <mergeCell ref="E21:H21"/>
    <mergeCell ref="I21:J21"/>
    <mergeCell ref="K21:L21"/>
    <mergeCell ref="M21:N21"/>
    <mergeCell ref="O21:P21"/>
    <mergeCell ref="AV21:AW21"/>
    <mergeCell ref="AX21:AZ21"/>
    <mergeCell ref="BA21:BC21"/>
    <mergeCell ref="BD21:BG21"/>
    <mergeCell ref="BI21:BK21"/>
    <mergeCell ref="AE21:AF21"/>
    <mergeCell ref="AH21:AK21"/>
    <mergeCell ref="AL21:AO21"/>
    <mergeCell ref="AP21:AS21"/>
    <mergeCell ref="AT21:AU21"/>
    <mergeCell ref="DA21:DC21"/>
    <mergeCell ref="DD21:DF21"/>
    <mergeCell ref="BY21:CA21"/>
    <mergeCell ref="CB21:CD21"/>
    <mergeCell ref="CE21:CH21"/>
    <mergeCell ref="CI21:CK21"/>
    <mergeCell ref="CL21:CN21"/>
    <mergeCell ref="BL21:BN21"/>
    <mergeCell ref="BO21:BP21"/>
    <mergeCell ref="BQ21:BR21"/>
    <mergeCell ref="BS21:BU21"/>
    <mergeCell ref="BV21:BX21"/>
    <mergeCell ref="DV21:DX21"/>
    <mergeCell ref="DY21:DZ21"/>
    <mergeCell ref="EA21:EC21"/>
    <mergeCell ref="E22:H22"/>
    <mergeCell ref="I22:J22"/>
    <mergeCell ref="K22:L22"/>
    <mergeCell ref="M22:N22"/>
    <mergeCell ref="O22:P22"/>
    <mergeCell ref="R22:S22"/>
    <mergeCell ref="T22:U22"/>
    <mergeCell ref="W22:X22"/>
    <mergeCell ref="Y22:AA22"/>
    <mergeCell ref="AC22:AD22"/>
    <mergeCell ref="AE22:AF22"/>
    <mergeCell ref="AH22:AK22"/>
    <mergeCell ref="AL22:AO22"/>
    <mergeCell ref="DG21:DI21"/>
    <mergeCell ref="DJ21:DL21"/>
    <mergeCell ref="DM21:DP21"/>
    <mergeCell ref="DQ21:DS21"/>
    <mergeCell ref="DT21:DU21"/>
    <mergeCell ref="CO21:CQ21"/>
    <mergeCell ref="CR21:CU21"/>
    <mergeCell ref="CV21:CZ21"/>
    <mergeCell ref="BD22:BG22"/>
    <mergeCell ref="BI22:BK22"/>
    <mergeCell ref="BL22:BN22"/>
    <mergeCell ref="BO22:BP22"/>
    <mergeCell ref="BQ22:BR22"/>
    <mergeCell ref="AP22:AS22"/>
    <mergeCell ref="AT22:AU22"/>
    <mergeCell ref="AV22:AW22"/>
    <mergeCell ref="AX22:AZ22"/>
    <mergeCell ref="BA22:BC22"/>
    <mergeCell ref="CI22:CK22"/>
    <mergeCell ref="CL22:CN22"/>
    <mergeCell ref="CO22:CQ22"/>
    <mergeCell ref="CR22:CU22"/>
    <mergeCell ref="CV22:CZ22"/>
    <mergeCell ref="BS22:BU22"/>
    <mergeCell ref="BV22:BX22"/>
    <mergeCell ref="BY22:CA22"/>
    <mergeCell ref="CB22:CD22"/>
    <mergeCell ref="CE22:CH22"/>
    <mergeCell ref="DQ22:DS22"/>
    <mergeCell ref="DT22:DU22"/>
    <mergeCell ref="DV22:DX22"/>
    <mergeCell ref="DY22:DZ22"/>
    <mergeCell ref="EA22:EC22"/>
    <mergeCell ref="DA22:DC22"/>
    <mergeCell ref="DD22:DF22"/>
    <mergeCell ref="DG22:DI22"/>
    <mergeCell ref="DJ22:DL22"/>
    <mergeCell ref="DM22:DP22"/>
    <mergeCell ref="R23:S23"/>
    <mergeCell ref="T23:U23"/>
    <mergeCell ref="W23:X23"/>
    <mergeCell ref="Y23:AA23"/>
    <mergeCell ref="AC23:AD23"/>
    <mergeCell ref="E23:H23"/>
    <mergeCell ref="I23:J23"/>
    <mergeCell ref="K23:L23"/>
    <mergeCell ref="M23:N23"/>
    <mergeCell ref="O23:P23"/>
    <mergeCell ref="AV23:AW23"/>
    <mergeCell ref="AX23:AZ23"/>
    <mergeCell ref="BA23:BC23"/>
    <mergeCell ref="BD23:BG23"/>
    <mergeCell ref="BI23:BK23"/>
    <mergeCell ref="AE23:AF23"/>
    <mergeCell ref="AH23:AK23"/>
    <mergeCell ref="AL23:AO23"/>
    <mergeCell ref="AP23:AS23"/>
    <mergeCell ref="AT23:AU23"/>
    <mergeCell ref="DA23:DC23"/>
    <mergeCell ref="DD23:DF23"/>
    <mergeCell ref="BY23:CA23"/>
    <mergeCell ref="CB23:CD23"/>
    <mergeCell ref="CE23:CH23"/>
    <mergeCell ref="CI23:CK23"/>
    <mergeCell ref="CL23:CN23"/>
    <mergeCell ref="BL23:BN23"/>
    <mergeCell ref="BO23:BP23"/>
    <mergeCell ref="BQ23:BR23"/>
    <mergeCell ref="BS23:BU23"/>
    <mergeCell ref="BV23:BX23"/>
    <mergeCell ref="DV23:DX23"/>
    <mergeCell ref="DY23:DZ23"/>
    <mergeCell ref="EA23:EC23"/>
    <mergeCell ref="E24:H24"/>
    <mergeCell ref="I24:J24"/>
    <mergeCell ref="K24:L24"/>
    <mergeCell ref="M24:N24"/>
    <mergeCell ref="O24:P24"/>
    <mergeCell ref="R24:S24"/>
    <mergeCell ref="T24:U24"/>
    <mergeCell ref="W24:X24"/>
    <mergeCell ref="Y24:AA24"/>
    <mergeCell ref="AC24:AD24"/>
    <mergeCell ref="AE24:AF24"/>
    <mergeCell ref="AH24:AK24"/>
    <mergeCell ref="AL24:AO24"/>
    <mergeCell ref="DG23:DI23"/>
    <mergeCell ref="DJ23:DL23"/>
    <mergeCell ref="DM23:DP23"/>
    <mergeCell ref="DQ23:DS23"/>
    <mergeCell ref="DT23:DU23"/>
    <mergeCell ref="CO23:CQ23"/>
    <mergeCell ref="CR23:CU23"/>
    <mergeCell ref="CV23:CZ23"/>
    <mergeCell ref="BD24:BG24"/>
    <mergeCell ref="BI24:BK24"/>
    <mergeCell ref="BL24:BN24"/>
    <mergeCell ref="BO24:BP24"/>
    <mergeCell ref="BQ24:BR24"/>
    <mergeCell ref="AP24:AS24"/>
    <mergeCell ref="AT24:AU24"/>
    <mergeCell ref="AV24:AW24"/>
    <mergeCell ref="AX24:AZ24"/>
    <mergeCell ref="BA24:BC24"/>
    <mergeCell ref="CI24:CK24"/>
    <mergeCell ref="CL24:CN24"/>
    <mergeCell ref="CO24:CQ24"/>
    <mergeCell ref="CR24:CU24"/>
    <mergeCell ref="CV24:CZ24"/>
    <mergeCell ref="BS24:BU24"/>
    <mergeCell ref="BV24:BX24"/>
    <mergeCell ref="BY24:CA24"/>
    <mergeCell ref="CB24:CD24"/>
    <mergeCell ref="CE24:CH24"/>
    <mergeCell ref="DQ24:DS24"/>
    <mergeCell ref="DT24:DU24"/>
    <mergeCell ref="DV24:DX24"/>
    <mergeCell ref="DY24:DZ24"/>
    <mergeCell ref="EA24:EC24"/>
    <mergeCell ref="DA24:DC24"/>
    <mergeCell ref="DD24:DF24"/>
    <mergeCell ref="DG24:DI24"/>
    <mergeCell ref="DJ24:DL24"/>
    <mergeCell ref="DM24:DP24"/>
    <mergeCell ref="R25:S25"/>
    <mergeCell ref="T25:U25"/>
    <mergeCell ref="W25:X25"/>
    <mergeCell ref="Y25:AA25"/>
    <mergeCell ref="AC25:AD25"/>
    <mergeCell ref="E25:H25"/>
    <mergeCell ref="I25:J25"/>
    <mergeCell ref="K25:L25"/>
    <mergeCell ref="M25:N25"/>
    <mergeCell ref="O25:P25"/>
    <mergeCell ref="AV25:AW25"/>
    <mergeCell ref="AX25:AZ25"/>
    <mergeCell ref="BA25:BC25"/>
    <mergeCell ref="BD25:BG25"/>
    <mergeCell ref="BI25:BK25"/>
    <mergeCell ref="AE25:AF25"/>
    <mergeCell ref="AH25:AK25"/>
    <mergeCell ref="AL25:AO25"/>
    <mergeCell ref="AP25:AS25"/>
    <mergeCell ref="AT25:AU25"/>
    <mergeCell ref="BY25:CA25"/>
    <mergeCell ref="CB25:CD25"/>
    <mergeCell ref="CE25:CH25"/>
    <mergeCell ref="CI25:CK25"/>
    <mergeCell ref="CL25:CN25"/>
    <mergeCell ref="BL25:BN25"/>
    <mergeCell ref="BO25:BP25"/>
    <mergeCell ref="BQ25:BR25"/>
    <mergeCell ref="BS25:BU25"/>
    <mergeCell ref="BV25:BX25"/>
    <mergeCell ref="DV25:DX25"/>
    <mergeCell ref="DY25:DZ25"/>
    <mergeCell ref="EA25:EC25"/>
    <mergeCell ref="DG25:DI25"/>
    <mergeCell ref="DJ25:DL25"/>
    <mergeCell ref="DM25:DP25"/>
    <mergeCell ref="DQ25:DS25"/>
    <mergeCell ref="DT25:DU25"/>
    <mergeCell ref="CO25:CQ25"/>
    <mergeCell ref="CR25:CU25"/>
    <mergeCell ref="CV25:CZ25"/>
    <mergeCell ref="DA25:DC25"/>
    <mergeCell ref="DD25:DF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Q37"/>
  <sheetViews>
    <sheetView showGridLines="0" workbookViewId="0">
      <selection activeCell="S11" sqref="S11"/>
    </sheetView>
  </sheetViews>
  <sheetFormatPr defaultRowHeight="15" x14ac:dyDescent="0.25"/>
  <cols>
    <col min="1" max="1" width="9.140625" style="16"/>
    <col min="2" max="2" width="10.140625" style="16" customWidth="1"/>
    <col min="3" max="14" width="9.42578125" style="16" customWidth="1"/>
    <col min="15" max="15" width="10.85546875" style="16" bestFit="1" customWidth="1"/>
    <col min="16" max="16384" width="9.140625" style="16"/>
  </cols>
  <sheetData>
    <row r="1" spans="2:17" x14ac:dyDescent="0.25">
      <c r="M1" s="1010" t="s">
        <v>575</v>
      </c>
      <c r="N1" s="1010"/>
      <c r="O1" s="1010"/>
    </row>
    <row r="2" spans="2:17" ht="21" x14ac:dyDescent="0.25">
      <c r="B2" s="1011" t="s">
        <v>576</v>
      </c>
      <c r="C2" s="1011"/>
      <c r="D2" s="1011"/>
      <c r="E2" s="1011"/>
      <c r="F2" s="1011"/>
      <c r="G2" s="1011"/>
      <c r="H2" s="1011"/>
      <c r="I2" s="1011"/>
      <c r="J2" s="1011"/>
      <c r="K2" s="1011"/>
      <c r="L2" s="1011"/>
      <c r="M2" s="1011"/>
      <c r="N2" s="1011"/>
      <c r="O2" s="1011"/>
    </row>
    <row r="3" spans="2:17" x14ac:dyDescent="0.25">
      <c r="B3" s="575" t="s">
        <v>521</v>
      </c>
      <c r="C3" s="582">
        <v>44652</v>
      </c>
      <c r="D3" s="582">
        <v>44682</v>
      </c>
      <c r="E3" s="582">
        <v>44713</v>
      </c>
      <c r="F3" s="582">
        <v>44743</v>
      </c>
      <c r="G3" s="582">
        <v>44774</v>
      </c>
      <c r="H3" s="582">
        <v>44805</v>
      </c>
      <c r="I3" s="582">
        <v>44835</v>
      </c>
      <c r="J3" s="582">
        <v>44866</v>
      </c>
      <c r="K3" s="582">
        <v>44896</v>
      </c>
      <c r="L3" s="582">
        <v>44927</v>
      </c>
      <c r="M3" s="582">
        <v>44958</v>
      </c>
      <c r="N3" s="582">
        <v>44986</v>
      </c>
      <c r="O3" s="575" t="s">
        <v>15</v>
      </c>
    </row>
    <row r="4" spans="2:17" x14ac:dyDescent="0.25">
      <c r="B4" s="573" t="s">
        <v>449</v>
      </c>
      <c r="C4" s="583">
        <v>11445.333333333332</v>
      </c>
      <c r="D4" s="583">
        <v>17720.258064516129</v>
      </c>
      <c r="E4" s="583">
        <v>16612.5</v>
      </c>
      <c r="F4" s="583">
        <v>17720.258064516129</v>
      </c>
      <c r="G4" s="583">
        <v>17720.258064516129</v>
      </c>
      <c r="H4" s="583">
        <v>16612.5</v>
      </c>
      <c r="I4" s="583">
        <v>17720.258064516129</v>
      </c>
      <c r="J4" s="583">
        <v>16612.5</v>
      </c>
      <c r="K4" s="583">
        <v>14756.645161290322</v>
      </c>
      <c r="L4" s="583">
        <v>17720.258064516129</v>
      </c>
      <c r="M4" s="583">
        <v>15505.225806451614</v>
      </c>
      <c r="N4" s="583">
        <v>17720.258064516129</v>
      </c>
      <c r="O4" s="584">
        <f t="shared" ref="O4:O9" si="0">SUM(C4:N4)</f>
        <v>197866.25268817204</v>
      </c>
      <c r="P4" s="590">
        <f>O4+O8+O9</f>
        <v>233858.4623655914</v>
      </c>
      <c r="Q4" s="16">
        <f>P4/O10</f>
        <v>0.61148667303883919</v>
      </c>
    </row>
    <row r="5" spans="2:17" x14ac:dyDescent="0.25">
      <c r="B5" s="573" t="s">
        <v>451</v>
      </c>
      <c r="C5" s="583">
        <v>5722.6666666666661</v>
      </c>
      <c r="D5" s="583">
        <v>9967.645161290322</v>
      </c>
      <c r="E5" s="583">
        <v>9967.5</v>
      </c>
      <c r="F5" s="583">
        <v>9967.645161290322</v>
      </c>
      <c r="G5" s="583">
        <v>9967.645161290322</v>
      </c>
      <c r="H5" s="583">
        <v>9967.5</v>
      </c>
      <c r="I5" s="583">
        <v>9967.645161290322</v>
      </c>
      <c r="J5" s="583">
        <v>9967.5</v>
      </c>
      <c r="K5" s="583">
        <v>8300.6129032258068</v>
      </c>
      <c r="L5" s="583">
        <v>9967.645161290322</v>
      </c>
      <c r="M5" s="583">
        <v>8860.1290322580644</v>
      </c>
      <c r="N5" s="583">
        <v>9967.645161290322</v>
      </c>
      <c r="O5" s="584">
        <f t="shared" si="0"/>
        <v>112591.77956989245</v>
      </c>
      <c r="P5" s="590">
        <f>O5+O6</f>
        <v>124589.1827956989</v>
      </c>
      <c r="Q5" s="16">
        <f>P5/O10</f>
        <v>0.32577236724181541</v>
      </c>
    </row>
    <row r="6" spans="2:17" x14ac:dyDescent="0.25">
      <c r="B6" s="573" t="s">
        <v>450</v>
      </c>
      <c r="C6" s="583"/>
      <c r="D6" s="583">
        <v>1107.516129032258</v>
      </c>
      <c r="E6" s="583">
        <v>1107.5</v>
      </c>
      <c r="F6" s="583">
        <v>1107.516129032258</v>
      </c>
      <c r="G6" s="583">
        <v>1107.516129032258</v>
      </c>
      <c r="H6" s="583">
        <v>1107.5</v>
      </c>
      <c r="I6" s="583">
        <v>1107.516129032258</v>
      </c>
      <c r="J6" s="583">
        <v>1107.5</v>
      </c>
      <c r="K6" s="583">
        <v>922.29032258064512</v>
      </c>
      <c r="L6" s="583">
        <v>1107.516129032258</v>
      </c>
      <c r="M6" s="583">
        <v>1107.516129032258</v>
      </c>
      <c r="N6" s="583">
        <v>1107.516129032258</v>
      </c>
      <c r="O6" s="584">
        <f t="shared" si="0"/>
        <v>11997.403225806451</v>
      </c>
    </row>
    <row r="7" spans="2:17" x14ac:dyDescent="0.25">
      <c r="B7" s="573" t="s">
        <v>452</v>
      </c>
      <c r="C7" s="583"/>
      <c r="D7" s="583">
        <v>2215.0322580645161</v>
      </c>
      <c r="E7" s="583">
        <v>2215</v>
      </c>
      <c r="F7" s="583">
        <v>2215.0322580645161</v>
      </c>
      <c r="G7" s="583">
        <v>2215.0322580645161</v>
      </c>
      <c r="H7" s="583">
        <v>2215</v>
      </c>
      <c r="I7" s="583">
        <v>2215.0322580645161</v>
      </c>
      <c r="J7" s="583">
        <v>2215</v>
      </c>
      <c r="K7" s="583">
        <v>1844.5806451612902</v>
      </c>
      <c r="L7" s="583">
        <v>2215.0322580645161</v>
      </c>
      <c r="M7" s="583">
        <v>2215.0322580645161</v>
      </c>
      <c r="N7" s="583">
        <v>2215.0322580645161</v>
      </c>
      <c r="O7" s="584">
        <f t="shared" si="0"/>
        <v>23994.806451612902</v>
      </c>
      <c r="Q7" s="16">
        <f>O7/O10</f>
        <v>6.2740959719345513E-2</v>
      </c>
    </row>
    <row r="8" spans="2:17" x14ac:dyDescent="0.25">
      <c r="B8" s="573" t="s">
        <v>499</v>
      </c>
      <c r="C8" s="583"/>
      <c r="D8" s="583">
        <v>1107.516129032258</v>
      </c>
      <c r="E8" s="583">
        <v>1107.5</v>
      </c>
      <c r="F8" s="583">
        <v>1107.516129032258</v>
      </c>
      <c r="G8" s="583">
        <v>1107.516129032258</v>
      </c>
      <c r="H8" s="583">
        <v>1107.5</v>
      </c>
      <c r="I8" s="583">
        <v>1107.516129032258</v>
      </c>
      <c r="J8" s="583">
        <v>1107.5</v>
      </c>
      <c r="K8" s="583">
        <v>922.29032258064512</v>
      </c>
      <c r="L8" s="583">
        <v>1107.516129032258</v>
      </c>
      <c r="M8" s="583">
        <v>1107.516129032258</v>
      </c>
      <c r="N8" s="583">
        <v>1107.516129032258</v>
      </c>
      <c r="O8" s="584">
        <f t="shared" si="0"/>
        <v>11997.403225806451</v>
      </c>
    </row>
    <row r="9" spans="2:17" x14ac:dyDescent="0.25">
      <c r="B9" s="573" t="s">
        <v>453</v>
      </c>
      <c r="C9" s="583"/>
      <c r="D9" s="583">
        <v>2215.0322580645161</v>
      </c>
      <c r="E9" s="583">
        <v>2215</v>
      </c>
      <c r="F9" s="583">
        <v>2215.0322580645161</v>
      </c>
      <c r="G9" s="583">
        <v>2215.0322580645161</v>
      </c>
      <c r="H9" s="583">
        <v>2215</v>
      </c>
      <c r="I9" s="583">
        <v>2215.0322580645161</v>
      </c>
      <c r="J9" s="583">
        <v>2215</v>
      </c>
      <c r="K9" s="583">
        <v>1844.5806451612902</v>
      </c>
      <c r="L9" s="583">
        <v>2215.0322580645161</v>
      </c>
      <c r="M9" s="583">
        <v>2215.0322580645161</v>
      </c>
      <c r="N9" s="583">
        <v>2215.0322580645161</v>
      </c>
      <c r="O9" s="584">
        <f t="shared" si="0"/>
        <v>23994.806451612902</v>
      </c>
    </row>
    <row r="10" spans="2:17" x14ac:dyDescent="0.25">
      <c r="B10" s="585" t="s">
        <v>15</v>
      </c>
      <c r="C10" s="586">
        <f>SUM(C4:C9)</f>
        <v>17168</v>
      </c>
      <c r="D10" s="586">
        <f t="shared" ref="D10:N10" si="1">SUM(D4:D9)</f>
        <v>34333</v>
      </c>
      <c r="E10" s="586">
        <f t="shared" si="1"/>
        <v>33225</v>
      </c>
      <c r="F10" s="586">
        <f t="shared" si="1"/>
        <v>34333</v>
      </c>
      <c r="G10" s="586">
        <f t="shared" si="1"/>
        <v>34333</v>
      </c>
      <c r="H10" s="586">
        <f t="shared" si="1"/>
        <v>33225</v>
      </c>
      <c r="I10" s="586">
        <f t="shared" si="1"/>
        <v>34333</v>
      </c>
      <c r="J10" s="586">
        <f t="shared" si="1"/>
        <v>33225</v>
      </c>
      <c r="K10" s="586">
        <f t="shared" si="1"/>
        <v>28591</v>
      </c>
      <c r="L10" s="586">
        <f t="shared" si="1"/>
        <v>34333</v>
      </c>
      <c r="M10" s="586">
        <f t="shared" si="1"/>
        <v>31010.451612903224</v>
      </c>
      <c r="N10" s="586">
        <f t="shared" si="1"/>
        <v>34333</v>
      </c>
      <c r="O10" s="586">
        <f>SUM(O4:O9)</f>
        <v>382442.45161290315</v>
      </c>
    </row>
    <row r="12" spans="2:17" ht="21" x14ac:dyDescent="0.25">
      <c r="B12" s="1011" t="s">
        <v>577</v>
      </c>
      <c r="C12" s="1011"/>
      <c r="D12" s="1011"/>
      <c r="E12" s="1011"/>
      <c r="F12" s="1011"/>
      <c r="G12" s="1011"/>
      <c r="H12" s="1011"/>
      <c r="I12" s="1011"/>
      <c r="J12" s="1011"/>
      <c r="K12" s="1011"/>
      <c r="L12" s="1011"/>
      <c r="M12" s="1011"/>
      <c r="N12" s="1011"/>
      <c r="O12" s="1011"/>
    </row>
    <row r="13" spans="2:17" x14ac:dyDescent="0.25">
      <c r="B13" s="575" t="s">
        <v>521</v>
      </c>
      <c r="C13" s="582">
        <f>C3</f>
        <v>44652</v>
      </c>
      <c r="D13" s="582">
        <f t="shared" ref="D13:N13" si="2">D3</f>
        <v>44682</v>
      </c>
      <c r="E13" s="582">
        <f t="shared" si="2"/>
        <v>44713</v>
      </c>
      <c r="F13" s="582">
        <f t="shared" si="2"/>
        <v>44743</v>
      </c>
      <c r="G13" s="582">
        <f t="shared" si="2"/>
        <v>44774</v>
      </c>
      <c r="H13" s="582">
        <f t="shared" si="2"/>
        <v>44805</v>
      </c>
      <c r="I13" s="582">
        <f t="shared" si="2"/>
        <v>44835</v>
      </c>
      <c r="J13" s="582">
        <f t="shared" si="2"/>
        <v>44866</v>
      </c>
      <c r="K13" s="582">
        <f t="shared" si="2"/>
        <v>44896</v>
      </c>
      <c r="L13" s="582">
        <f t="shared" si="2"/>
        <v>44927</v>
      </c>
      <c r="M13" s="582">
        <f t="shared" si="2"/>
        <v>44958</v>
      </c>
      <c r="N13" s="582">
        <f t="shared" si="2"/>
        <v>44986</v>
      </c>
      <c r="O13" s="575" t="s">
        <v>15</v>
      </c>
    </row>
    <row r="14" spans="2:17" x14ac:dyDescent="0.25">
      <c r="B14" s="573" t="s">
        <v>470</v>
      </c>
      <c r="C14" s="587">
        <v>4300</v>
      </c>
      <c r="D14" s="587">
        <v>5200</v>
      </c>
      <c r="E14" s="587">
        <v>5200</v>
      </c>
      <c r="F14" s="587">
        <v>5000</v>
      </c>
      <c r="G14" s="587">
        <v>6400</v>
      </c>
      <c r="H14" s="587">
        <v>6400</v>
      </c>
      <c r="I14" s="587">
        <v>4000</v>
      </c>
      <c r="J14" s="587">
        <v>5200</v>
      </c>
      <c r="K14" s="587">
        <v>5200</v>
      </c>
      <c r="L14" s="587">
        <v>4000</v>
      </c>
      <c r="M14" s="587">
        <v>5200</v>
      </c>
      <c r="N14" s="587">
        <v>5200</v>
      </c>
      <c r="O14" s="588">
        <f t="shared" ref="O14:O36" si="3">SUM(C14:N14)</f>
        <v>61300</v>
      </c>
      <c r="P14" s="1009">
        <f>O14+O15+O16</f>
        <v>171750</v>
      </c>
      <c r="Q14" s="1008">
        <f>P14/P37</f>
        <v>0.34627016129032256</v>
      </c>
    </row>
    <row r="15" spans="2:17" x14ac:dyDescent="0.25">
      <c r="B15" s="573" t="s">
        <v>468</v>
      </c>
      <c r="C15" s="587">
        <v>4350</v>
      </c>
      <c r="D15" s="587">
        <v>8200</v>
      </c>
      <c r="E15" s="587">
        <v>7200</v>
      </c>
      <c r="F15" s="587">
        <v>8000</v>
      </c>
      <c r="G15" s="587">
        <v>8000</v>
      </c>
      <c r="H15" s="587">
        <v>8000</v>
      </c>
      <c r="I15" s="587">
        <v>7000</v>
      </c>
      <c r="J15" s="587">
        <v>7200</v>
      </c>
      <c r="K15" s="587">
        <v>8200</v>
      </c>
      <c r="L15" s="587">
        <v>7000</v>
      </c>
      <c r="M15" s="587">
        <v>7300</v>
      </c>
      <c r="N15" s="587">
        <v>8200</v>
      </c>
      <c r="O15" s="588">
        <f t="shared" si="3"/>
        <v>88650</v>
      </c>
      <c r="P15" s="979"/>
      <c r="Q15" s="1008"/>
    </row>
    <row r="16" spans="2:17" x14ac:dyDescent="0.25">
      <c r="B16" s="573" t="s">
        <v>469</v>
      </c>
      <c r="C16" s="587">
        <v>0</v>
      </c>
      <c r="D16" s="587">
        <v>2100</v>
      </c>
      <c r="E16" s="587">
        <v>2100</v>
      </c>
      <c r="F16" s="587">
        <v>2000</v>
      </c>
      <c r="G16" s="587">
        <v>2100</v>
      </c>
      <c r="H16" s="587">
        <v>2100</v>
      </c>
      <c r="I16" s="587">
        <v>1000</v>
      </c>
      <c r="J16" s="587">
        <v>2100</v>
      </c>
      <c r="K16" s="587">
        <v>2100</v>
      </c>
      <c r="L16" s="587">
        <v>2000</v>
      </c>
      <c r="M16" s="587">
        <v>2100</v>
      </c>
      <c r="N16" s="587">
        <v>2100</v>
      </c>
      <c r="O16" s="588">
        <f t="shared" si="3"/>
        <v>21800</v>
      </c>
      <c r="P16" s="979"/>
      <c r="Q16" s="1008"/>
    </row>
    <row r="17" spans="2:17" ht="18" customHeight="1" x14ac:dyDescent="0.25">
      <c r="B17" s="573" t="s">
        <v>464</v>
      </c>
      <c r="C17" s="587">
        <v>2000</v>
      </c>
      <c r="D17" s="587"/>
      <c r="E17" s="587">
        <v>2000</v>
      </c>
      <c r="F17" s="587"/>
      <c r="G17" s="587">
        <v>2000</v>
      </c>
      <c r="H17" s="587"/>
      <c r="I17" s="587">
        <v>2000</v>
      </c>
      <c r="J17" s="587"/>
      <c r="K17" s="587">
        <v>2000</v>
      </c>
      <c r="L17" s="587"/>
      <c r="M17" s="587">
        <v>2000</v>
      </c>
      <c r="N17" s="587"/>
      <c r="O17" s="588">
        <f t="shared" si="3"/>
        <v>12000</v>
      </c>
      <c r="P17" s="1009">
        <f>SUM(O17:O28)</f>
        <v>568000</v>
      </c>
      <c r="Q17" s="1012">
        <f>P17/P17</f>
        <v>1</v>
      </c>
    </row>
    <row r="18" spans="2:17" ht="18" customHeight="1" x14ac:dyDescent="0.25">
      <c r="B18" s="573" t="s">
        <v>464</v>
      </c>
      <c r="C18" s="587"/>
      <c r="D18" s="587">
        <v>2000</v>
      </c>
      <c r="E18" s="587"/>
      <c r="F18" s="587">
        <v>2000</v>
      </c>
      <c r="G18" s="587"/>
      <c r="H18" s="587">
        <v>2000</v>
      </c>
      <c r="I18" s="587"/>
      <c r="J18" s="587">
        <v>2000</v>
      </c>
      <c r="K18" s="587"/>
      <c r="L18" s="587">
        <v>2000</v>
      </c>
      <c r="M18" s="587"/>
      <c r="N18" s="587">
        <v>2000</v>
      </c>
      <c r="O18" s="588">
        <f t="shared" si="3"/>
        <v>12000</v>
      </c>
      <c r="P18" s="979"/>
      <c r="Q18" s="1013"/>
    </row>
    <row r="19" spans="2:17" ht="18" customHeight="1" x14ac:dyDescent="0.25">
      <c r="B19" s="573" t="s">
        <v>457</v>
      </c>
      <c r="C19" s="587"/>
      <c r="D19" s="587">
        <v>4000</v>
      </c>
      <c r="E19" s="587"/>
      <c r="F19" s="587">
        <v>4000</v>
      </c>
      <c r="G19" s="587"/>
      <c r="H19" s="587">
        <v>4000</v>
      </c>
      <c r="I19" s="587"/>
      <c r="J19" s="587">
        <v>4000</v>
      </c>
      <c r="K19" s="587"/>
      <c r="L19" s="587">
        <v>4000</v>
      </c>
      <c r="M19" s="587"/>
      <c r="N19" s="587">
        <v>4000</v>
      </c>
      <c r="O19" s="588">
        <f t="shared" si="3"/>
        <v>24000</v>
      </c>
      <c r="P19" s="979"/>
      <c r="Q19" s="1013"/>
    </row>
    <row r="20" spans="2:17" ht="18" customHeight="1" x14ac:dyDescent="0.25">
      <c r="B20" s="573" t="s">
        <v>457</v>
      </c>
      <c r="C20" s="587">
        <v>2000</v>
      </c>
      <c r="D20" s="587"/>
      <c r="E20" s="587">
        <v>4000</v>
      </c>
      <c r="F20" s="587"/>
      <c r="G20" s="587">
        <v>4000</v>
      </c>
      <c r="H20" s="587"/>
      <c r="I20" s="587">
        <v>4000</v>
      </c>
      <c r="J20" s="587"/>
      <c r="K20" s="587">
        <v>4000</v>
      </c>
      <c r="L20" s="587"/>
      <c r="M20" s="587">
        <v>4000</v>
      </c>
      <c r="N20" s="587"/>
      <c r="O20" s="588">
        <f t="shared" si="3"/>
        <v>22000</v>
      </c>
      <c r="P20" s="979"/>
      <c r="Q20" s="1013"/>
    </row>
    <row r="21" spans="2:17" ht="18.75" customHeight="1" x14ac:dyDescent="0.25">
      <c r="B21" s="573" t="s">
        <v>456</v>
      </c>
      <c r="C21" s="587"/>
      <c r="D21" s="587">
        <v>22000</v>
      </c>
      <c r="E21" s="587">
        <v>9000</v>
      </c>
      <c r="F21" s="587">
        <v>22300</v>
      </c>
      <c r="G21" s="587">
        <v>9700</v>
      </c>
      <c r="H21" s="587">
        <v>13500</v>
      </c>
      <c r="I21" s="587">
        <v>9700</v>
      </c>
      <c r="J21" s="587">
        <v>21500</v>
      </c>
      <c r="K21" s="587">
        <v>9200</v>
      </c>
      <c r="L21" s="587">
        <v>22300</v>
      </c>
      <c r="M21" s="587"/>
      <c r="N21" s="587">
        <v>22300</v>
      </c>
      <c r="O21" s="588">
        <f t="shared" si="3"/>
        <v>161500</v>
      </c>
      <c r="P21" s="979"/>
      <c r="Q21" s="1013"/>
    </row>
    <row r="22" spans="2:17" ht="18" customHeight="1" x14ac:dyDescent="0.25">
      <c r="B22" s="573" t="s">
        <v>456</v>
      </c>
      <c r="C22" s="587">
        <v>10000</v>
      </c>
      <c r="D22" s="587">
        <v>15000</v>
      </c>
      <c r="E22" s="587">
        <v>21000</v>
      </c>
      <c r="F22" s="587">
        <v>15000</v>
      </c>
      <c r="G22" s="587">
        <v>22500</v>
      </c>
      <c r="H22" s="587">
        <v>14000</v>
      </c>
      <c r="I22" s="587">
        <v>15000</v>
      </c>
      <c r="J22" s="587">
        <v>14000</v>
      </c>
      <c r="K22" s="587">
        <v>22000</v>
      </c>
      <c r="L22" s="587">
        <v>15000</v>
      </c>
      <c r="M22" s="587">
        <v>19000</v>
      </c>
      <c r="N22" s="587">
        <v>7000</v>
      </c>
      <c r="O22" s="588">
        <f t="shared" si="3"/>
        <v>189500</v>
      </c>
      <c r="P22" s="979"/>
      <c r="Q22" s="1013"/>
    </row>
    <row r="23" spans="2:17" ht="18" customHeight="1" x14ac:dyDescent="0.25">
      <c r="B23" s="573" t="s">
        <v>458</v>
      </c>
      <c r="C23" s="587"/>
      <c r="D23" s="587">
        <v>8000</v>
      </c>
      <c r="E23" s="587"/>
      <c r="F23" s="587">
        <v>8000</v>
      </c>
      <c r="G23" s="587"/>
      <c r="H23" s="587">
        <v>8000</v>
      </c>
      <c r="I23" s="587"/>
      <c r="J23" s="587">
        <v>8000</v>
      </c>
      <c r="K23" s="587"/>
      <c r="L23" s="587">
        <v>8000</v>
      </c>
      <c r="M23" s="587"/>
      <c r="N23" s="587">
        <v>8000</v>
      </c>
      <c r="O23" s="588">
        <f t="shared" si="3"/>
        <v>48000</v>
      </c>
      <c r="P23" s="979"/>
      <c r="Q23" s="1013"/>
    </row>
    <row r="24" spans="2:17" ht="18" customHeight="1" x14ac:dyDescent="0.25">
      <c r="B24" s="573" t="s">
        <v>458</v>
      </c>
      <c r="C24" s="587">
        <v>5000</v>
      </c>
      <c r="D24" s="587"/>
      <c r="E24" s="587">
        <v>8000</v>
      </c>
      <c r="F24" s="587"/>
      <c r="G24" s="587">
        <v>8000</v>
      </c>
      <c r="H24" s="587"/>
      <c r="I24" s="587">
        <v>8000</v>
      </c>
      <c r="J24" s="587"/>
      <c r="K24" s="587">
        <v>8000</v>
      </c>
      <c r="L24" s="587"/>
      <c r="M24" s="587">
        <v>8000</v>
      </c>
      <c r="N24" s="587"/>
      <c r="O24" s="588">
        <f t="shared" si="3"/>
        <v>45000</v>
      </c>
      <c r="P24" s="979"/>
      <c r="Q24" s="1013"/>
    </row>
    <row r="25" spans="2:17" ht="18" customHeight="1" x14ac:dyDescent="0.25">
      <c r="B25" s="573" t="s">
        <v>460</v>
      </c>
      <c r="C25" s="587">
        <v>2000</v>
      </c>
      <c r="D25" s="587"/>
      <c r="E25" s="587">
        <v>2000</v>
      </c>
      <c r="F25" s="587"/>
      <c r="G25" s="587">
        <v>2000</v>
      </c>
      <c r="H25" s="587"/>
      <c r="I25" s="587">
        <v>2000</v>
      </c>
      <c r="J25" s="587"/>
      <c r="K25" s="587">
        <v>2000</v>
      </c>
      <c r="L25" s="587"/>
      <c r="M25" s="587">
        <v>2000</v>
      </c>
      <c r="N25" s="587"/>
      <c r="O25" s="588">
        <f t="shared" si="3"/>
        <v>12000</v>
      </c>
      <c r="P25" s="979"/>
      <c r="Q25" s="1013"/>
    </row>
    <row r="26" spans="2:17" ht="18" customHeight="1" x14ac:dyDescent="0.25">
      <c r="B26" s="573" t="s">
        <v>460</v>
      </c>
      <c r="C26" s="587"/>
      <c r="D26" s="587">
        <v>2000</v>
      </c>
      <c r="E26" s="587"/>
      <c r="F26" s="587">
        <v>2000</v>
      </c>
      <c r="G26" s="587"/>
      <c r="H26" s="587">
        <v>2000</v>
      </c>
      <c r="I26" s="587"/>
      <c r="J26" s="587">
        <v>2000</v>
      </c>
      <c r="K26" s="587"/>
      <c r="L26" s="587">
        <v>2000</v>
      </c>
      <c r="M26" s="587"/>
      <c r="N26" s="587">
        <v>2000</v>
      </c>
      <c r="O26" s="588">
        <f t="shared" si="3"/>
        <v>12000</v>
      </c>
      <c r="P26" s="979"/>
      <c r="Q26" s="1013"/>
    </row>
    <row r="27" spans="2:17" ht="18" customHeight="1" x14ac:dyDescent="0.25">
      <c r="B27" s="573" t="s">
        <v>461</v>
      </c>
      <c r="C27" s="587">
        <v>2000</v>
      </c>
      <c r="D27" s="587"/>
      <c r="E27" s="587">
        <v>2000</v>
      </c>
      <c r="F27" s="587"/>
      <c r="G27" s="587">
        <v>2000</v>
      </c>
      <c r="H27" s="587"/>
      <c r="I27" s="587">
        <v>2000</v>
      </c>
      <c r="J27" s="587"/>
      <c r="K27" s="587">
        <v>2000</v>
      </c>
      <c r="L27" s="587"/>
      <c r="M27" s="587">
        <v>2000</v>
      </c>
      <c r="N27" s="587"/>
      <c r="O27" s="588">
        <f t="shared" si="3"/>
        <v>12000</v>
      </c>
      <c r="P27" s="979"/>
      <c r="Q27" s="1013"/>
    </row>
    <row r="28" spans="2:17" ht="18" customHeight="1" x14ac:dyDescent="0.25">
      <c r="B28" s="573" t="s">
        <v>461</v>
      </c>
      <c r="C28" s="587"/>
      <c r="D28" s="587">
        <v>3000</v>
      </c>
      <c r="E28" s="587"/>
      <c r="F28" s="587">
        <v>3000</v>
      </c>
      <c r="G28" s="587"/>
      <c r="H28" s="587">
        <v>3000</v>
      </c>
      <c r="I28" s="587"/>
      <c r="J28" s="587">
        <v>3000</v>
      </c>
      <c r="K28" s="587"/>
      <c r="L28" s="587">
        <v>3000</v>
      </c>
      <c r="M28" s="587"/>
      <c r="N28" s="587">
        <v>3000</v>
      </c>
      <c r="O28" s="588">
        <f t="shared" si="3"/>
        <v>18000</v>
      </c>
      <c r="P28" s="979"/>
      <c r="Q28" s="1014"/>
    </row>
    <row r="29" spans="2:17" ht="18" customHeight="1" x14ac:dyDescent="0.25">
      <c r="B29" s="573" t="s">
        <v>466</v>
      </c>
      <c r="C29" s="587">
        <v>0</v>
      </c>
      <c r="D29" s="587">
        <v>4200</v>
      </c>
      <c r="E29" s="587">
        <v>4200</v>
      </c>
      <c r="F29" s="587">
        <v>4000</v>
      </c>
      <c r="G29" s="587">
        <v>4200</v>
      </c>
      <c r="H29" s="587">
        <v>4200</v>
      </c>
      <c r="I29" s="587">
        <v>4000</v>
      </c>
      <c r="J29" s="587">
        <v>4200</v>
      </c>
      <c r="K29" s="587">
        <v>4200</v>
      </c>
      <c r="L29" s="587">
        <v>4000</v>
      </c>
      <c r="M29" s="587">
        <v>4200</v>
      </c>
      <c r="N29" s="587">
        <v>4200</v>
      </c>
      <c r="O29" s="588">
        <f t="shared" si="3"/>
        <v>45600</v>
      </c>
      <c r="P29" s="588">
        <f>O29</f>
        <v>45600</v>
      </c>
      <c r="Q29" s="591">
        <f>P29/P37</f>
        <v>9.1935483870967741E-2</v>
      </c>
    </row>
    <row r="30" spans="2:17" ht="18" customHeight="1" x14ac:dyDescent="0.25">
      <c r="B30" s="573" t="s">
        <v>462</v>
      </c>
      <c r="C30" s="587"/>
      <c r="D30" s="587">
        <v>2500</v>
      </c>
      <c r="E30" s="587"/>
      <c r="F30" s="587">
        <v>2500</v>
      </c>
      <c r="G30" s="587"/>
      <c r="H30" s="587">
        <v>2500</v>
      </c>
      <c r="I30" s="587"/>
      <c r="J30" s="587">
        <v>2500</v>
      </c>
      <c r="K30" s="587"/>
      <c r="L30" s="587">
        <v>2500</v>
      </c>
      <c r="M30" s="587"/>
      <c r="N30" s="587">
        <v>2700</v>
      </c>
      <c r="O30" s="588">
        <f t="shared" si="3"/>
        <v>15200</v>
      </c>
      <c r="P30" s="1009">
        <f>O30+O31</f>
        <v>56000</v>
      </c>
      <c r="Q30" s="1008">
        <f>P30/P37</f>
        <v>0.11290322580645161</v>
      </c>
    </row>
    <row r="31" spans="2:17" ht="18" customHeight="1" x14ac:dyDescent="0.25">
      <c r="B31" s="573" t="s">
        <v>463</v>
      </c>
      <c r="C31" s="587"/>
      <c r="D31" s="587">
        <v>6800</v>
      </c>
      <c r="E31" s="587"/>
      <c r="F31" s="587">
        <v>6800</v>
      </c>
      <c r="G31" s="587"/>
      <c r="H31" s="587">
        <v>6800</v>
      </c>
      <c r="I31" s="587"/>
      <c r="J31" s="587">
        <v>6800</v>
      </c>
      <c r="K31" s="587"/>
      <c r="L31" s="587">
        <v>6800</v>
      </c>
      <c r="M31" s="587"/>
      <c r="N31" s="587">
        <v>6800</v>
      </c>
      <c r="O31" s="588">
        <f t="shared" si="3"/>
        <v>40800</v>
      </c>
      <c r="P31" s="979"/>
      <c r="Q31" s="1008"/>
    </row>
    <row r="32" spans="2:17" ht="18" customHeight="1" x14ac:dyDescent="0.25">
      <c r="B32" s="573" t="s">
        <v>471</v>
      </c>
      <c r="C32" s="587">
        <v>0</v>
      </c>
      <c r="D32" s="587">
        <v>2100</v>
      </c>
      <c r="E32" s="587">
        <v>2100</v>
      </c>
      <c r="F32" s="587">
        <v>2000</v>
      </c>
      <c r="G32" s="587">
        <v>2100</v>
      </c>
      <c r="H32" s="587">
        <v>2100</v>
      </c>
      <c r="I32" s="587">
        <v>1000</v>
      </c>
      <c r="J32" s="587">
        <v>2100</v>
      </c>
      <c r="K32" s="587">
        <v>2100</v>
      </c>
      <c r="L32" s="587">
        <v>1000</v>
      </c>
      <c r="M32" s="587">
        <v>1000</v>
      </c>
      <c r="N32" s="587">
        <v>2100</v>
      </c>
      <c r="O32" s="588">
        <f t="shared" si="3"/>
        <v>19700</v>
      </c>
      <c r="P32" s="1009">
        <f>O32+O33+O34</f>
        <v>126650</v>
      </c>
      <c r="Q32" s="1008">
        <f>P32/P37</f>
        <v>0.2553427419354839</v>
      </c>
    </row>
    <row r="33" spans="2:17" ht="18.75" customHeight="1" x14ac:dyDescent="0.25">
      <c r="B33" s="573" t="s">
        <v>473</v>
      </c>
      <c r="C33" s="587">
        <v>4350</v>
      </c>
      <c r="D33" s="587">
        <v>9200</v>
      </c>
      <c r="E33" s="587">
        <v>9200</v>
      </c>
      <c r="F33" s="587">
        <v>6000</v>
      </c>
      <c r="G33" s="587">
        <v>7200</v>
      </c>
      <c r="H33" s="587">
        <v>7200</v>
      </c>
      <c r="I33" s="587">
        <v>8000</v>
      </c>
      <c r="J33" s="587">
        <v>9200</v>
      </c>
      <c r="K33" s="587">
        <v>9200</v>
      </c>
      <c r="L33" s="587">
        <v>9000</v>
      </c>
      <c r="M33" s="587">
        <v>8200</v>
      </c>
      <c r="N33" s="587">
        <v>9200</v>
      </c>
      <c r="O33" s="588">
        <f t="shared" si="3"/>
        <v>95950</v>
      </c>
      <c r="P33" s="979"/>
      <c r="Q33" s="1008"/>
    </row>
    <row r="34" spans="2:17" ht="18" customHeight="1" x14ac:dyDescent="0.25">
      <c r="B34" s="573" t="s">
        <v>472</v>
      </c>
      <c r="C34" s="587">
        <v>0</v>
      </c>
      <c r="D34" s="587">
        <v>1000</v>
      </c>
      <c r="E34" s="587">
        <v>1000</v>
      </c>
      <c r="F34" s="587">
        <v>1000</v>
      </c>
      <c r="G34" s="587">
        <v>1000</v>
      </c>
      <c r="H34" s="587">
        <v>1000</v>
      </c>
      <c r="I34" s="587">
        <v>1000</v>
      </c>
      <c r="J34" s="587">
        <v>1000</v>
      </c>
      <c r="K34" s="587">
        <v>1000</v>
      </c>
      <c r="L34" s="587">
        <v>1000</v>
      </c>
      <c r="M34" s="587">
        <v>1000</v>
      </c>
      <c r="N34" s="587">
        <v>1000</v>
      </c>
      <c r="O34" s="588">
        <f t="shared" si="3"/>
        <v>11000</v>
      </c>
      <c r="P34" s="979"/>
      <c r="Q34" s="1008"/>
    </row>
    <row r="35" spans="2:17" ht="18" customHeight="1" x14ac:dyDescent="0.25">
      <c r="B35" s="573" t="s">
        <v>503</v>
      </c>
      <c r="C35" s="587">
        <v>6000</v>
      </c>
      <c r="D35" s="587"/>
      <c r="E35" s="587">
        <v>13000</v>
      </c>
      <c r="F35" s="587"/>
      <c r="G35" s="587">
        <v>13500</v>
      </c>
      <c r="H35" s="587"/>
      <c r="I35" s="587">
        <v>13500</v>
      </c>
      <c r="J35" s="587"/>
      <c r="K35" s="587">
        <v>14000</v>
      </c>
      <c r="L35" s="587"/>
      <c r="M35" s="587">
        <v>12000</v>
      </c>
      <c r="N35" s="587"/>
      <c r="O35" s="588">
        <f t="shared" si="3"/>
        <v>72000</v>
      </c>
      <c r="P35" s="1009">
        <f>O35+O36</f>
        <v>96000</v>
      </c>
      <c r="Q35" s="1008">
        <f>P35/P37</f>
        <v>0.19354838709677419</v>
      </c>
    </row>
    <row r="36" spans="2:17" ht="18.75" customHeight="1" x14ac:dyDescent="0.25">
      <c r="B36" s="573" t="s">
        <v>504</v>
      </c>
      <c r="C36" s="587">
        <v>4000</v>
      </c>
      <c r="D36" s="587"/>
      <c r="E36" s="587">
        <v>4000</v>
      </c>
      <c r="F36" s="587"/>
      <c r="G36" s="587">
        <v>4000</v>
      </c>
      <c r="H36" s="587"/>
      <c r="I36" s="587">
        <v>4000</v>
      </c>
      <c r="J36" s="587"/>
      <c r="K36" s="587">
        <v>4000</v>
      </c>
      <c r="L36" s="587"/>
      <c r="M36" s="587">
        <v>4000</v>
      </c>
      <c r="N36" s="587"/>
      <c r="O36" s="588">
        <f t="shared" si="3"/>
        <v>24000</v>
      </c>
      <c r="P36" s="979"/>
      <c r="Q36" s="1008"/>
    </row>
    <row r="37" spans="2:17" ht="18.75" customHeight="1" x14ac:dyDescent="0.25">
      <c r="B37" s="585" t="s">
        <v>15</v>
      </c>
      <c r="C37" s="586">
        <f t="shared" ref="C37:O37" si="4">SUM(C14:C36)</f>
        <v>46000</v>
      </c>
      <c r="D37" s="586">
        <f t="shared" si="4"/>
        <v>97300</v>
      </c>
      <c r="E37" s="586">
        <f t="shared" si="4"/>
        <v>96000</v>
      </c>
      <c r="F37" s="586">
        <f t="shared" si="4"/>
        <v>93600</v>
      </c>
      <c r="G37" s="586">
        <f t="shared" si="4"/>
        <v>98700</v>
      </c>
      <c r="H37" s="586">
        <f t="shared" si="4"/>
        <v>86800</v>
      </c>
      <c r="I37" s="586">
        <f t="shared" si="4"/>
        <v>86200</v>
      </c>
      <c r="J37" s="586">
        <f t="shared" si="4"/>
        <v>94800</v>
      </c>
      <c r="K37" s="586">
        <f t="shared" si="4"/>
        <v>99200</v>
      </c>
      <c r="L37" s="586">
        <f t="shared" si="4"/>
        <v>93600</v>
      </c>
      <c r="M37" s="586">
        <f t="shared" si="4"/>
        <v>82000</v>
      </c>
      <c r="N37" s="586">
        <f t="shared" si="4"/>
        <v>89800</v>
      </c>
      <c r="O37" s="586">
        <f t="shared" si="4"/>
        <v>1064000</v>
      </c>
      <c r="P37" s="586">
        <f>O37-P17</f>
        <v>496000</v>
      </c>
      <c r="Q37" s="586"/>
    </row>
  </sheetData>
  <sortState xmlns:xlrd2="http://schemas.microsoft.com/office/spreadsheetml/2017/richdata2" ref="B14:O36">
    <sortCondition ref="B14:B36"/>
  </sortState>
  <mergeCells count="13">
    <mergeCell ref="M1:O1"/>
    <mergeCell ref="B2:O2"/>
    <mergeCell ref="B12:O12"/>
    <mergeCell ref="Q17:Q28"/>
    <mergeCell ref="Q30:Q31"/>
    <mergeCell ref="Q32:Q34"/>
    <mergeCell ref="Q35:Q36"/>
    <mergeCell ref="P14:P16"/>
    <mergeCell ref="P30:P31"/>
    <mergeCell ref="P17:P28"/>
    <mergeCell ref="P32:P34"/>
    <mergeCell ref="P35:P36"/>
    <mergeCell ref="Q14:Q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922"/>
  <sheetViews>
    <sheetView workbookViewId="0">
      <selection activeCell="J19" sqref="J19"/>
    </sheetView>
  </sheetViews>
  <sheetFormatPr defaultRowHeight="15" x14ac:dyDescent="0.25"/>
  <cols>
    <col min="1" max="1" width="8.5703125" style="361" bestFit="1" customWidth="1"/>
    <col min="2" max="2" width="5.5703125" style="361" bestFit="1" customWidth="1"/>
    <col min="3" max="3" width="11.85546875" style="361" bestFit="1" customWidth="1"/>
    <col min="4" max="4" width="10.7109375" style="361" bestFit="1" customWidth="1"/>
    <col min="5" max="5" width="8.5703125" style="361" bestFit="1" customWidth="1"/>
    <col min="6" max="6" width="7" style="361" bestFit="1" customWidth="1"/>
    <col min="7" max="7" width="8.7109375" style="361" bestFit="1" customWidth="1"/>
    <col min="8" max="8" width="14.5703125" style="361" bestFit="1" customWidth="1"/>
    <col min="9" max="9" width="10.5703125" style="361" bestFit="1" customWidth="1"/>
    <col min="10" max="10" width="10.42578125" style="361" bestFit="1" customWidth="1"/>
    <col min="11" max="11" width="17.85546875" style="361" customWidth="1"/>
    <col min="12" max="12" width="10.42578125" style="361" bestFit="1" customWidth="1"/>
    <col min="13" max="13" width="12.5703125" style="361" bestFit="1" customWidth="1"/>
    <col min="14" max="14" width="10.42578125" style="361" bestFit="1" customWidth="1"/>
    <col min="15" max="21" width="9.140625" style="361"/>
    <col min="22" max="22" width="14.5703125" style="361" customWidth="1"/>
    <col min="23" max="23" width="18.5703125" style="361" customWidth="1"/>
    <col min="24" max="16384" width="9.140625" style="361"/>
  </cols>
  <sheetData>
    <row r="1" spans="1:23" ht="45.75" thickBot="1" x14ac:dyDescent="0.3">
      <c r="A1" s="545" t="s">
        <v>520</v>
      </c>
      <c r="B1" s="546" t="s">
        <v>521</v>
      </c>
      <c r="C1" s="546" t="s">
        <v>522</v>
      </c>
      <c r="D1" s="546" t="s">
        <v>523</v>
      </c>
      <c r="E1" s="545" t="s">
        <v>524</v>
      </c>
      <c r="F1" s="545" t="s">
        <v>525</v>
      </c>
      <c r="G1" s="545" t="s">
        <v>526</v>
      </c>
      <c r="H1" s="546" t="s">
        <v>527</v>
      </c>
      <c r="I1" s="546" t="s">
        <v>528</v>
      </c>
      <c r="J1" s="550" t="s">
        <v>529</v>
      </c>
      <c r="K1" s="546" t="s">
        <v>445</v>
      </c>
      <c r="L1" s="549" t="s">
        <v>557</v>
      </c>
      <c r="M1" s="549" t="s">
        <v>558</v>
      </c>
      <c r="N1" s="549" t="s">
        <v>559</v>
      </c>
    </row>
    <row r="2" spans="1:23" ht="15.75" thickBot="1" x14ac:dyDescent="0.3">
      <c r="A2" s="188" t="s">
        <v>530</v>
      </c>
      <c r="B2" s="188" t="s">
        <v>531</v>
      </c>
      <c r="C2" s="188" t="s">
        <v>532</v>
      </c>
      <c r="D2" s="560">
        <v>83420</v>
      </c>
      <c r="E2" s="188" t="s">
        <v>98</v>
      </c>
      <c r="F2" s="561">
        <v>1</v>
      </c>
      <c r="G2" s="188" t="s">
        <v>13</v>
      </c>
      <c r="H2" s="188" t="s">
        <v>533</v>
      </c>
      <c r="I2" s="562">
        <v>43101</v>
      </c>
      <c r="J2" s="562">
        <v>43117</v>
      </c>
      <c r="K2" s="6" t="str">
        <f>VLOOKUP(H2,$V$2:$W$10,2,TRUE)</f>
        <v>PP-ICP</v>
      </c>
      <c r="L2" s="14">
        <f>VLOOKUP(J2,'USD to INR'!$B$2:$G$560,6,TRUE)</f>
        <v>63.83</v>
      </c>
      <c r="M2" s="216">
        <f>D2/L2</f>
        <v>1306.9089769700768</v>
      </c>
      <c r="N2" s="563">
        <f t="shared" ref="N2:N65" si="0">J2</f>
        <v>43117</v>
      </c>
      <c r="V2" s="547" t="s">
        <v>533</v>
      </c>
      <c r="W2" s="6" t="s">
        <v>542</v>
      </c>
    </row>
    <row r="3" spans="1:23" ht="15.75" thickBot="1" x14ac:dyDescent="0.3">
      <c r="A3" s="188" t="s">
        <v>530</v>
      </c>
      <c r="B3" s="188" t="s">
        <v>531</v>
      </c>
      <c r="C3" s="188" t="s">
        <v>532</v>
      </c>
      <c r="D3" s="560">
        <v>84820</v>
      </c>
      <c r="E3" s="188" t="s">
        <v>98</v>
      </c>
      <c r="F3" s="561">
        <v>1</v>
      </c>
      <c r="G3" s="188" t="s">
        <v>13</v>
      </c>
      <c r="H3" s="188" t="s">
        <v>533</v>
      </c>
      <c r="I3" s="562">
        <v>43118</v>
      </c>
      <c r="J3" s="562">
        <v>43124</v>
      </c>
      <c r="K3" s="6" t="str">
        <f t="shared" ref="K3:K66" si="1">VLOOKUP(H3,$V$2:$W$10,2,TRUE)</f>
        <v>PP-ICP</v>
      </c>
      <c r="L3" s="14">
        <f>VLOOKUP(J3,'USD to INR'!$B$2:$G$560,6,TRUE)</f>
        <v>63.59</v>
      </c>
      <c r="M3" s="216">
        <f t="shared" ref="M3:M66" si="2">D3/L3</f>
        <v>1333.8575247680453</v>
      </c>
      <c r="N3" s="563">
        <f t="shared" si="0"/>
        <v>43124</v>
      </c>
      <c r="V3" s="548" t="s">
        <v>534</v>
      </c>
      <c r="W3" s="6" t="s">
        <v>543</v>
      </c>
    </row>
    <row r="4" spans="1:23" ht="15.75" thickBot="1" x14ac:dyDescent="0.3">
      <c r="A4" s="188" t="s">
        <v>530</v>
      </c>
      <c r="B4" s="188" t="s">
        <v>531</v>
      </c>
      <c r="C4" s="188" t="s">
        <v>532</v>
      </c>
      <c r="D4" s="560">
        <v>86210</v>
      </c>
      <c r="E4" s="188" t="s">
        <v>98</v>
      </c>
      <c r="F4" s="561">
        <v>1</v>
      </c>
      <c r="G4" s="188" t="s">
        <v>13</v>
      </c>
      <c r="H4" s="188" t="s">
        <v>533</v>
      </c>
      <c r="I4" s="562">
        <v>43125</v>
      </c>
      <c r="J4" s="562">
        <v>43131</v>
      </c>
      <c r="K4" s="6" t="str">
        <f t="shared" si="1"/>
        <v>PP-ICP</v>
      </c>
      <c r="L4" s="14">
        <f>VLOOKUP(J4,'USD to INR'!$B$2:$G$560,6,TRUE)</f>
        <v>64.13</v>
      </c>
      <c r="M4" s="216">
        <f t="shared" si="2"/>
        <v>1344.3006393263684</v>
      </c>
      <c r="N4" s="563">
        <f t="shared" si="0"/>
        <v>43131</v>
      </c>
      <c r="V4" s="548" t="s">
        <v>535</v>
      </c>
      <c r="W4" s="6" t="s">
        <v>544</v>
      </c>
    </row>
    <row r="5" spans="1:23" ht="15.75" thickBot="1" x14ac:dyDescent="0.3">
      <c r="A5" s="188" t="s">
        <v>530</v>
      </c>
      <c r="B5" s="188" t="s">
        <v>531</v>
      </c>
      <c r="C5" s="188" t="s">
        <v>532</v>
      </c>
      <c r="D5" s="560">
        <v>88510</v>
      </c>
      <c r="E5" s="188" t="s">
        <v>98</v>
      </c>
      <c r="F5" s="561">
        <v>1</v>
      </c>
      <c r="G5" s="188" t="s">
        <v>13</v>
      </c>
      <c r="H5" s="188" t="s">
        <v>533</v>
      </c>
      <c r="I5" s="562">
        <v>43132</v>
      </c>
      <c r="J5" s="562">
        <v>43145</v>
      </c>
      <c r="K5" s="6" t="str">
        <f t="shared" si="1"/>
        <v>PP-ICP</v>
      </c>
      <c r="L5" s="14">
        <f>VLOOKUP(J5,'USD to INR'!$B$2:$G$560,6,TRUE)</f>
        <v>64.215000000000003</v>
      </c>
      <c r="M5" s="216">
        <f t="shared" si="2"/>
        <v>1378.338394456124</v>
      </c>
      <c r="N5" s="563">
        <f t="shared" si="0"/>
        <v>43145</v>
      </c>
      <c r="V5" s="548" t="s">
        <v>536</v>
      </c>
      <c r="W5" s="541" t="s">
        <v>545</v>
      </c>
    </row>
    <row r="6" spans="1:23" ht="15.75" thickBot="1" x14ac:dyDescent="0.3">
      <c r="A6" s="188" t="s">
        <v>530</v>
      </c>
      <c r="B6" s="188" t="s">
        <v>531</v>
      </c>
      <c r="C6" s="188" t="s">
        <v>532</v>
      </c>
      <c r="D6" s="560">
        <v>91220</v>
      </c>
      <c r="E6" s="188" t="s">
        <v>98</v>
      </c>
      <c r="F6" s="561">
        <v>1</v>
      </c>
      <c r="G6" s="188" t="s">
        <v>13</v>
      </c>
      <c r="H6" s="188" t="s">
        <v>533</v>
      </c>
      <c r="I6" s="562">
        <v>43146</v>
      </c>
      <c r="J6" s="562">
        <v>43159</v>
      </c>
      <c r="K6" s="6" t="str">
        <f t="shared" si="1"/>
        <v>PP-ICP</v>
      </c>
      <c r="L6" s="14">
        <f>VLOOKUP(J6,'USD to INR'!$B$2:$G$560,6,TRUE)</f>
        <v>65.22</v>
      </c>
      <c r="M6" s="216">
        <f t="shared" si="2"/>
        <v>1398.6507206378412</v>
      </c>
      <c r="N6" s="563">
        <f t="shared" si="0"/>
        <v>43159</v>
      </c>
      <c r="V6" s="548" t="s">
        <v>537</v>
      </c>
      <c r="W6" s="541" t="s">
        <v>546</v>
      </c>
    </row>
    <row r="7" spans="1:23" ht="15.75" thickBot="1" x14ac:dyDescent="0.3">
      <c r="A7" s="188" t="s">
        <v>530</v>
      </c>
      <c r="B7" s="188" t="s">
        <v>531</v>
      </c>
      <c r="C7" s="188" t="s">
        <v>532</v>
      </c>
      <c r="D7" s="560">
        <v>91220</v>
      </c>
      <c r="E7" s="188" t="s">
        <v>98</v>
      </c>
      <c r="F7" s="561">
        <v>1</v>
      </c>
      <c r="G7" s="188" t="s">
        <v>13</v>
      </c>
      <c r="H7" s="188" t="s">
        <v>533</v>
      </c>
      <c r="I7" s="562">
        <v>43160</v>
      </c>
      <c r="J7" s="562">
        <v>43190</v>
      </c>
      <c r="K7" s="6" t="str">
        <f t="shared" si="1"/>
        <v>PP-ICP</v>
      </c>
      <c r="L7" s="14">
        <f>VLOOKUP(J7,'USD to INR'!$B$2:$G$560,6,TRUE)</f>
        <v>65.114999999999995</v>
      </c>
      <c r="M7" s="216">
        <f t="shared" si="2"/>
        <v>1400.9060892267528</v>
      </c>
      <c r="N7" s="563">
        <f t="shared" si="0"/>
        <v>43190</v>
      </c>
      <c r="V7" s="548" t="s">
        <v>541</v>
      </c>
      <c r="W7" s="541" t="s">
        <v>547</v>
      </c>
    </row>
    <row r="8" spans="1:23" ht="15.75" thickBot="1" x14ac:dyDescent="0.3">
      <c r="A8" s="188" t="s">
        <v>530</v>
      </c>
      <c r="B8" s="188" t="s">
        <v>531</v>
      </c>
      <c r="C8" s="188" t="s">
        <v>532</v>
      </c>
      <c r="D8" s="560">
        <v>89740</v>
      </c>
      <c r="E8" s="188" t="s">
        <v>98</v>
      </c>
      <c r="F8" s="561">
        <v>1</v>
      </c>
      <c r="G8" s="188" t="s">
        <v>13</v>
      </c>
      <c r="H8" s="188" t="s">
        <v>533</v>
      </c>
      <c r="I8" s="562">
        <v>43191</v>
      </c>
      <c r="J8" s="562">
        <v>43208</v>
      </c>
      <c r="K8" s="6" t="str">
        <f t="shared" si="1"/>
        <v>PP-ICP</v>
      </c>
      <c r="L8" s="14">
        <f>VLOOKUP(J8,'USD to INR'!$B$2:$G$560,6,TRUE)</f>
        <v>66.209999999999994</v>
      </c>
      <c r="M8" s="216">
        <f t="shared" si="2"/>
        <v>1355.3843830237126</v>
      </c>
      <c r="N8" s="563">
        <f t="shared" si="0"/>
        <v>43208</v>
      </c>
      <c r="V8" s="548" t="s">
        <v>538</v>
      </c>
      <c r="W8" s="541" t="s">
        <v>548</v>
      </c>
    </row>
    <row r="9" spans="1:23" ht="15.75" thickBot="1" x14ac:dyDescent="0.3">
      <c r="A9" s="188" t="s">
        <v>530</v>
      </c>
      <c r="B9" s="188" t="s">
        <v>531</v>
      </c>
      <c r="C9" s="188" t="s">
        <v>532</v>
      </c>
      <c r="D9" s="560">
        <v>89740</v>
      </c>
      <c r="E9" s="188" t="s">
        <v>98</v>
      </c>
      <c r="F9" s="561">
        <v>1</v>
      </c>
      <c r="G9" s="188" t="s">
        <v>13</v>
      </c>
      <c r="H9" s="188" t="s">
        <v>533</v>
      </c>
      <c r="I9" s="562">
        <v>43209</v>
      </c>
      <c r="J9" s="562">
        <v>43220</v>
      </c>
      <c r="K9" s="6" t="str">
        <f t="shared" si="1"/>
        <v>PP-ICP</v>
      </c>
      <c r="L9" s="14">
        <f>VLOOKUP(J9,'USD to INR'!$B$2:$G$560,6,TRUE)</f>
        <v>66.819999999999993</v>
      </c>
      <c r="M9" s="216">
        <f t="shared" si="2"/>
        <v>1343.0110745285845</v>
      </c>
      <c r="N9" s="563">
        <f t="shared" si="0"/>
        <v>43220</v>
      </c>
      <c r="V9" s="548" t="s">
        <v>539</v>
      </c>
      <c r="W9" s="541" t="s">
        <v>549</v>
      </c>
    </row>
    <row r="10" spans="1:23" ht="15.75" thickBot="1" x14ac:dyDescent="0.3">
      <c r="A10" s="188" t="s">
        <v>530</v>
      </c>
      <c r="B10" s="188" t="s">
        <v>531</v>
      </c>
      <c r="C10" s="188" t="s">
        <v>532</v>
      </c>
      <c r="D10" s="560">
        <v>91220</v>
      </c>
      <c r="E10" s="188" t="s">
        <v>98</v>
      </c>
      <c r="F10" s="561">
        <v>1</v>
      </c>
      <c r="G10" s="188" t="s">
        <v>13</v>
      </c>
      <c r="H10" s="188" t="s">
        <v>533</v>
      </c>
      <c r="I10" s="562">
        <v>43221</v>
      </c>
      <c r="J10" s="562">
        <v>43236</v>
      </c>
      <c r="K10" s="6" t="str">
        <f t="shared" si="1"/>
        <v>PP-ICP</v>
      </c>
      <c r="L10" s="14">
        <f>VLOOKUP(J10,'USD to INR'!$B$2:$G$560,6,TRUE)</f>
        <v>67.989999999999995</v>
      </c>
      <c r="M10" s="216">
        <f t="shared" si="2"/>
        <v>1341.6678923371085</v>
      </c>
      <c r="N10" s="563">
        <f t="shared" si="0"/>
        <v>43236</v>
      </c>
      <c r="V10" s="548" t="s">
        <v>540</v>
      </c>
      <c r="W10" s="541" t="s">
        <v>550</v>
      </c>
    </row>
    <row r="11" spans="1:23" x14ac:dyDescent="0.25">
      <c r="A11" s="188" t="s">
        <v>530</v>
      </c>
      <c r="B11" s="188" t="s">
        <v>531</v>
      </c>
      <c r="C11" s="188" t="s">
        <v>532</v>
      </c>
      <c r="D11" s="560">
        <v>94000</v>
      </c>
      <c r="E11" s="188" t="s">
        <v>98</v>
      </c>
      <c r="F11" s="561">
        <v>1</v>
      </c>
      <c r="G11" s="188" t="s">
        <v>13</v>
      </c>
      <c r="H11" s="188" t="s">
        <v>533</v>
      </c>
      <c r="I11" s="562">
        <v>43237</v>
      </c>
      <c r="J11" s="562">
        <v>43251</v>
      </c>
      <c r="K11" s="6" t="str">
        <f t="shared" si="1"/>
        <v>PP-ICP</v>
      </c>
      <c r="L11" s="14">
        <f>VLOOKUP(J11,'USD to INR'!$B$2:$G$560,6,TRUE)</f>
        <v>66.995000000000005</v>
      </c>
      <c r="M11" s="216">
        <f t="shared" si="2"/>
        <v>1403.0897828196132</v>
      </c>
      <c r="N11" s="563">
        <f t="shared" si="0"/>
        <v>43251</v>
      </c>
    </row>
    <row r="12" spans="1:23" x14ac:dyDescent="0.25">
      <c r="A12" s="188" t="s">
        <v>530</v>
      </c>
      <c r="B12" s="188" t="s">
        <v>531</v>
      </c>
      <c r="C12" s="188" t="s">
        <v>532</v>
      </c>
      <c r="D12" s="560">
        <v>95374</v>
      </c>
      <c r="E12" s="188" t="s">
        <v>98</v>
      </c>
      <c r="F12" s="561">
        <v>1</v>
      </c>
      <c r="G12" s="188" t="s">
        <v>13</v>
      </c>
      <c r="H12" s="188" t="s">
        <v>533</v>
      </c>
      <c r="I12" s="562">
        <v>43252</v>
      </c>
      <c r="J12" s="562">
        <v>43281</v>
      </c>
      <c r="K12" s="6" t="str">
        <f t="shared" si="1"/>
        <v>PP-ICP</v>
      </c>
      <c r="L12" s="14">
        <f>VLOOKUP(J12,'USD to INR'!$B$2:$G$560,6,TRUE)</f>
        <v>68.459999999999994</v>
      </c>
      <c r="M12" s="216">
        <f t="shared" si="2"/>
        <v>1393.134677183757</v>
      </c>
      <c r="N12" s="563">
        <f t="shared" si="0"/>
        <v>43281</v>
      </c>
    </row>
    <row r="13" spans="1:23" x14ac:dyDescent="0.25">
      <c r="A13" s="188" t="s">
        <v>530</v>
      </c>
      <c r="B13" s="188" t="s">
        <v>531</v>
      </c>
      <c r="C13" s="188" t="s">
        <v>532</v>
      </c>
      <c r="D13" s="560">
        <v>95380</v>
      </c>
      <c r="E13" s="188" t="s">
        <v>98</v>
      </c>
      <c r="F13" s="561">
        <v>1</v>
      </c>
      <c r="G13" s="188" t="s">
        <v>13</v>
      </c>
      <c r="H13" s="188" t="s">
        <v>533</v>
      </c>
      <c r="I13" s="562">
        <v>43282</v>
      </c>
      <c r="J13" s="562">
        <v>43292</v>
      </c>
      <c r="K13" s="6" t="str">
        <f t="shared" si="1"/>
        <v>PP-ICP</v>
      </c>
      <c r="L13" s="14">
        <f>VLOOKUP(J13,'USD to INR'!$B$2:$G$560,6,TRUE)</f>
        <v>68.5</v>
      </c>
      <c r="M13" s="216">
        <f t="shared" si="2"/>
        <v>1392.4087591240875</v>
      </c>
      <c r="N13" s="563">
        <f t="shared" si="0"/>
        <v>43292</v>
      </c>
    </row>
    <row r="14" spans="1:23" x14ac:dyDescent="0.25">
      <c r="A14" s="188" t="s">
        <v>530</v>
      </c>
      <c r="B14" s="188" t="s">
        <v>531</v>
      </c>
      <c r="C14" s="188" t="s">
        <v>532</v>
      </c>
      <c r="D14" s="560">
        <v>94000</v>
      </c>
      <c r="E14" s="188" t="s">
        <v>98</v>
      </c>
      <c r="F14" s="561">
        <v>1</v>
      </c>
      <c r="G14" s="188" t="s">
        <v>13</v>
      </c>
      <c r="H14" s="188" t="s">
        <v>533</v>
      </c>
      <c r="I14" s="562">
        <v>43293</v>
      </c>
      <c r="J14" s="562">
        <v>43312</v>
      </c>
      <c r="K14" s="6" t="str">
        <f t="shared" si="1"/>
        <v>PP-ICP</v>
      </c>
      <c r="L14" s="14">
        <f>VLOOKUP(J14,'USD to INR'!$B$2:$G$560,6,TRUE)</f>
        <v>68.545000000000002</v>
      </c>
      <c r="M14" s="216">
        <f t="shared" si="2"/>
        <v>1371.3618790575533</v>
      </c>
      <c r="N14" s="563">
        <f t="shared" si="0"/>
        <v>43312</v>
      </c>
    </row>
    <row r="15" spans="1:23" x14ac:dyDescent="0.25">
      <c r="A15" s="188" t="s">
        <v>530</v>
      </c>
      <c r="B15" s="188" t="s">
        <v>531</v>
      </c>
      <c r="C15" s="188" t="s">
        <v>532</v>
      </c>
      <c r="D15" s="560">
        <v>92150</v>
      </c>
      <c r="E15" s="188" t="s">
        <v>98</v>
      </c>
      <c r="F15" s="561">
        <v>1</v>
      </c>
      <c r="G15" s="188" t="s">
        <v>13</v>
      </c>
      <c r="H15" s="188" t="s">
        <v>533</v>
      </c>
      <c r="I15" s="562">
        <v>43313</v>
      </c>
      <c r="J15" s="562">
        <v>43343</v>
      </c>
      <c r="K15" s="6" t="str">
        <f t="shared" si="1"/>
        <v>PP-ICP</v>
      </c>
      <c r="L15" s="14">
        <f>VLOOKUP(J15,'USD to INR'!$B$2:$G$560,6,TRUE)</f>
        <v>71.004999999999995</v>
      </c>
      <c r="M15" s="216">
        <f t="shared" si="2"/>
        <v>1297.7959298640942</v>
      </c>
      <c r="N15" s="563">
        <f t="shared" si="0"/>
        <v>43343</v>
      </c>
    </row>
    <row r="16" spans="1:23" x14ac:dyDescent="0.25">
      <c r="A16" s="188" t="s">
        <v>530</v>
      </c>
      <c r="B16" s="188" t="s">
        <v>531</v>
      </c>
      <c r="C16" s="188" t="s">
        <v>532</v>
      </c>
      <c r="D16" s="560">
        <v>93990</v>
      </c>
      <c r="E16" s="188" t="s">
        <v>98</v>
      </c>
      <c r="F16" s="561">
        <v>1</v>
      </c>
      <c r="G16" s="188" t="s">
        <v>13</v>
      </c>
      <c r="H16" s="188" t="s">
        <v>533</v>
      </c>
      <c r="I16" s="562">
        <v>43344</v>
      </c>
      <c r="J16" s="562">
        <v>43373</v>
      </c>
      <c r="K16" s="6" t="str">
        <f t="shared" si="1"/>
        <v>PP-ICP</v>
      </c>
      <c r="L16" s="14">
        <f>VLOOKUP(J16,'USD to INR'!$B$2:$G$560,6,TRUE)</f>
        <v>73.77</v>
      </c>
      <c r="M16" s="216">
        <f t="shared" si="2"/>
        <v>1274.0951606344042</v>
      </c>
      <c r="N16" s="563">
        <f t="shared" si="0"/>
        <v>43373</v>
      </c>
    </row>
    <row r="17" spans="1:14" x14ac:dyDescent="0.25">
      <c r="A17" s="188" t="s">
        <v>530</v>
      </c>
      <c r="B17" s="188" t="s">
        <v>531</v>
      </c>
      <c r="C17" s="188" t="s">
        <v>532</v>
      </c>
      <c r="D17" s="560">
        <v>96320</v>
      </c>
      <c r="E17" s="188" t="s">
        <v>98</v>
      </c>
      <c r="F17" s="561">
        <v>1</v>
      </c>
      <c r="G17" s="188" t="s">
        <v>13</v>
      </c>
      <c r="H17" s="188" t="s">
        <v>533</v>
      </c>
      <c r="I17" s="562">
        <v>43374</v>
      </c>
      <c r="J17" s="562">
        <v>43383</v>
      </c>
      <c r="K17" s="6" t="str">
        <f t="shared" si="1"/>
        <v>PP-ICP</v>
      </c>
      <c r="L17" s="14">
        <f>VLOOKUP(J17,'USD to INR'!$B$2:$G$560,6,TRUE)</f>
        <v>73.61</v>
      </c>
      <c r="M17" s="216">
        <f t="shared" si="2"/>
        <v>1308.5178644205951</v>
      </c>
      <c r="N17" s="563">
        <f t="shared" si="0"/>
        <v>43383</v>
      </c>
    </row>
    <row r="18" spans="1:14" x14ac:dyDescent="0.25">
      <c r="A18" s="188" t="s">
        <v>530</v>
      </c>
      <c r="B18" s="188" t="s">
        <v>531</v>
      </c>
      <c r="C18" s="188" t="s">
        <v>532</v>
      </c>
      <c r="D18" s="560">
        <v>97710</v>
      </c>
      <c r="E18" s="188" t="s">
        <v>98</v>
      </c>
      <c r="F18" s="561">
        <v>1</v>
      </c>
      <c r="G18" s="188" t="s">
        <v>13</v>
      </c>
      <c r="H18" s="188" t="s">
        <v>533</v>
      </c>
      <c r="I18" s="562">
        <v>43384</v>
      </c>
      <c r="J18" s="562">
        <v>43404</v>
      </c>
      <c r="K18" s="6" t="str">
        <f t="shared" si="1"/>
        <v>PP-ICP</v>
      </c>
      <c r="L18" s="14">
        <f>VLOOKUP(J18,'USD to INR'!$B$2:$G$560,6,TRUE)</f>
        <v>72.44</v>
      </c>
      <c r="M18" s="216">
        <f t="shared" si="2"/>
        <v>1348.8404196576478</v>
      </c>
      <c r="N18" s="563">
        <f t="shared" si="0"/>
        <v>43404</v>
      </c>
    </row>
    <row r="19" spans="1:14" x14ac:dyDescent="0.25">
      <c r="A19" s="188" t="s">
        <v>530</v>
      </c>
      <c r="B19" s="188" t="s">
        <v>531</v>
      </c>
      <c r="C19" s="188" t="s">
        <v>532</v>
      </c>
      <c r="D19" s="560">
        <v>97710</v>
      </c>
      <c r="E19" s="188" t="s">
        <v>98</v>
      </c>
      <c r="F19" s="561">
        <v>1</v>
      </c>
      <c r="G19" s="188" t="s">
        <v>13</v>
      </c>
      <c r="H19" s="188" t="s">
        <v>533</v>
      </c>
      <c r="I19" s="562">
        <v>43405</v>
      </c>
      <c r="J19" s="562">
        <v>43418</v>
      </c>
      <c r="K19" s="6" t="str">
        <f t="shared" si="1"/>
        <v>PP-ICP</v>
      </c>
      <c r="L19" s="14">
        <f>VLOOKUP(J19,'USD to INR'!$B$2:$G$560,6,TRUE)</f>
        <v>71.98</v>
      </c>
      <c r="M19" s="216">
        <f t="shared" si="2"/>
        <v>1357.460405668241</v>
      </c>
      <c r="N19" s="563">
        <f t="shared" si="0"/>
        <v>43418</v>
      </c>
    </row>
    <row r="20" spans="1:14" x14ac:dyDescent="0.25">
      <c r="A20" s="188" t="s">
        <v>530</v>
      </c>
      <c r="B20" s="188" t="s">
        <v>531</v>
      </c>
      <c r="C20" s="188" t="s">
        <v>532</v>
      </c>
      <c r="D20" s="560">
        <v>94940</v>
      </c>
      <c r="E20" s="188" t="s">
        <v>98</v>
      </c>
      <c r="F20" s="561">
        <v>1</v>
      </c>
      <c r="G20" s="188" t="s">
        <v>13</v>
      </c>
      <c r="H20" s="188" t="s">
        <v>533</v>
      </c>
      <c r="I20" s="562">
        <v>43419</v>
      </c>
      <c r="J20" s="562">
        <v>43425</v>
      </c>
      <c r="K20" s="6" t="str">
        <f t="shared" si="1"/>
        <v>PP-ICP</v>
      </c>
      <c r="L20" s="14">
        <f>VLOOKUP(J20,'USD to INR'!$B$2:$G$560,6,TRUE)</f>
        <v>70.655000000000001</v>
      </c>
      <c r="M20" s="216">
        <f t="shared" si="2"/>
        <v>1343.7124053499399</v>
      </c>
      <c r="N20" s="563">
        <f t="shared" si="0"/>
        <v>43425</v>
      </c>
    </row>
    <row r="21" spans="1:14" x14ac:dyDescent="0.25">
      <c r="A21" s="188" t="s">
        <v>530</v>
      </c>
      <c r="B21" s="188" t="s">
        <v>531</v>
      </c>
      <c r="C21" s="188" t="s">
        <v>532</v>
      </c>
      <c r="D21" s="560">
        <v>89400</v>
      </c>
      <c r="E21" s="188" t="s">
        <v>98</v>
      </c>
      <c r="F21" s="561">
        <v>1</v>
      </c>
      <c r="G21" s="188" t="s">
        <v>13</v>
      </c>
      <c r="H21" s="188" t="s">
        <v>533</v>
      </c>
      <c r="I21" s="562">
        <v>43426</v>
      </c>
      <c r="J21" s="562">
        <v>43434</v>
      </c>
      <c r="K21" s="6" t="str">
        <f t="shared" si="1"/>
        <v>PP-ICP</v>
      </c>
      <c r="L21" s="14">
        <f>VLOOKUP(J21,'USD to INR'!$B$2:$G$560,6,TRUE)</f>
        <v>69.650000000000006</v>
      </c>
      <c r="M21" s="216">
        <f t="shared" si="2"/>
        <v>1283.5606604450825</v>
      </c>
      <c r="N21" s="563">
        <f t="shared" si="0"/>
        <v>43434</v>
      </c>
    </row>
    <row r="22" spans="1:14" x14ac:dyDescent="0.25">
      <c r="A22" s="188" t="s">
        <v>530</v>
      </c>
      <c r="B22" s="188" t="s">
        <v>531</v>
      </c>
      <c r="C22" s="188" t="s">
        <v>532</v>
      </c>
      <c r="D22" s="560">
        <v>82050</v>
      </c>
      <c r="E22" s="188" t="s">
        <v>98</v>
      </c>
      <c r="F22" s="561">
        <v>1</v>
      </c>
      <c r="G22" s="188" t="s">
        <v>13</v>
      </c>
      <c r="H22" s="188" t="s">
        <v>533</v>
      </c>
      <c r="I22" s="562">
        <v>43435</v>
      </c>
      <c r="J22" s="562">
        <v>43465</v>
      </c>
      <c r="K22" s="6" t="str">
        <f t="shared" si="1"/>
        <v>PP-ICP</v>
      </c>
      <c r="L22" s="14">
        <f>VLOOKUP(J22,'USD to INR'!$B$2:$G$560,6,TRUE)</f>
        <v>69.55</v>
      </c>
      <c r="M22" s="216">
        <f t="shared" si="2"/>
        <v>1179.726815240834</v>
      </c>
      <c r="N22" s="563">
        <f t="shared" si="0"/>
        <v>43465</v>
      </c>
    </row>
    <row r="23" spans="1:14" x14ac:dyDescent="0.25">
      <c r="A23" s="188" t="s">
        <v>530</v>
      </c>
      <c r="B23" s="188" t="s">
        <v>531</v>
      </c>
      <c r="C23" s="188" t="s">
        <v>532</v>
      </c>
      <c r="D23" s="560">
        <v>82175</v>
      </c>
      <c r="E23" s="188" t="s">
        <v>98</v>
      </c>
      <c r="F23" s="561">
        <v>1</v>
      </c>
      <c r="G23" s="188" t="s">
        <v>13</v>
      </c>
      <c r="H23" s="188" t="s">
        <v>533</v>
      </c>
      <c r="I23" s="562">
        <v>43466</v>
      </c>
      <c r="J23" s="562">
        <v>43474</v>
      </c>
      <c r="K23" s="6" t="str">
        <f t="shared" si="1"/>
        <v>PP-ICP</v>
      </c>
      <c r="L23" s="14">
        <f>VLOOKUP(J23,'USD to INR'!$B$2:$G$560,6,TRUE)</f>
        <v>70.399000000000001</v>
      </c>
      <c r="M23" s="216">
        <f t="shared" si="2"/>
        <v>1167.2751033395361</v>
      </c>
      <c r="N23" s="563">
        <f t="shared" si="0"/>
        <v>43474</v>
      </c>
    </row>
    <row r="24" spans="1:14" x14ac:dyDescent="0.25">
      <c r="A24" s="188" t="s">
        <v>530</v>
      </c>
      <c r="B24" s="188" t="s">
        <v>531</v>
      </c>
      <c r="C24" s="188" t="s">
        <v>532</v>
      </c>
      <c r="D24" s="560">
        <v>82175</v>
      </c>
      <c r="E24" s="188" t="s">
        <v>98</v>
      </c>
      <c r="F24" s="561">
        <v>1</v>
      </c>
      <c r="G24" s="188" t="s">
        <v>13</v>
      </c>
      <c r="H24" s="188" t="s">
        <v>533</v>
      </c>
      <c r="I24" s="562">
        <v>43475</v>
      </c>
      <c r="J24" s="562">
        <v>43496</v>
      </c>
      <c r="K24" s="6" t="str">
        <f t="shared" si="1"/>
        <v>PP-ICP</v>
      </c>
      <c r="L24" s="14">
        <f>VLOOKUP(J24,'USD to INR'!$B$2:$G$560,6,TRUE)</f>
        <v>71.435000000000002</v>
      </c>
      <c r="M24" s="216">
        <f t="shared" si="2"/>
        <v>1150.3464688178065</v>
      </c>
      <c r="N24" s="563">
        <f t="shared" si="0"/>
        <v>43496</v>
      </c>
    </row>
    <row r="25" spans="1:14" x14ac:dyDescent="0.25">
      <c r="A25" s="188" t="s">
        <v>530</v>
      </c>
      <c r="B25" s="188" t="s">
        <v>531</v>
      </c>
      <c r="C25" s="188" t="s">
        <v>532</v>
      </c>
      <c r="D25" s="560">
        <v>83655</v>
      </c>
      <c r="E25" s="188" t="s">
        <v>98</v>
      </c>
      <c r="F25" s="561">
        <v>1</v>
      </c>
      <c r="G25" s="188" t="s">
        <v>13</v>
      </c>
      <c r="H25" s="188" t="s">
        <v>533</v>
      </c>
      <c r="I25" s="562">
        <v>43497</v>
      </c>
      <c r="J25" s="562">
        <v>43516</v>
      </c>
      <c r="K25" s="6" t="str">
        <f t="shared" si="1"/>
        <v>PP-ICP</v>
      </c>
      <c r="L25" s="14">
        <f>VLOOKUP(J25,'USD to INR'!$B$2:$G$560,6,TRUE)</f>
        <v>71.034999999999997</v>
      </c>
      <c r="M25" s="216">
        <f t="shared" si="2"/>
        <v>1177.6589005419864</v>
      </c>
      <c r="N25" s="563">
        <f t="shared" si="0"/>
        <v>43516</v>
      </c>
    </row>
    <row r="26" spans="1:14" x14ac:dyDescent="0.25">
      <c r="A26" s="188" t="s">
        <v>530</v>
      </c>
      <c r="B26" s="188" t="s">
        <v>531</v>
      </c>
      <c r="C26" s="188" t="s">
        <v>532</v>
      </c>
      <c r="D26" s="560">
        <v>85035</v>
      </c>
      <c r="E26" s="188" t="s">
        <v>98</v>
      </c>
      <c r="F26" s="561">
        <v>1</v>
      </c>
      <c r="G26" s="188" t="s">
        <v>13</v>
      </c>
      <c r="H26" s="188" t="s">
        <v>533</v>
      </c>
      <c r="I26" s="562">
        <v>43517</v>
      </c>
      <c r="J26" s="562">
        <v>43524</v>
      </c>
      <c r="K26" s="6" t="str">
        <f t="shared" si="1"/>
        <v>PP-ICP</v>
      </c>
      <c r="L26" s="14">
        <f>VLOOKUP(J26,'USD to INR'!$B$2:$G$560,6,TRUE)</f>
        <v>71</v>
      </c>
      <c r="M26" s="216">
        <f t="shared" si="2"/>
        <v>1197.6760563380283</v>
      </c>
      <c r="N26" s="563">
        <f t="shared" si="0"/>
        <v>43524</v>
      </c>
    </row>
    <row r="27" spans="1:14" x14ac:dyDescent="0.25">
      <c r="A27" s="188" t="s">
        <v>530</v>
      </c>
      <c r="B27" s="188" t="s">
        <v>531</v>
      </c>
      <c r="C27" s="188" t="s">
        <v>532</v>
      </c>
      <c r="D27" s="560">
        <v>85955</v>
      </c>
      <c r="E27" s="188" t="s">
        <v>98</v>
      </c>
      <c r="F27" s="561">
        <v>1</v>
      </c>
      <c r="G27" s="188" t="s">
        <v>13</v>
      </c>
      <c r="H27" s="188" t="s">
        <v>533</v>
      </c>
      <c r="I27" s="562">
        <v>43525</v>
      </c>
      <c r="J27" s="562">
        <v>43555</v>
      </c>
      <c r="K27" s="6" t="str">
        <f t="shared" si="1"/>
        <v>PP-ICP</v>
      </c>
      <c r="L27" s="14">
        <f>VLOOKUP(J27,'USD to INR'!$B$2:$G$560,6,TRUE)</f>
        <v>69.17</v>
      </c>
      <c r="M27" s="216">
        <f t="shared" si="2"/>
        <v>1242.6630041925689</v>
      </c>
      <c r="N27" s="563">
        <f t="shared" si="0"/>
        <v>43555</v>
      </c>
    </row>
    <row r="28" spans="1:14" x14ac:dyDescent="0.25">
      <c r="A28" s="188" t="s">
        <v>530</v>
      </c>
      <c r="B28" s="188" t="s">
        <v>531</v>
      </c>
      <c r="C28" s="188" t="s">
        <v>532</v>
      </c>
      <c r="D28" s="560">
        <v>87545</v>
      </c>
      <c r="E28" s="188" t="s">
        <v>98</v>
      </c>
      <c r="F28" s="561">
        <v>1</v>
      </c>
      <c r="G28" s="188" t="s">
        <v>13</v>
      </c>
      <c r="H28" s="188" t="s">
        <v>533</v>
      </c>
      <c r="I28" s="562">
        <v>43556</v>
      </c>
      <c r="J28" s="562">
        <v>43565</v>
      </c>
      <c r="K28" s="6" t="str">
        <f t="shared" si="1"/>
        <v>PP-ICP</v>
      </c>
      <c r="L28" s="14">
        <f>VLOOKUP(J28,'USD to INR'!$B$2:$G$560,6,TRUE)</f>
        <v>69.19</v>
      </c>
      <c r="M28" s="216">
        <f t="shared" si="2"/>
        <v>1265.2840005781184</v>
      </c>
      <c r="N28" s="563">
        <f t="shared" si="0"/>
        <v>43565</v>
      </c>
    </row>
    <row r="29" spans="1:14" x14ac:dyDescent="0.25">
      <c r="A29" s="188" t="s">
        <v>530</v>
      </c>
      <c r="B29" s="188" t="s">
        <v>531</v>
      </c>
      <c r="C29" s="188" t="s">
        <v>532</v>
      </c>
      <c r="D29" s="560">
        <v>88365</v>
      </c>
      <c r="E29" s="188" t="s">
        <v>98</v>
      </c>
      <c r="F29" s="561">
        <v>1</v>
      </c>
      <c r="G29" s="188" t="s">
        <v>13</v>
      </c>
      <c r="H29" s="188" t="s">
        <v>533</v>
      </c>
      <c r="I29" s="562">
        <v>43566</v>
      </c>
      <c r="J29" s="562">
        <v>43572</v>
      </c>
      <c r="K29" s="6" t="str">
        <f t="shared" si="1"/>
        <v>PP-ICP</v>
      </c>
      <c r="L29" s="14">
        <f>VLOOKUP(J29,'USD to INR'!$B$2:$G$560,6,TRUE)</f>
        <v>69.406999999999996</v>
      </c>
      <c r="M29" s="216">
        <f t="shared" si="2"/>
        <v>1273.1424784243666</v>
      </c>
      <c r="N29" s="563">
        <f t="shared" si="0"/>
        <v>43572</v>
      </c>
    </row>
    <row r="30" spans="1:14" x14ac:dyDescent="0.25">
      <c r="A30" s="188" t="s">
        <v>530</v>
      </c>
      <c r="B30" s="188" t="s">
        <v>531</v>
      </c>
      <c r="C30" s="188" t="s">
        <v>532</v>
      </c>
      <c r="D30" s="560">
        <v>89295</v>
      </c>
      <c r="E30" s="188" t="s">
        <v>98</v>
      </c>
      <c r="F30" s="561">
        <v>1</v>
      </c>
      <c r="G30" s="188" t="s">
        <v>13</v>
      </c>
      <c r="H30" s="188" t="s">
        <v>533</v>
      </c>
      <c r="I30" s="562">
        <v>43573</v>
      </c>
      <c r="J30" s="562">
        <v>43579</v>
      </c>
      <c r="K30" s="6" t="str">
        <f t="shared" si="1"/>
        <v>PP-ICP</v>
      </c>
      <c r="L30" s="14">
        <f>VLOOKUP(J30,'USD to INR'!$B$2:$G$560,6,TRUE)</f>
        <v>69.849999999999994</v>
      </c>
      <c r="M30" s="216">
        <f t="shared" si="2"/>
        <v>1278.3822476735863</v>
      </c>
      <c r="N30" s="563">
        <f t="shared" si="0"/>
        <v>43579</v>
      </c>
    </row>
    <row r="31" spans="1:14" x14ac:dyDescent="0.25">
      <c r="A31" s="188" t="s">
        <v>530</v>
      </c>
      <c r="B31" s="188" t="s">
        <v>531</v>
      </c>
      <c r="C31" s="188" t="s">
        <v>532</v>
      </c>
      <c r="D31" s="560">
        <v>90945</v>
      </c>
      <c r="E31" s="188" t="s">
        <v>98</v>
      </c>
      <c r="F31" s="561">
        <v>1</v>
      </c>
      <c r="G31" s="188" t="s">
        <v>13</v>
      </c>
      <c r="H31" s="188" t="s">
        <v>533</v>
      </c>
      <c r="I31" s="562">
        <v>43580</v>
      </c>
      <c r="J31" s="562">
        <v>43585</v>
      </c>
      <c r="K31" s="6" t="str">
        <f t="shared" si="1"/>
        <v>PP-ICP</v>
      </c>
      <c r="L31" s="14">
        <f>VLOOKUP(J31,'USD to INR'!$B$2:$G$560,6,TRUE)</f>
        <v>69.094999999999999</v>
      </c>
      <c r="M31" s="216">
        <f t="shared" si="2"/>
        <v>1316.2312757797235</v>
      </c>
      <c r="N31" s="563">
        <f t="shared" si="0"/>
        <v>43585</v>
      </c>
    </row>
    <row r="32" spans="1:14" x14ac:dyDescent="0.25">
      <c r="A32" s="188" t="s">
        <v>530</v>
      </c>
      <c r="B32" s="188" t="s">
        <v>531</v>
      </c>
      <c r="C32" s="188" t="s">
        <v>532</v>
      </c>
      <c r="D32" s="560">
        <v>90845</v>
      </c>
      <c r="E32" s="188" t="s">
        <v>98</v>
      </c>
      <c r="F32" s="561">
        <v>1</v>
      </c>
      <c r="G32" s="188" t="s">
        <v>13</v>
      </c>
      <c r="H32" s="188" t="s">
        <v>533</v>
      </c>
      <c r="I32" s="562">
        <v>43586</v>
      </c>
      <c r="J32" s="562">
        <v>43593</v>
      </c>
      <c r="K32" s="6" t="str">
        <f t="shared" si="1"/>
        <v>PP-ICP</v>
      </c>
      <c r="L32" s="14">
        <f>VLOOKUP(J32,'USD to INR'!$B$2:$G$560,6,TRUE)</f>
        <v>70.015000000000001</v>
      </c>
      <c r="M32" s="216">
        <f t="shared" si="2"/>
        <v>1297.5076769263728</v>
      </c>
      <c r="N32" s="563">
        <f t="shared" si="0"/>
        <v>43593</v>
      </c>
    </row>
    <row r="33" spans="1:14" x14ac:dyDescent="0.25">
      <c r="A33" s="188" t="s">
        <v>530</v>
      </c>
      <c r="B33" s="188" t="s">
        <v>531</v>
      </c>
      <c r="C33" s="188" t="s">
        <v>532</v>
      </c>
      <c r="D33" s="560">
        <v>90645</v>
      </c>
      <c r="E33" s="188" t="s">
        <v>98</v>
      </c>
      <c r="F33" s="561">
        <v>1</v>
      </c>
      <c r="G33" s="188" t="s">
        <v>13</v>
      </c>
      <c r="H33" s="188" t="s">
        <v>533</v>
      </c>
      <c r="I33" s="562">
        <v>43594</v>
      </c>
      <c r="J33" s="562">
        <v>43616</v>
      </c>
      <c r="K33" s="6" t="str">
        <f t="shared" si="1"/>
        <v>PP-ICP</v>
      </c>
      <c r="L33" s="14">
        <f>VLOOKUP(J33,'USD to INR'!$B$2:$G$560,6,TRUE)</f>
        <v>69.58</v>
      </c>
      <c r="M33" s="216">
        <f t="shared" si="2"/>
        <v>1302.7450416786432</v>
      </c>
      <c r="N33" s="563">
        <f t="shared" si="0"/>
        <v>43616</v>
      </c>
    </row>
    <row r="34" spans="1:14" x14ac:dyDescent="0.25">
      <c r="A34" s="188" t="s">
        <v>530</v>
      </c>
      <c r="B34" s="188" t="s">
        <v>531</v>
      </c>
      <c r="C34" s="188" t="s">
        <v>532</v>
      </c>
      <c r="D34" s="560">
        <v>88797</v>
      </c>
      <c r="E34" s="188" t="s">
        <v>98</v>
      </c>
      <c r="F34" s="561">
        <v>1</v>
      </c>
      <c r="G34" s="188" t="s">
        <v>13</v>
      </c>
      <c r="H34" s="188" t="s">
        <v>533</v>
      </c>
      <c r="I34" s="562">
        <v>43617</v>
      </c>
      <c r="J34" s="562">
        <v>43628</v>
      </c>
      <c r="K34" s="6" t="str">
        <f t="shared" si="1"/>
        <v>PP-ICP</v>
      </c>
      <c r="L34" s="14">
        <f>VLOOKUP(J34,'USD to INR'!$B$2:$G$560,6,TRUE)</f>
        <v>69.832999999999998</v>
      </c>
      <c r="M34" s="216">
        <f t="shared" si="2"/>
        <v>1271.5621554279496</v>
      </c>
      <c r="N34" s="563">
        <f t="shared" si="0"/>
        <v>43628</v>
      </c>
    </row>
    <row r="35" spans="1:14" x14ac:dyDescent="0.25">
      <c r="A35" s="188" t="s">
        <v>530</v>
      </c>
      <c r="B35" s="188" t="s">
        <v>531</v>
      </c>
      <c r="C35" s="188" t="s">
        <v>532</v>
      </c>
      <c r="D35" s="560">
        <v>86947</v>
      </c>
      <c r="E35" s="188" t="s">
        <v>98</v>
      </c>
      <c r="F35" s="561">
        <v>1</v>
      </c>
      <c r="G35" s="188" t="s">
        <v>13</v>
      </c>
      <c r="H35" s="188" t="s">
        <v>533</v>
      </c>
      <c r="I35" s="562">
        <v>43629</v>
      </c>
      <c r="J35" s="562">
        <v>43635</v>
      </c>
      <c r="K35" s="6" t="str">
        <f t="shared" si="1"/>
        <v>PP-ICP</v>
      </c>
      <c r="L35" s="14">
        <f>VLOOKUP(J35,'USD to INR'!$B$2:$G$560,6,TRUE)</f>
        <v>69.614999999999995</v>
      </c>
      <c r="M35" s="216">
        <f t="shared" si="2"/>
        <v>1248.9693313222726</v>
      </c>
      <c r="N35" s="563">
        <f t="shared" si="0"/>
        <v>43635</v>
      </c>
    </row>
    <row r="36" spans="1:14" x14ac:dyDescent="0.25">
      <c r="A36" s="188" t="s">
        <v>530</v>
      </c>
      <c r="B36" s="188" t="s">
        <v>531</v>
      </c>
      <c r="C36" s="188" t="s">
        <v>532</v>
      </c>
      <c r="D36" s="560">
        <v>84170</v>
      </c>
      <c r="E36" s="188" t="s">
        <v>98</v>
      </c>
      <c r="F36" s="561">
        <v>1</v>
      </c>
      <c r="G36" s="188" t="s">
        <v>13</v>
      </c>
      <c r="H36" s="188" t="s">
        <v>533</v>
      </c>
      <c r="I36" s="562">
        <v>43636</v>
      </c>
      <c r="J36" s="562">
        <v>43646</v>
      </c>
      <c r="K36" s="6" t="str">
        <f t="shared" si="1"/>
        <v>PP-ICP</v>
      </c>
      <c r="L36" s="14">
        <f>VLOOKUP(J36,'USD to INR'!$B$2:$G$560,6,TRUE)</f>
        <v>68.45</v>
      </c>
      <c r="M36" s="216">
        <f t="shared" si="2"/>
        <v>1229.6566837107378</v>
      </c>
      <c r="N36" s="563">
        <f t="shared" si="0"/>
        <v>43646</v>
      </c>
    </row>
    <row r="37" spans="1:14" x14ac:dyDescent="0.25">
      <c r="A37" s="188" t="s">
        <v>530</v>
      </c>
      <c r="B37" s="188" t="s">
        <v>531</v>
      </c>
      <c r="C37" s="188" t="s">
        <v>532</v>
      </c>
      <c r="D37" s="560">
        <v>84110</v>
      </c>
      <c r="E37" s="188" t="s">
        <v>98</v>
      </c>
      <c r="F37" s="561">
        <v>1</v>
      </c>
      <c r="G37" s="188" t="s">
        <v>13</v>
      </c>
      <c r="H37" s="188" t="s">
        <v>533</v>
      </c>
      <c r="I37" s="562">
        <v>43647</v>
      </c>
      <c r="J37" s="562">
        <v>43656</v>
      </c>
      <c r="K37" s="6" t="str">
        <f t="shared" si="1"/>
        <v>PP-ICP</v>
      </c>
      <c r="L37" s="14">
        <f>VLOOKUP(J37,'USD to INR'!$B$2:$G$560,6,TRUE)</f>
        <v>68.56</v>
      </c>
      <c r="M37" s="216">
        <f t="shared" si="2"/>
        <v>1226.808634772462</v>
      </c>
      <c r="N37" s="563">
        <f t="shared" si="0"/>
        <v>43656</v>
      </c>
    </row>
    <row r="38" spans="1:14" x14ac:dyDescent="0.25">
      <c r="A38" s="188" t="s">
        <v>530</v>
      </c>
      <c r="B38" s="188" t="s">
        <v>531</v>
      </c>
      <c r="C38" s="188" t="s">
        <v>532</v>
      </c>
      <c r="D38" s="560">
        <v>84850</v>
      </c>
      <c r="E38" s="188" t="s">
        <v>98</v>
      </c>
      <c r="F38" s="561">
        <v>1</v>
      </c>
      <c r="G38" s="188" t="s">
        <v>13</v>
      </c>
      <c r="H38" s="188" t="s">
        <v>533</v>
      </c>
      <c r="I38" s="562">
        <v>43657</v>
      </c>
      <c r="J38" s="562">
        <v>43677</v>
      </c>
      <c r="K38" s="6" t="str">
        <f t="shared" si="1"/>
        <v>PP-ICP</v>
      </c>
      <c r="L38" s="14">
        <f>VLOOKUP(J38,'USD to INR'!$B$2:$G$560,6,TRUE)</f>
        <v>69.7</v>
      </c>
      <c r="M38" s="216">
        <f t="shared" si="2"/>
        <v>1217.3601147776183</v>
      </c>
      <c r="N38" s="563">
        <f t="shared" si="0"/>
        <v>43677</v>
      </c>
    </row>
    <row r="39" spans="1:14" x14ac:dyDescent="0.25">
      <c r="A39" s="188" t="s">
        <v>530</v>
      </c>
      <c r="B39" s="188" t="s">
        <v>531</v>
      </c>
      <c r="C39" s="188" t="s">
        <v>532</v>
      </c>
      <c r="D39" s="560">
        <v>84780</v>
      </c>
      <c r="E39" s="188" t="s">
        <v>98</v>
      </c>
      <c r="F39" s="561">
        <v>1</v>
      </c>
      <c r="G39" s="188" t="s">
        <v>13</v>
      </c>
      <c r="H39" s="188" t="s">
        <v>533</v>
      </c>
      <c r="I39" s="562">
        <v>43678</v>
      </c>
      <c r="J39" s="562">
        <v>43684</v>
      </c>
      <c r="K39" s="6" t="str">
        <f t="shared" si="1"/>
        <v>PP-ICP</v>
      </c>
      <c r="L39" s="14">
        <f>VLOOKUP(J39,'USD to INR'!$B$2:$G$560,6,TRUE)</f>
        <v>70.924000000000007</v>
      </c>
      <c r="M39" s="216">
        <f t="shared" si="2"/>
        <v>1195.3640516609328</v>
      </c>
      <c r="N39" s="563">
        <f t="shared" si="0"/>
        <v>43684</v>
      </c>
    </row>
    <row r="40" spans="1:14" x14ac:dyDescent="0.25">
      <c r="A40" s="188" t="s">
        <v>530</v>
      </c>
      <c r="B40" s="188" t="s">
        <v>531</v>
      </c>
      <c r="C40" s="188" t="s">
        <v>532</v>
      </c>
      <c r="D40" s="560">
        <v>86170</v>
      </c>
      <c r="E40" s="188" t="s">
        <v>98</v>
      </c>
      <c r="F40" s="561">
        <v>1</v>
      </c>
      <c r="G40" s="188" t="s">
        <v>13</v>
      </c>
      <c r="H40" s="188" t="s">
        <v>533</v>
      </c>
      <c r="I40" s="562">
        <v>43685</v>
      </c>
      <c r="J40" s="562">
        <v>43708</v>
      </c>
      <c r="K40" s="6" t="str">
        <f t="shared" si="1"/>
        <v>PP-ICP</v>
      </c>
      <c r="L40" s="14">
        <f>VLOOKUP(J40,'USD to INR'!$B$2:$G$560,6,TRUE)</f>
        <v>71.453000000000003</v>
      </c>
      <c r="M40" s="216">
        <f t="shared" si="2"/>
        <v>1205.9675590947895</v>
      </c>
      <c r="N40" s="563">
        <f t="shared" si="0"/>
        <v>43708</v>
      </c>
    </row>
    <row r="41" spans="1:14" x14ac:dyDescent="0.25">
      <c r="A41" s="188" t="s">
        <v>530</v>
      </c>
      <c r="B41" s="188" t="s">
        <v>531</v>
      </c>
      <c r="C41" s="188" t="s">
        <v>532</v>
      </c>
      <c r="D41" s="560">
        <v>87090</v>
      </c>
      <c r="E41" s="188" t="s">
        <v>98</v>
      </c>
      <c r="F41" s="561">
        <v>1</v>
      </c>
      <c r="G41" s="188" t="s">
        <v>13</v>
      </c>
      <c r="H41" s="188" t="s">
        <v>533</v>
      </c>
      <c r="I41" s="562">
        <v>43709</v>
      </c>
      <c r="J41" s="562">
        <v>43726</v>
      </c>
      <c r="K41" s="6" t="str">
        <f t="shared" si="1"/>
        <v>PP-ICP</v>
      </c>
      <c r="L41" s="14">
        <f>VLOOKUP(J41,'USD to INR'!$B$2:$G$560,6,TRUE)</f>
        <v>71.075000000000003</v>
      </c>
      <c r="M41" s="216">
        <f t="shared" si="2"/>
        <v>1225.3253605346465</v>
      </c>
      <c r="N41" s="563">
        <f t="shared" si="0"/>
        <v>43726</v>
      </c>
    </row>
    <row r="42" spans="1:14" x14ac:dyDescent="0.25">
      <c r="A42" s="188" t="s">
        <v>530</v>
      </c>
      <c r="B42" s="188" t="s">
        <v>531</v>
      </c>
      <c r="C42" s="188" t="s">
        <v>532</v>
      </c>
      <c r="D42" s="560">
        <v>88020</v>
      </c>
      <c r="E42" s="188" t="s">
        <v>98</v>
      </c>
      <c r="F42" s="561">
        <v>1</v>
      </c>
      <c r="G42" s="188" t="s">
        <v>13</v>
      </c>
      <c r="H42" s="188" t="s">
        <v>533</v>
      </c>
      <c r="I42" s="562">
        <v>43727</v>
      </c>
      <c r="J42" s="562">
        <v>43738</v>
      </c>
      <c r="K42" s="6" t="str">
        <f t="shared" si="1"/>
        <v>PP-ICP</v>
      </c>
      <c r="L42" s="14">
        <f>VLOOKUP(J42,'USD to INR'!$B$2:$G$560,6,TRUE)</f>
        <v>70.825000000000003</v>
      </c>
      <c r="M42" s="216">
        <f t="shared" si="2"/>
        <v>1242.7815037063183</v>
      </c>
      <c r="N42" s="563">
        <f t="shared" si="0"/>
        <v>43738</v>
      </c>
    </row>
    <row r="43" spans="1:14" x14ac:dyDescent="0.25">
      <c r="A43" s="188" t="s">
        <v>530</v>
      </c>
      <c r="B43" s="188" t="s">
        <v>531</v>
      </c>
      <c r="C43" s="188" t="s">
        <v>532</v>
      </c>
      <c r="D43" s="560">
        <v>88010</v>
      </c>
      <c r="E43" s="188" t="s">
        <v>98</v>
      </c>
      <c r="F43" s="561">
        <v>1</v>
      </c>
      <c r="G43" s="188" t="s">
        <v>13</v>
      </c>
      <c r="H43" s="188" t="s">
        <v>533</v>
      </c>
      <c r="I43" s="562">
        <v>43739</v>
      </c>
      <c r="J43" s="562">
        <v>43747</v>
      </c>
      <c r="K43" s="6" t="str">
        <f t="shared" si="1"/>
        <v>PP-ICP</v>
      </c>
      <c r="L43" s="14">
        <f>VLOOKUP(J43,'USD to INR'!$B$2:$G$560,6,TRUE)</f>
        <v>70.924000000000007</v>
      </c>
      <c r="M43" s="216">
        <f t="shared" si="2"/>
        <v>1240.9057582764649</v>
      </c>
      <c r="N43" s="563">
        <f t="shared" si="0"/>
        <v>43747</v>
      </c>
    </row>
    <row r="44" spans="1:14" x14ac:dyDescent="0.25">
      <c r="A44" s="188" t="s">
        <v>530</v>
      </c>
      <c r="B44" s="188" t="s">
        <v>531</v>
      </c>
      <c r="C44" s="188" t="s">
        <v>532</v>
      </c>
      <c r="D44" s="560">
        <v>84320</v>
      </c>
      <c r="E44" s="188" t="s">
        <v>98</v>
      </c>
      <c r="F44" s="561">
        <v>1</v>
      </c>
      <c r="G44" s="188" t="s">
        <v>13</v>
      </c>
      <c r="H44" s="188" t="s">
        <v>533</v>
      </c>
      <c r="I44" s="562">
        <v>43748</v>
      </c>
      <c r="J44" s="562">
        <v>43754</v>
      </c>
      <c r="K44" s="6" t="str">
        <f t="shared" si="1"/>
        <v>PP-ICP</v>
      </c>
      <c r="L44" s="14">
        <f>VLOOKUP(J44,'USD to INR'!$B$2:$G$560,6,TRUE)</f>
        <v>71.09</v>
      </c>
      <c r="M44" s="216">
        <f t="shared" si="2"/>
        <v>1186.1021240680827</v>
      </c>
      <c r="N44" s="563">
        <f t="shared" si="0"/>
        <v>43754</v>
      </c>
    </row>
    <row r="45" spans="1:14" x14ac:dyDescent="0.25">
      <c r="A45" s="188" t="s">
        <v>530</v>
      </c>
      <c r="B45" s="188" t="s">
        <v>531</v>
      </c>
      <c r="C45" s="188" t="s">
        <v>532</v>
      </c>
      <c r="D45" s="560">
        <v>81540</v>
      </c>
      <c r="E45" s="188" t="s">
        <v>98</v>
      </c>
      <c r="F45" s="561">
        <v>1</v>
      </c>
      <c r="G45" s="188" t="s">
        <v>13</v>
      </c>
      <c r="H45" s="188" t="s">
        <v>533</v>
      </c>
      <c r="I45" s="562">
        <v>43755</v>
      </c>
      <c r="J45" s="562">
        <v>43769</v>
      </c>
      <c r="K45" s="6" t="str">
        <f t="shared" si="1"/>
        <v>PP-ICP</v>
      </c>
      <c r="L45" s="14">
        <f>VLOOKUP(J45,'USD to INR'!$B$2:$G$560,6,TRUE)</f>
        <v>70.760000000000005</v>
      </c>
      <c r="M45" s="216">
        <f t="shared" si="2"/>
        <v>1152.3459581684567</v>
      </c>
      <c r="N45" s="563">
        <f t="shared" si="0"/>
        <v>43769</v>
      </c>
    </row>
    <row r="46" spans="1:14" x14ac:dyDescent="0.25">
      <c r="A46" s="188" t="s">
        <v>530</v>
      </c>
      <c r="B46" s="188" t="s">
        <v>531</v>
      </c>
      <c r="C46" s="188" t="s">
        <v>532</v>
      </c>
      <c r="D46" s="560">
        <v>80620</v>
      </c>
      <c r="E46" s="188" t="s">
        <v>98</v>
      </c>
      <c r="F46" s="561">
        <v>1</v>
      </c>
      <c r="G46" s="188" t="s">
        <v>13</v>
      </c>
      <c r="H46" s="188" t="s">
        <v>533</v>
      </c>
      <c r="I46" s="562">
        <v>43770</v>
      </c>
      <c r="J46" s="562">
        <v>43775</v>
      </c>
      <c r="K46" s="6" t="str">
        <f t="shared" si="1"/>
        <v>PP-ICP</v>
      </c>
      <c r="L46" s="14">
        <f>VLOOKUP(J46,'USD to INR'!$B$2:$G$560,6,TRUE)</f>
        <v>71.36</v>
      </c>
      <c r="M46" s="216">
        <f t="shared" si="2"/>
        <v>1129.7645739910315</v>
      </c>
      <c r="N46" s="563">
        <f t="shared" si="0"/>
        <v>43775</v>
      </c>
    </row>
    <row r="47" spans="1:14" x14ac:dyDescent="0.25">
      <c r="A47" s="188" t="s">
        <v>530</v>
      </c>
      <c r="B47" s="188" t="s">
        <v>531</v>
      </c>
      <c r="C47" s="188" t="s">
        <v>532</v>
      </c>
      <c r="D47" s="560">
        <v>78770</v>
      </c>
      <c r="E47" s="188" t="s">
        <v>98</v>
      </c>
      <c r="F47" s="561">
        <v>1</v>
      </c>
      <c r="G47" s="188" t="s">
        <v>13</v>
      </c>
      <c r="H47" s="188" t="s">
        <v>533</v>
      </c>
      <c r="I47" s="562">
        <v>43776</v>
      </c>
      <c r="J47" s="562">
        <v>43789</v>
      </c>
      <c r="K47" s="6" t="str">
        <f t="shared" si="1"/>
        <v>PP-ICP</v>
      </c>
      <c r="L47" s="14">
        <f>VLOOKUP(J47,'USD to INR'!$B$2:$G$560,6,TRUE)</f>
        <v>71.792000000000002</v>
      </c>
      <c r="M47" s="216">
        <f t="shared" si="2"/>
        <v>1097.1974593269445</v>
      </c>
      <c r="N47" s="563">
        <f t="shared" si="0"/>
        <v>43789</v>
      </c>
    </row>
    <row r="48" spans="1:14" x14ac:dyDescent="0.25">
      <c r="A48" s="188" t="s">
        <v>530</v>
      </c>
      <c r="B48" s="188" t="s">
        <v>531</v>
      </c>
      <c r="C48" s="188" t="s">
        <v>532</v>
      </c>
      <c r="D48" s="560">
        <v>77390</v>
      </c>
      <c r="E48" s="188" t="s">
        <v>98</v>
      </c>
      <c r="F48" s="561">
        <v>1</v>
      </c>
      <c r="G48" s="188" t="s">
        <v>13</v>
      </c>
      <c r="H48" s="188" t="s">
        <v>533</v>
      </c>
      <c r="I48" s="562">
        <v>43790</v>
      </c>
      <c r="J48" s="562">
        <v>43799</v>
      </c>
      <c r="K48" s="6" t="str">
        <f t="shared" si="1"/>
        <v>PP-ICP</v>
      </c>
      <c r="L48" s="14">
        <f>VLOOKUP(J48,'USD to INR'!$B$2:$G$560,6,TRUE)</f>
        <v>71.748999999999995</v>
      </c>
      <c r="M48" s="216">
        <f t="shared" si="2"/>
        <v>1078.6213048265481</v>
      </c>
      <c r="N48" s="563">
        <f t="shared" si="0"/>
        <v>43799</v>
      </c>
    </row>
    <row r="49" spans="1:14" x14ac:dyDescent="0.25">
      <c r="A49" s="188" t="s">
        <v>530</v>
      </c>
      <c r="B49" s="188" t="s">
        <v>531</v>
      </c>
      <c r="C49" s="188" t="s">
        <v>532</v>
      </c>
      <c r="D49" s="560">
        <v>75080</v>
      </c>
      <c r="E49" s="188" t="s">
        <v>98</v>
      </c>
      <c r="F49" s="561">
        <v>1</v>
      </c>
      <c r="G49" s="188" t="s">
        <v>13</v>
      </c>
      <c r="H49" s="188" t="s">
        <v>533</v>
      </c>
      <c r="I49" s="562">
        <v>43800</v>
      </c>
      <c r="J49" s="562">
        <v>43830</v>
      </c>
      <c r="K49" s="6" t="str">
        <f t="shared" si="1"/>
        <v>PP-ICP</v>
      </c>
      <c r="L49" s="14">
        <f>VLOOKUP(J49,'USD to INR'!$B$2:$G$560,6,TRUE)</f>
        <v>71.77</v>
      </c>
      <c r="M49" s="216">
        <f t="shared" si="2"/>
        <v>1046.1195485578933</v>
      </c>
      <c r="N49" s="563">
        <f t="shared" si="0"/>
        <v>43830</v>
      </c>
    </row>
    <row r="50" spans="1:14" x14ac:dyDescent="0.25">
      <c r="A50" s="188" t="s">
        <v>530</v>
      </c>
      <c r="B50" s="188" t="s">
        <v>531</v>
      </c>
      <c r="C50" s="188" t="s">
        <v>532</v>
      </c>
      <c r="D50" s="560">
        <v>75080</v>
      </c>
      <c r="E50" s="188" t="s">
        <v>98</v>
      </c>
      <c r="F50" s="561">
        <v>1</v>
      </c>
      <c r="G50" s="188" t="s">
        <v>13</v>
      </c>
      <c r="H50" s="188" t="s">
        <v>533</v>
      </c>
      <c r="I50" s="562">
        <v>43831</v>
      </c>
      <c r="J50" s="562">
        <v>43838</v>
      </c>
      <c r="K50" s="6" t="str">
        <f t="shared" si="1"/>
        <v>PP-ICP</v>
      </c>
      <c r="L50" s="14">
        <f>VLOOKUP(J50,'USD to INR'!$B$2:$G$560,6,TRUE)</f>
        <v>70.959999999999994</v>
      </c>
      <c r="M50" s="216">
        <f t="shared" si="2"/>
        <v>1058.0608793686586</v>
      </c>
      <c r="N50" s="563">
        <f t="shared" si="0"/>
        <v>43838</v>
      </c>
    </row>
    <row r="51" spans="1:14" x14ac:dyDescent="0.25">
      <c r="A51" s="188" t="s">
        <v>530</v>
      </c>
      <c r="B51" s="188" t="s">
        <v>531</v>
      </c>
      <c r="C51" s="188" t="s">
        <v>532</v>
      </c>
      <c r="D51" s="560">
        <v>76000</v>
      </c>
      <c r="E51" s="188" t="s">
        <v>98</v>
      </c>
      <c r="F51" s="561">
        <v>1</v>
      </c>
      <c r="G51" s="188" t="s">
        <v>13</v>
      </c>
      <c r="H51" s="188" t="s">
        <v>533</v>
      </c>
      <c r="I51" s="562">
        <v>43839</v>
      </c>
      <c r="J51" s="562">
        <v>43861</v>
      </c>
      <c r="K51" s="6" t="str">
        <f t="shared" si="1"/>
        <v>PP-ICP</v>
      </c>
      <c r="L51" s="14">
        <f>VLOOKUP(J51,'USD to INR'!$B$2:$G$560,6,TRUE)</f>
        <v>71.555000000000007</v>
      </c>
      <c r="M51" s="216">
        <f t="shared" si="2"/>
        <v>1062.1200475158967</v>
      </c>
      <c r="N51" s="563">
        <f t="shared" si="0"/>
        <v>43861</v>
      </c>
    </row>
    <row r="52" spans="1:14" x14ac:dyDescent="0.25">
      <c r="A52" s="188" t="s">
        <v>530</v>
      </c>
      <c r="B52" s="188" t="s">
        <v>531</v>
      </c>
      <c r="C52" s="188" t="s">
        <v>532</v>
      </c>
      <c r="D52" s="560">
        <v>76000</v>
      </c>
      <c r="E52" s="188" t="s">
        <v>98</v>
      </c>
      <c r="F52" s="561">
        <v>1</v>
      </c>
      <c r="G52" s="188" t="s">
        <v>13</v>
      </c>
      <c r="H52" s="188" t="s">
        <v>533</v>
      </c>
      <c r="I52" s="562">
        <v>43862</v>
      </c>
      <c r="J52" s="562">
        <v>43873</v>
      </c>
      <c r="K52" s="6" t="str">
        <f t="shared" si="1"/>
        <v>PP-ICP</v>
      </c>
      <c r="L52" s="14">
        <f>VLOOKUP(J52,'USD to INR'!$B$2:$G$560,6,TRUE)</f>
        <v>71.528000000000006</v>
      </c>
      <c r="M52" s="216">
        <f t="shared" si="2"/>
        <v>1062.5209708086343</v>
      </c>
      <c r="N52" s="563">
        <f t="shared" si="0"/>
        <v>43873</v>
      </c>
    </row>
    <row r="53" spans="1:14" x14ac:dyDescent="0.25">
      <c r="A53" s="188" t="s">
        <v>530</v>
      </c>
      <c r="B53" s="188" t="s">
        <v>531</v>
      </c>
      <c r="C53" s="188" t="s">
        <v>532</v>
      </c>
      <c r="D53" s="560">
        <v>75540</v>
      </c>
      <c r="E53" s="188" t="s">
        <v>98</v>
      </c>
      <c r="F53" s="561">
        <v>1</v>
      </c>
      <c r="G53" s="188" t="s">
        <v>13</v>
      </c>
      <c r="H53" s="188" t="s">
        <v>533</v>
      </c>
      <c r="I53" s="562">
        <v>43874</v>
      </c>
      <c r="J53" s="562">
        <v>43880</v>
      </c>
      <c r="K53" s="6" t="str">
        <f t="shared" si="1"/>
        <v>PP-ICP</v>
      </c>
      <c r="L53" s="14">
        <f>VLOOKUP(J53,'USD to INR'!$B$2:$G$560,6,TRUE)</f>
        <v>71.88</v>
      </c>
      <c r="M53" s="216">
        <f t="shared" si="2"/>
        <v>1050.9181969949918</v>
      </c>
      <c r="N53" s="563">
        <f t="shared" si="0"/>
        <v>43880</v>
      </c>
    </row>
    <row r="54" spans="1:14" x14ac:dyDescent="0.25">
      <c r="A54" s="188" t="s">
        <v>530</v>
      </c>
      <c r="B54" s="188" t="s">
        <v>531</v>
      </c>
      <c r="C54" s="188" t="s">
        <v>532</v>
      </c>
      <c r="D54" s="560">
        <v>74620</v>
      </c>
      <c r="E54" s="188" t="s">
        <v>98</v>
      </c>
      <c r="F54" s="561">
        <v>1</v>
      </c>
      <c r="G54" s="188" t="s">
        <v>13</v>
      </c>
      <c r="H54" s="188" t="s">
        <v>533</v>
      </c>
      <c r="I54" s="562">
        <v>43881</v>
      </c>
      <c r="J54" s="562">
        <v>43890</v>
      </c>
      <c r="K54" s="6" t="str">
        <f t="shared" si="1"/>
        <v>PP-ICP</v>
      </c>
      <c r="L54" s="14">
        <f>VLOOKUP(J54,'USD to INR'!$B$2:$G$560,6,TRUE)</f>
        <v>72.539000000000001</v>
      </c>
      <c r="M54" s="216">
        <f t="shared" si="2"/>
        <v>1028.6880161016832</v>
      </c>
      <c r="N54" s="563">
        <f t="shared" si="0"/>
        <v>43890</v>
      </c>
    </row>
    <row r="55" spans="1:14" x14ac:dyDescent="0.25">
      <c r="A55" s="188" t="s">
        <v>530</v>
      </c>
      <c r="B55" s="188" t="s">
        <v>531</v>
      </c>
      <c r="C55" s="188" t="s">
        <v>532</v>
      </c>
      <c r="D55" s="560">
        <v>73250</v>
      </c>
      <c r="E55" s="188" t="s">
        <v>98</v>
      </c>
      <c r="F55" s="561">
        <v>1</v>
      </c>
      <c r="G55" s="188" t="s">
        <v>13</v>
      </c>
      <c r="H55" s="188" t="s">
        <v>533</v>
      </c>
      <c r="I55" s="562">
        <v>43891</v>
      </c>
      <c r="J55" s="562">
        <v>43908</v>
      </c>
      <c r="K55" s="6" t="str">
        <f t="shared" si="1"/>
        <v>PP-ICP</v>
      </c>
      <c r="L55" s="14">
        <f>VLOOKUP(J55,'USD to INR'!$B$2:$G$560,6,TRUE)</f>
        <v>75.397999999999996</v>
      </c>
      <c r="M55" s="216">
        <f t="shared" si="2"/>
        <v>971.5111806679223</v>
      </c>
      <c r="N55" s="563">
        <f t="shared" si="0"/>
        <v>43908</v>
      </c>
    </row>
    <row r="56" spans="1:14" x14ac:dyDescent="0.25">
      <c r="A56" s="188" t="s">
        <v>530</v>
      </c>
      <c r="B56" s="188" t="s">
        <v>531</v>
      </c>
      <c r="C56" s="188" t="s">
        <v>532</v>
      </c>
      <c r="D56" s="560">
        <v>72330</v>
      </c>
      <c r="E56" s="188" t="s">
        <v>98</v>
      </c>
      <c r="F56" s="561">
        <v>1</v>
      </c>
      <c r="G56" s="188" t="s">
        <v>13</v>
      </c>
      <c r="H56" s="188" t="s">
        <v>533</v>
      </c>
      <c r="I56" s="562">
        <v>43909</v>
      </c>
      <c r="J56" s="562">
        <v>43921</v>
      </c>
      <c r="K56" s="6" t="str">
        <f t="shared" si="1"/>
        <v>PP-ICP</v>
      </c>
      <c r="L56" s="14">
        <f>VLOOKUP(J56,'USD to INR'!$B$2:$G$560,6,TRUE)</f>
        <v>76.241</v>
      </c>
      <c r="M56" s="216">
        <f t="shared" si="2"/>
        <v>948.70214189215778</v>
      </c>
      <c r="N56" s="563">
        <f t="shared" si="0"/>
        <v>43921</v>
      </c>
    </row>
    <row r="57" spans="1:14" x14ac:dyDescent="0.25">
      <c r="A57" s="188" t="s">
        <v>530</v>
      </c>
      <c r="B57" s="188" t="s">
        <v>531</v>
      </c>
      <c r="C57" s="188" t="s">
        <v>532</v>
      </c>
      <c r="D57" s="560">
        <v>70500</v>
      </c>
      <c r="E57" s="188" t="s">
        <v>98</v>
      </c>
      <c r="F57" s="561">
        <v>1</v>
      </c>
      <c r="G57" s="188" t="s">
        <v>13</v>
      </c>
      <c r="H57" s="188" t="s">
        <v>533</v>
      </c>
      <c r="I57" s="562">
        <v>43922</v>
      </c>
      <c r="J57" s="562">
        <v>43930</v>
      </c>
      <c r="K57" s="6" t="str">
        <f t="shared" si="1"/>
        <v>PP-ICP</v>
      </c>
      <c r="L57" s="14">
        <f>VLOOKUP(J57,'USD to INR'!$B$2:$G$560,6,TRUE)</f>
        <v>75.879000000000005</v>
      </c>
      <c r="M57" s="216">
        <f t="shared" si="2"/>
        <v>929.1108211758193</v>
      </c>
      <c r="N57" s="563">
        <f t="shared" si="0"/>
        <v>43930</v>
      </c>
    </row>
    <row r="58" spans="1:14" x14ac:dyDescent="0.25">
      <c r="A58" s="188" t="s">
        <v>530</v>
      </c>
      <c r="B58" s="188" t="s">
        <v>531</v>
      </c>
      <c r="C58" s="188" t="s">
        <v>532</v>
      </c>
      <c r="D58" s="560">
        <v>67730</v>
      </c>
      <c r="E58" s="188" t="s">
        <v>98</v>
      </c>
      <c r="F58" s="561">
        <v>1</v>
      </c>
      <c r="G58" s="188" t="s">
        <v>13</v>
      </c>
      <c r="H58" s="188" t="s">
        <v>533</v>
      </c>
      <c r="I58" s="562">
        <v>43931</v>
      </c>
      <c r="J58" s="562">
        <v>43951</v>
      </c>
      <c r="K58" s="6" t="str">
        <f t="shared" si="1"/>
        <v>PP-ICP</v>
      </c>
      <c r="L58" s="14">
        <f>VLOOKUP(J58,'USD to INR'!$B$2:$G$560,6,TRUE)</f>
        <v>75.748999999999995</v>
      </c>
      <c r="M58" s="216">
        <f t="shared" si="2"/>
        <v>894.1372163328889</v>
      </c>
      <c r="N58" s="563">
        <f t="shared" si="0"/>
        <v>43951</v>
      </c>
    </row>
    <row r="59" spans="1:14" x14ac:dyDescent="0.25">
      <c r="A59" s="188" t="s">
        <v>530</v>
      </c>
      <c r="B59" s="188" t="s">
        <v>531</v>
      </c>
      <c r="C59" s="188" t="s">
        <v>532</v>
      </c>
      <c r="D59" s="560">
        <v>67730</v>
      </c>
      <c r="E59" s="188" t="s">
        <v>98</v>
      </c>
      <c r="F59" s="561">
        <v>1</v>
      </c>
      <c r="G59" s="188" t="s">
        <v>13</v>
      </c>
      <c r="H59" s="188" t="s">
        <v>533</v>
      </c>
      <c r="I59" s="562">
        <v>43952</v>
      </c>
      <c r="J59" s="562">
        <v>43964</v>
      </c>
      <c r="K59" s="6" t="str">
        <f t="shared" si="1"/>
        <v>PP-ICP</v>
      </c>
      <c r="L59" s="14">
        <f>VLOOKUP(J59,'USD to INR'!$B$2:$G$560,6,TRUE)</f>
        <v>75.83</v>
      </c>
      <c r="M59" s="216">
        <f t="shared" si="2"/>
        <v>893.18211789529209</v>
      </c>
      <c r="N59" s="563">
        <f t="shared" si="0"/>
        <v>43964</v>
      </c>
    </row>
    <row r="60" spans="1:14" x14ac:dyDescent="0.25">
      <c r="A60" s="188" t="s">
        <v>530</v>
      </c>
      <c r="B60" s="188" t="s">
        <v>531</v>
      </c>
      <c r="C60" s="188" t="s">
        <v>532</v>
      </c>
      <c r="D60" s="560">
        <v>68660</v>
      </c>
      <c r="E60" s="188" t="s">
        <v>98</v>
      </c>
      <c r="F60" s="561">
        <v>1</v>
      </c>
      <c r="G60" s="188" t="s">
        <v>13</v>
      </c>
      <c r="H60" s="188" t="s">
        <v>533</v>
      </c>
      <c r="I60" s="562">
        <v>43965</v>
      </c>
      <c r="J60" s="562">
        <v>43982</v>
      </c>
      <c r="K60" s="6" t="str">
        <f t="shared" si="1"/>
        <v>PP-ICP</v>
      </c>
      <c r="L60" s="14">
        <f>VLOOKUP(J60,'USD to INR'!$B$2:$G$560,6,TRUE)</f>
        <v>75.56</v>
      </c>
      <c r="M60" s="216">
        <f t="shared" si="2"/>
        <v>908.68184224457377</v>
      </c>
      <c r="N60" s="563">
        <f t="shared" si="0"/>
        <v>43982</v>
      </c>
    </row>
    <row r="61" spans="1:14" x14ac:dyDescent="0.25">
      <c r="A61" s="188" t="s">
        <v>530</v>
      </c>
      <c r="B61" s="188" t="s">
        <v>531</v>
      </c>
      <c r="C61" s="188" t="s">
        <v>532</v>
      </c>
      <c r="D61" s="560">
        <v>71440</v>
      </c>
      <c r="E61" s="188" t="s">
        <v>98</v>
      </c>
      <c r="F61" s="561">
        <v>1</v>
      </c>
      <c r="G61" s="188" t="s">
        <v>13</v>
      </c>
      <c r="H61" s="188" t="s">
        <v>533</v>
      </c>
      <c r="I61" s="562">
        <v>43983</v>
      </c>
      <c r="J61" s="562">
        <v>43992</v>
      </c>
      <c r="K61" s="6" t="str">
        <f t="shared" si="1"/>
        <v>PP-ICP</v>
      </c>
      <c r="L61" s="14">
        <f>VLOOKUP(J61,'USD to INR'!$B$2:$G$560,6,TRUE)</f>
        <v>76.05</v>
      </c>
      <c r="M61" s="216">
        <f t="shared" si="2"/>
        <v>939.38198553583175</v>
      </c>
      <c r="N61" s="563">
        <f t="shared" si="0"/>
        <v>43992</v>
      </c>
    </row>
    <row r="62" spans="1:14" x14ac:dyDescent="0.25">
      <c r="A62" s="188" t="s">
        <v>530</v>
      </c>
      <c r="B62" s="188" t="s">
        <v>531</v>
      </c>
      <c r="C62" s="188" t="s">
        <v>532</v>
      </c>
      <c r="D62" s="560">
        <v>73750</v>
      </c>
      <c r="E62" s="188" t="s">
        <v>98</v>
      </c>
      <c r="F62" s="561">
        <v>1</v>
      </c>
      <c r="G62" s="188" t="s">
        <v>13</v>
      </c>
      <c r="H62" s="188" t="s">
        <v>533</v>
      </c>
      <c r="I62" s="562">
        <v>43993</v>
      </c>
      <c r="J62" s="562">
        <v>44012</v>
      </c>
      <c r="K62" s="6" t="str">
        <f t="shared" si="1"/>
        <v>PP-ICP</v>
      </c>
      <c r="L62" s="14">
        <f>VLOOKUP(J62,'USD to INR'!$B$2:$G$560,6,TRUE)</f>
        <v>74.635999999999996</v>
      </c>
      <c r="M62" s="216">
        <f t="shared" si="2"/>
        <v>988.12905300391242</v>
      </c>
      <c r="N62" s="563">
        <f t="shared" si="0"/>
        <v>44012</v>
      </c>
    </row>
    <row r="63" spans="1:14" x14ac:dyDescent="0.25">
      <c r="A63" s="188" t="s">
        <v>530</v>
      </c>
      <c r="B63" s="188" t="s">
        <v>531</v>
      </c>
      <c r="C63" s="188" t="s">
        <v>532</v>
      </c>
      <c r="D63" s="560">
        <v>75570</v>
      </c>
      <c r="E63" s="188" t="s">
        <v>98</v>
      </c>
      <c r="F63" s="561">
        <v>1</v>
      </c>
      <c r="G63" s="188" t="s">
        <v>13</v>
      </c>
      <c r="H63" s="188" t="s">
        <v>533</v>
      </c>
      <c r="I63" s="562">
        <v>44013</v>
      </c>
      <c r="J63" s="562">
        <v>44027</v>
      </c>
      <c r="K63" s="6" t="str">
        <f t="shared" si="1"/>
        <v>PP-ICP</v>
      </c>
      <c r="L63" s="14">
        <f>VLOOKUP(J63,'USD to INR'!$B$2:$G$560,6,TRUE)</f>
        <v>74.897000000000006</v>
      </c>
      <c r="M63" s="216">
        <f t="shared" si="2"/>
        <v>1008.9856736584909</v>
      </c>
      <c r="N63" s="563">
        <f t="shared" si="0"/>
        <v>44027</v>
      </c>
    </row>
    <row r="64" spans="1:14" x14ac:dyDescent="0.25">
      <c r="A64" s="188" t="s">
        <v>530</v>
      </c>
      <c r="B64" s="188" t="s">
        <v>531</v>
      </c>
      <c r="C64" s="188" t="s">
        <v>532</v>
      </c>
      <c r="D64" s="560">
        <v>76960</v>
      </c>
      <c r="E64" s="188" t="s">
        <v>98</v>
      </c>
      <c r="F64" s="561">
        <v>1</v>
      </c>
      <c r="G64" s="188" t="s">
        <v>13</v>
      </c>
      <c r="H64" s="188" t="s">
        <v>533</v>
      </c>
      <c r="I64" s="562">
        <v>44028</v>
      </c>
      <c r="J64" s="562">
        <v>44043</v>
      </c>
      <c r="K64" s="6" t="str">
        <f t="shared" si="1"/>
        <v>PP-ICP</v>
      </c>
      <c r="L64" s="14">
        <f>VLOOKUP(J64,'USD to INR'!$B$2:$G$560,6,TRUE)</f>
        <v>74.915999999999997</v>
      </c>
      <c r="M64" s="216">
        <f t="shared" si="2"/>
        <v>1027.2838912915799</v>
      </c>
      <c r="N64" s="563">
        <f t="shared" si="0"/>
        <v>44043</v>
      </c>
    </row>
    <row r="65" spans="1:14" x14ac:dyDescent="0.25">
      <c r="A65" s="188" t="s">
        <v>530</v>
      </c>
      <c r="B65" s="188" t="s">
        <v>531</v>
      </c>
      <c r="C65" s="188" t="s">
        <v>532</v>
      </c>
      <c r="D65" s="560">
        <v>76030</v>
      </c>
      <c r="E65" s="188" t="s">
        <v>98</v>
      </c>
      <c r="F65" s="561">
        <v>1</v>
      </c>
      <c r="G65" s="188" t="s">
        <v>13</v>
      </c>
      <c r="H65" s="188" t="s">
        <v>533</v>
      </c>
      <c r="I65" s="562">
        <v>44044</v>
      </c>
      <c r="J65" s="562">
        <v>44055</v>
      </c>
      <c r="K65" s="6" t="str">
        <f t="shared" si="1"/>
        <v>PP-ICP</v>
      </c>
      <c r="L65" s="14">
        <f>VLOOKUP(J65,'USD to INR'!$B$2:$G$560,6,TRUE)</f>
        <v>74.873999999999995</v>
      </c>
      <c r="M65" s="216">
        <f t="shared" si="2"/>
        <v>1015.4392713091328</v>
      </c>
      <c r="N65" s="563">
        <f t="shared" si="0"/>
        <v>44055</v>
      </c>
    </row>
    <row r="66" spans="1:14" x14ac:dyDescent="0.25">
      <c r="A66" s="188" t="s">
        <v>530</v>
      </c>
      <c r="B66" s="188" t="s">
        <v>531</v>
      </c>
      <c r="C66" s="188" t="s">
        <v>532</v>
      </c>
      <c r="D66" s="560">
        <v>75110</v>
      </c>
      <c r="E66" s="188" t="s">
        <v>98</v>
      </c>
      <c r="F66" s="561">
        <v>1</v>
      </c>
      <c r="G66" s="188" t="s">
        <v>13</v>
      </c>
      <c r="H66" s="188" t="s">
        <v>533</v>
      </c>
      <c r="I66" s="562">
        <v>44056</v>
      </c>
      <c r="J66" s="562">
        <v>44074</v>
      </c>
      <c r="K66" s="6" t="str">
        <f t="shared" si="1"/>
        <v>PP-ICP</v>
      </c>
      <c r="L66" s="14">
        <f>VLOOKUP(J66,'USD to INR'!$B$2:$G$560,6,TRUE)</f>
        <v>73.289000000000001</v>
      </c>
      <c r="M66" s="216">
        <f t="shared" si="2"/>
        <v>1024.8468392255318</v>
      </c>
      <c r="N66" s="563">
        <f t="shared" ref="N66:N129" si="3">J66</f>
        <v>44074</v>
      </c>
    </row>
    <row r="67" spans="1:14" x14ac:dyDescent="0.25">
      <c r="A67" s="188" t="s">
        <v>530</v>
      </c>
      <c r="B67" s="188" t="s">
        <v>531</v>
      </c>
      <c r="C67" s="188" t="s">
        <v>532</v>
      </c>
      <c r="D67" s="560">
        <v>75110</v>
      </c>
      <c r="E67" s="188" t="s">
        <v>98</v>
      </c>
      <c r="F67" s="561">
        <v>1</v>
      </c>
      <c r="G67" s="188" t="s">
        <v>13</v>
      </c>
      <c r="H67" s="188" t="s">
        <v>533</v>
      </c>
      <c r="I67" s="562">
        <v>44075</v>
      </c>
      <c r="J67" s="562">
        <v>44090</v>
      </c>
      <c r="K67" s="6" t="str">
        <f t="shared" ref="K67:K130" si="4">VLOOKUP(H67,$V$2:$W$10,2,TRUE)</f>
        <v>PP-ICP</v>
      </c>
      <c r="L67" s="14">
        <f>VLOOKUP(J67,'USD to INR'!$B$2:$G$560,6,TRUE)</f>
        <v>73.537999999999997</v>
      </c>
      <c r="M67" s="216">
        <f t="shared" ref="M67:M130" si="5">D67/L67</f>
        <v>1021.3767032010661</v>
      </c>
      <c r="N67" s="563">
        <f t="shared" si="3"/>
        <v>44090</v>
      </c>
    </row>
    <row r="68" spans="1:14" x14ac:dyDescent="0.25">
      <c r="A68" s="188" t="s">
        <v>530</v>
      </c>
      <c r="B68" s="188" t="s">
        <v>531</v>
      </c>
      <c r="C68" s="188" t="s">
        <v>532</v>
      </c>
      <c r="D68" s="560">
        <v>76500</v>
      </c>
      <c r="E68" s="188" t="s">
        <v>98</v>
      </c>
      <c r="F68" s="561">
        <v>1</v>
      </c>
      <c r="G68" s="188" t="s">
        <v>13</v>
      </c>
      <c r="H68" s="188" t="s">
        <v>533</v>
      </c>
      <c r="I68" s="562">
        <v>44091</v>
      </c>
      <c r="J68" s="562">
        <v>44104</v>
      </c>
      <c r="K68" s="6" t="str">
        <f t="shared" si="4"/>
        <v>PP-ICP</v>
      </c>
      <c r="L68" s="14">
        <f>VLOOKUP(J68,'USD to INR'!$B$2:$G$560,6,TRUE)</f>
        <v>73.290000000000006</v>
      </c>
      <c r="M68" s="216">
        <f t="shared" si="5"/>
        <v>1043.7986082685222</v>
      </c>
      <c r="N68" s="563">
        <f t="shared" si="3"/>
        <v>44104</v>
      </c>
    </row>
    <row r="69" spans="1:14" x14ac:dyDescent="0.25">
      <c r="A69" s="188" t="s">
        <v>530</v>
      </c>
      <c r="B69" s="188" t="s">
        <v>531</v>
      </c>
      <c r="C69" s="188" t="s">
        <v>532</v>
      </c>
      <c r="D69" s="560">
        <v>77900</v>
      </c>
      <c r="E69" s="188" t="s">
        <v>98</v>
      </c>
      <c r="F69" s="561">
        <v>1</v>
      </c>
      <c r="G69" s="188" t="s">
        <v>13</v>
      </c>
      <c r="H69" s="188" t="s">
        <v>533</v>
      </c>
      <c r="I69" s="562">
        <v>44105</v>
      </c>
      <c r="J69" s="562">
        <v>44118</v>
      </c>
      <c r="K69" s="6" t="str">
        <f t="shared" si="4"/>
        <v>PP-ICP</v>
      </c>
      <c r="L69" s="14">
        <f>VLOOKUP(J69,'USD to INR'!$B$2:$G$560,6,TRUE)</f>
        <v>73.441999999999993</v>
      </c>
      <c r="M69" s="216">
        <f t="shared" si="5"/>
        <v>1060.7009613027969</v>
      </c>
      <c r="N69" s="563">
        <f t="shared" si="3"/>
        <v>44118</v>
      </c>
    </row>
    <row r="70" spans="1:14" x14ac:dyDescent="0.25">
      <c r="A70" s="188" t="s">
        <v>530</v>
      </c>
      <c r="B70" s="188" t="s">
        <v>531</v>
      </c>
      <c r="C70" s="188" t="s">
        <v>532</v>
      </c>
      <c r="D70" s="560">
        <v>80680</v>
      </c>
      <c r="E70" s="188" t="s">
        <v>98</v>
      </c>
      <c r="F70" s="561">
        <v>1</v>
      </c>
      <c r="G70" s="188" t="s">
        <v>13</v>
      </c>
      <c r="H70" s="188" t="s">
        <v>533</v>
      </c>
      <c r="I70" s="562">
        <v>44119</v>
      </c>
      <c r="J70" s="562">
        <v>44125</v>
      </c>
      <c r="K70" s="6" t="str">
        <f t="shared" si="4"/>
        <v>PP-ICP</v>
      </c>
      <c r="L70" s="14">
        <f>VLOOKUP(J70,'USD to INR'!$B$2:$G$560,6,TRUE)</f>
        <v>73.828999999999994</v>
      </c>
      <c r="M70" s="216">
        <f t="shared" si="5"/>
        <v>1092.7955139579299</v>
      </c>
      <c r="N70" s="563">
        <f t="shared" si="3"/>
        <v>44125</v>
      </c>
    </row>
    <row r="71" spans="1:14" x14ac:dyDescent="0.25">
      <c r="A71" s="188" t="s">
        <v>530</v>
      </c>
      <c r="B71" s="188" t="s">
        <v>531</v>
      </c>
      <c r="C71" s="188" t="s">
        <v>532</v>
      </c>
      <c r="D71" s="560">
        <v>82070</v>
      </c>
      <c r="E71" s="188" t="s">
        <v>98</v>
      </c>
      <c r="F71" s="561">
        <v>1</v>
      </c>
      <c r="G71" s="188" t="s">
        <v>13</v>
      </c>
      <c r="H71" s="188" t="s">
        <v>533</v>
      </c>
      <c r="I71" s="562">
        <v>44126</v>
      </c>
      <c r="J71" s="562">
        <v>44135</v>
      </c>
      <c r="K71" s="6" t="str">
        <f t="shared" si="4"/>
        <v>PP-ICP</v>
      </c>
      <c r="L71" s="14">
        <f>VLOOKUP(J71,'USD to INR'!$B$2:$G$560,6,TRUE)</f>
        <v>74.554000000000002</v>
      </c>
      <c r="M71" s="216">
        <f t="shared" si="5"/>
        <v>1100.8128336507766</v>
      </c>
      <c r="N71" s="563">
        <f t="shared" si="3"/>
        <v>44135</v>
      </c>
    </row>
    <row r="72" spans="1:14" x14ac:dyDescent="0.25">
      <c r="A72" s="188" t="s">
        <v>530</v>
      </c>
      <c r="B72" s="188" t="s">
        <v>531</v>
      </c>
      <c r="C72" s="188" t="s">
        <v>532</v>
      </c>
      <c r="D72" s="560">
        <v>83920</v>
      </c>
      <c r="E72" s="188" t="s">
        <v>98</v>
      </c>
      <c r="F72" s="561">
        <v>1</v>
      </c>
      <c r="G72" s="188" t="s">
        <v>13</v>
      </c>
      <c r="H72" s="188" t="s">
        <v>533</v>
      </c>
      <c r="I72" s="562">
        <v>44136</v>
      </c>
      <c r="J72" s="562">
        <v>44153</v>
      </c>
      <c r="K72" s="6" t="str">
        <f t="shared" si="4"/>
        <v>PP-ICP</v>
      </c>
      <c r="L72" s="14">
        <f>VLOOKUP(J72,'USD to INR'!$B$2:$G$560,6,TRUE)</f>
        <v>74.11</v>
      </c>
      <c r="M72" s="216">
        <f t="shared" si="5"/>
        <v>1132.3708001619216</v>
      </c>
      <c r="N72" s="563">
        <f t="shared" si="3"/>
        <v>44153</v>
      </c>
    </row>
    <row r="73" spans="1:14" x14ac:dyDescent="0.25">
      <c r="A73" s="188" t="s">
        <v>530</v>
      </c>
      <c r="B73" s="188" t="s">
        <v>531</v>
      </c>
      <c r="C73" s="188" t="s">
        <v>532</v>
      </c>
      <c r="D73" s="560">
        <v>86700</v>
      </c>
      <c r="E73" s="188" t="s">
        <v>98</v>
      </c>
      <c r="F73" s="561">
        <v>1</v>
      </c>
      <c r="G73" s="188" t="s">
        <v>13</v>
      </c>
      <c r="H73" s="188" t="s">
        <v>533</v>
      </c>
      <c r="I73" s="562">
        <v>44154</v>
      </c>
      <c r="J73" s="562">
        <v>44160</v>
      </c>
      <c r="K73" s="6" t="str">
        <f t="shared" si="4"/>
        <v>PP-ICP</v>
      </c>
      <c r="L73" s="14">
        <f>VLOOKUP(J73,'USD to INR'!$B$2:$G$560,6,TRUE)</f>
        <v>73.933000000000007</v>
      </c>
      <c r="M73" s="216">
        <f t="shared" si="5"/>
        <v>1172.6833754886179</v>
      </c>
      <c r="N73" s="563">
        <f t="shared" si="3"/>
        <v>44160</v>
      </c>
    </row>
    <row r="74" spans="1:14" x14ac:dyDescent="0.25">
      <c r="A74" s="188" t="s">
        <v>530</v>
      </c>
      <c r="B74" s="188" t="s">
        <v>531</v>
      </c>
      <c r="C74" s="188" t="s">
        <v>532</v>
      </c>
      <c r="D74" s="560">
        <v>88550</v>
      </c>
      <c r="E74" s="188" t="s">
        <v>98</v>
      </c>
      <c r="F74" s="561">
        <v>1</v>
      </c>
      <c r="G74" s="188" t="s">
        <v>13</v>
      </c>
      <c r="H74" s="188" t="s">
        <v>533</v>
      </c>
      <c r="I74" s="562">
        <v>44161</v>
      </c>
      <c r="J74" s="562">
        <v>44165</v>
      </c>
      <c r="K74" s="6" t="str">
        <f t="shared" si="4"/>
        <v>PP-ICP</v>
      </c>
      <c r="L74" s="14">
        <f>VLOOKUP(J74,'USD to INR'!$B$2:$G$560,6,TRUE)</f>
        <v>73.757000000000005</v>
      </c>
      <c r="M74" s="216">
        <f t="shared" si="5"/>
        <v>1200.564014263053</v>
      </c>
      <c r="N74" s="563">
        <f t="shared" si="3"/>
        <v>44165</v>
      </c>
    </row>
    <row r="75" spans="1:14" x14ac:dyDescent="0.25">
      <c r="A75" s="188" t="s">
        <v>530</v>
      </c>
      <c r="B75" s="188" t="s">
        <v>531</v>
      </c>
      <c r="C75" s="188" t="s">
        <v>532</v>
      </c>
      <c r="D75" s="560">
        <v>92250</v>
      </c>
      <c r="E75" s="188" t="s">
        <v>98</v>
      </c>
      <c r="F75" s="561">
        <v>1</v>
      </c>
      <c r="G75" s="188" t="s">
        <v>13</v>
      </c>
      <c r="H75" s="188" t="s">
        <v>533</v>
      </c>
      <c r="I75" s="562">
        <v>44166</v>
      </c>
      <c r="J75" s="562">
        <v>44174</v>
      </c>
      <c r="K75" s="6" t="str">
        <f t="shared" si="4"/>
        <v>PP-ICP</v>
      </c>
      <c r="L75" s="14">
        <f>VLOOKUP(J75,'USD to INR'!$B$2:$G$560,6,TRUE)</f>
        <v>73.736000000000004</v>
      </c>
      <c r="M75" s="216">
        <f t="shared" si="5"/>
        <v>1251.0849517196484</v>
      </c>
      <c r="N75" s="563">
        <f t="shared" si="3"/>
        <v>44174</v>
      </c>
    </row>
    <row r="76" spans="1:14" x14ac:dyDescent="0.25">
      <c r="A76" s="188" t="s">
        <v>530</v>
      </c>
      <c r="B76" s="188" t="s">
        <v>531</v>
      </c>
      <c r="C76" s="188" t="s">
        <v>532</v>
      </c>
      <c r="D76" s="560">
        <v>96870</v>
      </c>
      <c r="E76" s="188" t="s">
        <v>98</v>
      </c>
      <c r="F76" s="561">
        <v>1</v>
      </c>
      <c r="G76" s="188" t="s">
        <v>13</v>
      </c>
      <c r="H76" s="188" t="s">
        <v>533</v>
      </c>
      <c r="I76" s="562">
        <v>44175</v>
      </c>
      <c r="J76" s="562">
        <v>44196</v>
      </c>
      <c r="K76" s="6" t="str">
        <f t="shared" si="4"/>
        <v>PP-ICP</v>
      </c>
      <c r="L76" s="14">
        <f>VLOOKUP(J76,'USD to INR'!$B$2:$G$560,6,TRUE)</f>
        <v>73.12</v>
      </c>
      <c r="M76" s="216">
        <f t="shared" si="5"/>
        <v>1324.808533916849</v>
      </c>
      <c r="N76" s="563">
        <f t="shared" si="3"/>
        <v>44196</v>
      </c>
    </row>
    <row r="77" spans="1:14" x14ac:dyDescent="0.25">
      <c r="A77" s="188" t="s">
        <v>530</v>
      </c>
      <c r="B77" s="188" t="s">
        <v>531</v>
      </c>
      <c r="C77" s="188" t="s">
        <v>532</v>
      </c>
      <c r="D77" s="560">
        <v>96870</v>
      </c>
      <c r="E77" s="188" t="s">
        <v>98</v>
      </c>
      <c r="F77" s="561">
        <v>1</v>
      </c>
      <c r="G77" s="188" t="s">
        <v>13</v>
      </c>
      <c r="H77" s="188" t="s">
        <v>533</v>
      </c>
      <c r="I77" s="562">
        <v>44197</v>
      </c>
      <c r="J77" s="562">
        <v>44202</v>
      </c>
      <c r="K77" s="6" t="str">
        <f t="shared" si="4"/>
        <v>PP-ICP</v>
      </c>
      <c r="L77" s="14">
        <f>VLOOKUP(J77,'USD to INR'!$B$2:$G$560,6,TRUE)</f>
        <v>73.33</v>
      </c>
      <c r="M77" s="216">
        <f t="shared" si="5"/>
        <v>1321.0145915723442</v>
      </c>
      <c r="N77" s="563">
        <f t="shared" si="3"/>
        <v>44202</v>
      </c>
    </row>
    <row r="78" spans="1:14" x14ac:dyDescent="0.25">
      <c r="A78" s="188" t="s">
        <v>530</v>
      </c>
      <c r="B78" s="188" t="s">
        <v>531</v>
      </c>
      <c r="C78" s="188" t="s">
        <v>532</v>
      </c>
      <c r="D78" s="560">
        <v>97800</v>
      </c>
      <c r="E78" s="188" t="s">
        <v>98</v>
      </c>
      <c r="F78" s="561">
        <v>1</v>
      </c>
      <c r="G78" s="188" t="s">
        <v>13</v>
      </c>
      <c r="H78" s="188" t="s">
        <v>533</v>
      </c>
      <c r="I78" s="562">
        <v>44203</v>
      </c>
      <c r="J78" s="562">
        <v>44227</v>
      </c>
      <c r="K78" s="6" t="str">
        <f t="shared" si="4"/>
        <v>PP-ICP</v>
      </c>
      <c r="L78" s="14">
        <f>VLOOKUP(J78,'USD to INR'!$B$2:$G$560,6,TRUE)</f>
        <v>72.81</v>
      </c>
      <c r="M78" s="216">
        <f t="shared" si="5"/>
        <v>1343.2220848784507</v>
      </c>
      <c r="N78" s="563">
        <f t="shared" si="3"/>
        <v>44227</v>
      </c>
    </row>
    <row r="79" spans="1:14" x14ac:dyDescent="0.25">
      <c r="A79" s="188" t="s">
        <v>530</v>
      </c>
      <c r="B79" s="188" t="s">
        <v>531</v>
      </c>
      <c r="C79" s="188" t="s">
        <v>532</v>
      </c>
      <c r="D79" s="560">
        <v>99180</v>
      </c>
      <c r="E79" s="188" t="s">
        <v>98</v>
      </c>
      <c r="F79" s="561">
        <v>1</v>
      </c>
      <c r="G79" s="188" t="s">
        <v>13</v>
      </c>
      <c r="H79" s="188" t="s">
        <v>533</v>
      </c>
      <c r="I79" s="562">
        <v>44228</v>
      </c>
      <c r="J79" s="562">
        <v>44230</v>
      </c>
      <c r="K79" s="6" t="str">
        <f t="shared" si="4"/>
        <v>PP-ICP</v>
      </c>
      <c r="L79" s="14">
        <f>VLOOKUP(J79,'USD to INR'!$B$2:$G$560,6,TRUE)</f>
        <v>72.81</v>
      </c>
      <c r="M79" s="216">
        <f t="shared" si="5"/>
        <v>1362.1755253399258</v>
      </c>
      <c r="N79" s="563">
        <f t="shared" si="3"/>
        <v>44230</v>
      </c>
    </row>
    <row r="80" spans="1:14" x14ac:dyDescent="0.25">
      <c r="A80" s="188" t="s">
        <v>530</v>
      </c>
      <c r="B80" s="188" t="s">
        <v>531</v>
      </c>
      <c r="C80" s="188" t="s">
        <v>532</v>
      </c>
      <c r="D80" s="560">
        <v>99180</v>
      </c>
      <c r="E80" s="188" t="s">
        <v>98</v>
      </c>
      <c r="F80" s="561">
        <v>1</v>
      </c>
      <c r="G80" s="188" t="s">
        <v>13</v>
      </c>
      <c r="H80" s="188" t="s">
        <v>533</v>
      </c>
      <c r="I80" s="562">
        <v>44231</v>
      </c>
      <c r="J80" s="562">
        <v>44238</v>
      </c>
      <c r="K80" s="6" t="str">
        <f t="shared" si="4"/>
        <v>PP-ICP</v>
      </c>
      <c r="L80" s="14">
        <f>VLOOKUP(J80,'USD to INR'!$B$2:$G$560,6,TRUE)</f>
        <v>72.58</v>
      </c>
      <c r="M80" s="216">
        <f t="shared" si="5"/>
        <v>1366.4921465968587</v>
      </c>
      <c r="N80" s="563">
        <f t="shared" si="3"/>
        <v>44238</v>
      </c>
    </row>
    <row r="81" spans="1:14" x14ac:dyDescent="0.25">
      <c r="A81" s="188" t="s">
        <v>530</v>
      </c>
      <c r="B81" s="188" t="s">
        <v>531</v>
      </c>
      <c r="C81" s="188" t="s">
        <v>532</v>
      </c>
      <c r="D81" s="560">
        <v>101030</v>
      </c>
      <c r="E81" s="188" t="s">
        <v>98</v>
      </c>
      <c r="F81" s="561">
        <v>1</v>
      </c>
      <c r="G81" s="188" t="s">
        <v>13</v>
      </c>
      <c r="H81" s="188" t="s">
        <v>533</v>
      </c>
      <c r="I81" s="562">
        <v>44239</v>
      </c>
      <c r="J81" s="562">
        <v>44244</v>
      </c>
      <c r="K81" s="6" t="str">
        <f t="shared" si="4"/>
        <v>PP-ICP</v>
      </c>
      <c r="L81" s="14">
        <f>VLOOKUP(J81,'USD to INR'!$B$2:$G$560,6,TRUE)</f>
        <v>72.55</v>
      </c>
      <c r="M81" s="216">
        <f t="shared" si="5"/>
        <v>1392.5568573397657</v>
      </c>
      <c r="N81" s="563">
        <f t="shared" si="3"/>
        <v>44244</v>
      </c>
    </row>
    <row r="82" spans="1:14" x14ac:dyDescent="0.25">
      <c r="A82" s="188" t="s">
        <v>530</v>
      </c>
      <c r="B82" s="188" t="s">
        <v>531</v>
      </c>
      <c r="C82" s="188" t="s">
        <v>532</v>
      </c>
      <c r="D82" s="560">
        <v>103810</v>
      </c>
      <c r="E82" s="188" t="s">
        <v>98</v>
      </c>
      <c r="F82" s="561">
        <v>1</v>
      </c>
      <c r="G82" s="188" t="s">
        <v>13</v>
      </c>
      <c r="H82" s="188" t="s">
        <v>533</v>
      </c>
      <c r="I82" s="562">
        <v>44245</v>
      </c>
      <c r="J82" s="562">
        <v>44251</v>
      </c>
      <c r="K82" s="6" t="str">
        <f t="shared" si="4"/>
        <v>PP-ICP</v>
      </c>
      <c r="L82" s="14">
        <f>VLOOKUP(J82,'USD to INR'!$B$2:$G$560,6,TRUE)</f>
        <v>73.92</v>
      </c>
      <c r="M82" s="216">
        <f t="shared" si="5"/>
        <v>1404.3560606060605</v>
      </c>
      <c r="N82" s="563">
        <f t="shared" si="3"/>
        <v>44251</v>
      </c>
    </row>
    <row r="83" spans="1:14" x14ac:dyDescent="0.25">
      <c r="A83" s="188" t="s">
        <v>530</v>
      </c>
      <c r="B83" s="188" t="s">
        <v>531</v>
      </c>
      <c r="C83" s="188" t="s">
        <v>532</v>
      </c>
      <c r="D83" s="560">
        <v>108430</v>
      </c>
      <c r="E83" s="188" t="s">
        <v>98</v>
      </c>
      <c r="F83" s="561">
        <v>1</v>
      </c>
      <c r="G83" s="188" t="s">
        <v>13</v>
      </c>
      <c r="H83" s="188" t="s">
        <v>533</v>
      </c>
      <c r="I83" s="562">
        <v>44252</v>
      </c>
      <c r="J83" s="562">
        <v>44255</v>
      </c>
      <c r="K83" s="6" t="str">
        <f t="shared" si="4"/>
        <v>PP-ICP</v>
      </c>
      <c r="L83" s="14">
        <f>VLOOKUP(J83,'USD to INR'!$B$2:$G$560,6,TRUE)</f>
        <v>73.180000000000007</v>
      </c>
      <c r="M83" s="216">
        <f t="shared" si="5"/>
        <v>1481.6889860617653</v>
      </c>
      <c r="N83" s="563">
        <f t="shared" si="3"/>
        <v>44255</v>
      </c>
    </row>
    <row r="84" spans="1:14" x14ac:dyDescent="0.25">
      <c r="A84" s="188" t="s">
        <v>530</v>
      </c>
      <c r="B84" s="188" t="s">
        <v>531</v>
      </c>
      <c r="C84" s="188" t="s">
        <v>532</v>
      </c>
      <c r="D84" s="560">
        <v>114890</v>
      </c>
      <c r="E84" s="188" t="s">
        <v>98</v>
      </c>
      <c r="F84" s="561">
        <v>1</v>
      </c>
      <c r="G84" s="188" t="s">
        <v>13</v>
      </c>
      <c r="H84" s="188" t="s">
        <v>533</v>
      </c>
      <c r="I84" s="562">
        <v>44256</v>
      </c>
      <c r="J84" s="562">
        <v>44265</v>
      </c>
      <c r="K84" s="6" t="str">
        <f t="shared" si="4"/>
        <v>PP-ICP</v>
      </c>
      <c r="L84" s="14">
        <f>VLOOKUP(J84,'USD to INR'!$B$2:$G$560,6,TRUE)</f>
        <v>72.680000000000007</v>
      </c>
      <c r="M84" s="216">
        <f t="shared" si="5"/>
        <v>1580.7649972482111</v>
      </c>
      <c r="N84" s="563">
        <f t="shared" si="3"/>
        <v>44265</v>
      </c>
    </row>
    <row r="85" spans="1:14" x14ac:dyDescent="0.25">
      <c r="A85" s="188" t="s">
        <v>530</v>
      </c>
      <c r="B85" s="188" t="s">
        <v>531</v>
      </c>
      <c r="C85" s="188" t="s">
        <v>532</v>
      </c>
      <c r="D85" s="560">
        <v>117670</v>
      </c>
      <c r="E85" s="188" t="s">
        <v>98</v>
      </c>
      <c r="F85" s="561">
        <v>1</v>
      </c>
      <c r="G85" s="188" t="s">
        <v>13</v>
      </c>
      <c r="H85" s="188" t="s">
        <v>533</v>
      </c>
      <c r="I85" s="562">
        <v>44266</v>
      </c>
      <c r="J85" s="562">
        <v>44286</v>
      </c>
      <c r="K85" s="6" t="str">
        <f t="shared" si="4"/>
        <v>PP-ICP</v>
      </c>
      <c r="L85" s="14">
        <f>VLOOKUP(J85,'USD to INR'!$B$2:$G$560,6,TRUE)</f>
        <v>73.37</v>
      </c>
      <c r="M85" s="216">
        <f t="shared" si="5"/>
        <v>1603.7890145836172</v>
      </c>
      <c r="N85" s="563">
        <f t="shared" si="3"/>
        <v>44286</v>
      </c>
    </row>
    <row r="86" spans="1:14" x14ac:dyDescent="0.25">
      <c r="A86" s="188" t="s">
        <v>530</v>
      </c>
      <c r="B86" s="188" t="s">
        <v>531</v>
      </c>
      <c r="C86" s="188" t="s">
        <v>532</v>
      </c>
      <c r="D86" s="560">
        <v>117680</v>
      </c>
      <c r="E86" s="188" t="s">
        <v>98</v>
      </c>
      <c r="F86" s="561">
        <v>1</v>
      </c>
      <c r="G86" s="188" t="s">
        <v>13</v>
      </c>
      <c r="H86" s="188" t="s">
        <v>533</v>
      </c>
      <c r="I86" s="562">
        <v>44287</v>
      </c>
      <c r="J86" s="562">
        <v>44307</v>
      </c>
      <c r="K86" s="6" t="str">
        <f t="shared" si="4"/>
        <v>PP-ICP</v>
      </c>
      <c r="L86" s="14">
        <f>VLOOKUP(J86,'USD to INR'!$B$2:$G$560,6,TRUE)</f>
        <v>74.92</v>
      </c>
      <c r="M86" s="216">
        <f t="shared" si="5"/>
        <v>1570.7421249332622</v>
      </c>
      <c r="N86" s="563">
        <f t="shared" si="3"/>
        <v>44307</v>
      </c>
    </row>
    <row r="87" spans="1:14" x14ac:dyDescent="0.25">
      <c r="A87" s="188" t="s">
        <v>530</v>
      </c>
      <c r="B87" s="188" t="s">
        <v>531</v>
      </c>
      <c r="C87" s="188" t="s">
        <v>532</v>
      </c>
      <c r="D87" s="560">
        <v>114910</v>
      </c>
      <c r="E87" s="188" t="s">
        <v>98</v>
      </c>
      <c r="F87" s="561">
        <v>1</v>
      </c>
      <c r="G87" s="188" t="s">
        <v>13</v>
      </c>
      <c r="H87" s="188" t="s">
        <v>533</v>
      </c>
      <c r="I87" s="562">
        <v>44308</v>
      </c>
      <c r="J87" s="562">
        <v>44316</v>
      </c>
      <c r="K87" s="6" t="str">
        <f t="shared" si="4"/>
        <v>PP-ICP</v>
      </c>
      <c r="L87" s="14">
        <f>VLOOKUP(J87,'USD to INR'!$B$2:$G$560,6,TRUE)</f>
        <v>74.05</v>
      </c>
      <c r="M87" s="216">
        <f t="shared" si="5"/>
        <v>1551.7893315327483</v>
      </c>
      <c r="N87" s="563">
        <f t="shared" si="3"/>
        <v>44316</v>
      </c>
    </row>
    <row r="88" spans="1:14" x14ac:dyDescent="0.25">
      <c r="A88" s="188" t="s">
        <v>530</v>
      </c>
      <c r="B88" s="188" t="s">
        <v>531</v>
      </c>
      <c r="C88" s="188" t="s">
        <v>532</v>
      </c>
      <c r="D88" s="560">
        <v>113070</v>
      </c>
      <c r="E88" s="188" t="s">
        <v>98</v>
      </c>
      <c r="F88" s="561">
        <v>1</v>
      </c>
      <c r="G88" s="188" t="s">
        <v>13</v>
      </c>
      <c r="H88" s="188" t="s">
        <v>533</v>
      </c>
      <c r="I88" s="562">
        <v>44317</v>
      </c>
      <c r="J88" s="562">
        <v>44321</v>
      </c>
      <c r="K88" s="6" t="str">
        <f t="shared" si="4"/>
        <v>PP-ICP</v>
      </c>
      <c r="L88" s="14">
        <f>VLOOKUP(J88,'USD to INR'!$B$2:$G$560,6,TRUE)</f>
        <v>73.251999999999995</v>
      </c>
      <c r="M88" s="216">
        <f t="shared" si="5"/>
        <v>1543.575602031344</v>
      </c>
      <c r="N88" s="563">
        <f t="shared" si="3"/>
        <v>44321</v>
      </c>
    </row>
    <row r="89" spans="1:14" x14ac:dyDescent="0.25">
      <c r="A89" s="188" t="s">
        <v>530</v>
      </c>
      <c r="B89" s="188" t="s">
        <v>531</v>
      </c>
      <c r="C89" s="188" t="s">
        <v>532</v>
      </c>
      <c r="D89" s="560">
        <v>109840</v>
      </c>
      <c r="E89" s="188" t="s">
        <v>98</v>
      </c>
      <c r="F89" s="561">
        <v>1</v>
      </c>
      <c r="G89" s="188" t="s">
        <v>13</v>
      </c>
      <c r="H89" s="188" t="s">
        <v>533</v>
      </c>
      <c r="I89" s="562">
        <v>44322</v>
      </c>
      <c r="J89" s="562">
        <v>44335</v>
      </c>
      <c r="K89" s="6" t="str">
        <f t="shared" si="4"/>
        <v>PP-ICP</v>
      </c>
      <c r="L89" s="14">
        <f>VLOOKUP(J89,'USD to INR'!$B$2:$G$560,6,TRUE)</f>
        <v>72.816999999999993</v>
      </c>
      <c r="M89" s="216">
        <f t="shared" si="5"/>
        <v>1508.4389634288698</v>
      </c>
      <c r="N89" s="563">
        <f t="shared" si="3"/>
        <v>44335</v>
      </c>
    </row>
    <row r="90" spans="1:14" x14ac:dyDescent="0.25">
      <c r="A90" s="188" t="s">
        <v>530</v>
      </c>
      <c r="B90" s="188" t="s">
        <v>531</v>
      </c>
      <c r="C90" s="188" t="s">
        <v>532</v>
      </c>
      <c r="D90" s="560">
        <v>107070</v>
      </c>
      <c r="E90" s="188" t="s">
        <v>98</v>
      </c>
      <c r="F90" s="561">
        <v>1</v>
      </c>
      <c r="G90" s="188" t="s">
        <v>13</v>
      </c>
      <c r="H90" s="188" t="s">
        <v>533</v>
      </c>
      <c r="I90" s="562">
        <v>44336</v>
      </c>
      <c r="J90" s="562">
        <v>44347</v>
      </c>
      <c r="K90" s="6" t="str">
        <f t="shared" si="4"/>
        <v>PP-ICP</v>
      </c>
      <c r="L90" s="14">
        <f>VLOOKUP(J90,'USD to INR'!$B$2:$G$560,6,TRUE)</f>
        <v>72.86</v>
      </c>
      <c r="M90" s="216">
        <f t="shared" si="5"/>
        <v>1469.5306066428768</v>
      </c>
      <c r="N90" s="563">
        <f t="shared" si="3"/>
        <v>44347</v>
      </c>
    </row>
    <row r="91" spans="1:14" x14ac:dyDescent="0.25">
      <c r="A91" s="188" t="s">
        <v>530</v>
      </c>
      <c r="B91" s="188" t="s">
        <v>531</v>
      </c>
      <c r="C91" s="188" t="s">
        <v>532</v>
      </c>
      <c r="D91" s="560">
        <v>104290</v>
      </c>
      <c r="E91" s="188" t="s">
        <v>98</v>
      </c>
      <c r="F91" s="561">
        <v>1</v>
      </c>
      <c r="G91" s="188" t="s">
        <v>13</v>
      </c>
      <c r="H91" s="188" t="s">
        <v>533</v>
      </c>
      <c r="I91" s="562">
        <v>44348</v>
      </c>
      <c r="J91" s="562">
        <v>44356</v>
      </c>
      <c r="K91" s="6" t="str">
        <f t="shared" si="4"/>
        <v>PP-ICP</v>
      </c>
      <c r="L91" s="14">
        <f>VLOOKUP(J91,'USD to INR'!$B$2:$G$560,6,TRUE)</f>
        <v>73.239999999999995</v>
      </c>
      <c r="M91" s="216">
        <f t="shared" si="5"/>
        <v>1423.9486619333697</v>
      </c>
      <c r="N91" s="563">
        <f t="shared" si="3"/>
        <v>44356</v>
      </c>
    </row>
    <row r="92" spans="1:14" x14ac:dyDescent="0.25">
      <c r="A92" s="188" t="s">
        <v>530</v>
      </c>
      <c r="B92" s="188" t="s">
        <v>531</v>
      </c>
      <c r="C92" s="188" t="s">
        <v>532</v>
      </c>
      <c r="D92" s="560">
        <v>102450</v>
      </c>
      <c r="E92" s="188" t="s">
        <v>98</v>
      </c>
      <c r="F92" s="561">
        <v>1</v>
      </c>
      <c r="G92" s="188" t="s">
        <v>13</v>
      </c>
      <c r="H92" s="188" t="s">
        <v>533</v>
      </c>
      <c r="I92" s="562">
        <v>44357</v>
      </c>
      <c r="J92" s="562">
        <v>44363</v>
      </c>
      <c r="K92" s="6" t="str">
        <f t="shared" si="4"/>
        <v>PP-ICP</v>
      </c>
      <c r="L92" s="14">
        <f>VLOOKUP(J92,'USD to INR'!$B$2:$G$560,6,TRUE)</f>
        <v>74.099999999999994</v>
      </c>
      <c r="M92" s="216">
        <f t="shared" si="5"/>
        <v>1382.5910931174089</v>
      </c>
      <c r="N92" s="563">
        <f t="shared" si="3"/>
        <v>44363</v>
      </c>
    </row>
    <row r="93" spans="1:14" x14ac:dyDescent="0.25">
      <c r="A93" s="188" t="s">
        <v>530</v>
      </c>
      <c r="B93" s="188" t="s">
        <v>531</v>
      </c>
      <c r="C93" s="188" t="s">
        <v>532</v>
      </c>
      <c r="D93" s="560">
        <v>101530</v>
      </c>
      <c r="E93" s="188" t="s">
        <v>98</v>
      </c>
      <c r="F93" s="561">
        <v>1</v>
      </c>
      <c r="G93" s="188" t="s">
        <v>13</v>
      </c>
      <c r="H93" s="188" t="s">
        <v>533</v>
      </c>
      <c r="I93" s="562">
        <v>44364</v>
      </c>
      <c r="J93" s="562">
        <v>44377</v>
      </c>
      <c r="K93" s="6" t="str">
        <f t="shared" si="4"/>
        <v>PP-ICP</v>
      </c>
      <c r="L93" s="14">
        <f>VLOOKUP(J93,'USD to INR'!$B$2:$G$560,6,TRUE)</f>
        <v>74.512</v>
      </c>
      <c r="M93" s="216">
        <f t="shared" si="5"/>
        <v>1362.5993128623577</v>
      </c>
      <c r="N93" s="563">
        <f t="shared" si="3"/>
        <v>44377</v>
      </c>
    </row>
    <row r="94" spans="1:14" x14ac:dyDescent="0.25">
      <c r="A94" s="188" t="s">
        <v>530</v>
      </c>
      <c r="B94" s="188" t="s">
        <v>531</v>
      </c>
      <c r="C94" s="188" t="s">
        <v>532</v>
      </c>
      <c r="D94" s="560">
        <v>101520</v>
      </c>
      <c r="E94" s="188" t="s">
        <v>98</v>
      </c>
      <c r="F94" s="561">
        <v>1</v>
      </c>
      <c r="G94" s="188" t="s">
        <v>13</v>
      </c>
      <c r="H94" s="188" t="s">
        <v>533</v>
      </c>
      <c r="I94" s="562">
        <v>44378</v>
      </c>
      <c r="J94" s="562">
        <v>44384</v>
      </c>
      <c r="K94" s="6" t="str">
        <f t="shared" si="4"/>
        <v>PP-ICP</v>
      </c>
      <c r="L94" s="14">
        <f>VLOOKUP(J94,'USD to INR'!$B$2:$G$560,6,TRUE)</f>
        <v>74.484999999999999</v>
      </c>
      <c r="M94" s="216">
        <f t="shared" si="5"/>
        <v>1362.9589850305431</v>
      </c>
      <c r="N94" s="563">
        <f t="shared" si="3"/>
        <v>44384</v>
      </c>
    </row>
    <row r="95" spans="1:14" x14ac:dyDescent="0.25">
      <c r="A95" s="188" t="s">
        <v>530</v>
      </c>
      <c r="B95" s="188" t="s">
        <v>531</v>
      </c>
      <c r="C95" s="188" t="s">
        <v>532</v>
      </c>
      <c r="D95" s="560">
        <v>103370</v>
      </c>
      <c r="E95" s="188" t="s">
        <v>98</v>
      </c>
      <c r="F95" s="561">
        <v>1</v>
      </c>
      <c r="G95" s="188" t="s">
        <v>13</v>
      </c>
      <c r="H95" s="188" t="s">
        <v>533</v>
      </c>
      <c r="I95" s="562">
        <v>44385</v>
      </c>
      <c r="J95" s="562">
        <v>44398</v>
      </c>
      <c r="K95" s="6" t="str">
        <f t="shared" si="4"/>
        <v>PP-ICP</v>
      </c>
      <c r="L95" s="14">
        <f>VLOOKUP(J95,'USD to INR'!$B$2:$G$560,6,TRUE)</f>
        <v>74.424999999999997</v>
      </c>
      <c r="M95" s="216">
        <f t="shared" si="5"/>
        <v>1388.9150151158885</v>
      </c>
      <c r="N95" s="563">
        <f t="shared" si="3"/>
        <v>44398</v>
      </c>
    </row>
    <row r="96" spans="1:14" x14ac:dyDescent="0.25">
      <c r="A96" s="188" t="s">
        <v>530</v>
      </c>
      <c r="B96" s="188" t="s">
        <v>531</v>
      </c>
      <c r="C96" s="188" t="s">
        <v>532</v>
      </c>
      <c r="D96" s="560">
        <v>104760</v>
      </c>
      <c r="E96" s="188" t="s">
        <v>98</v>
      </c>
      <c r="F96" s="561">
        <v>1</v>
      </c>
      <c r="G96" s="188" t="s">
        <v>13</v>
      </c>
      <c r="H96" s="188" t="s">
        <v>533</v>
      </c>
      <c r="I96" s="562">
        <v>44399</v>
      </c>
      <c r="J96" s="562">
        <v>44408</v>
      </c>
      <c r="K96" s="6" t="str">
        <f t="shared" si="4"/>
        <v>PP-ICP</v>
      </c>
      <c r="L96" s="14">
        <f>VLOOKUP(J96,'USD to INR'!$B$2:$G$560,6,TRUE)</f>
        <v>74.337000000000003</v>
      </c>
      <c r="M96" s="216">
        <f t="shared" si="5"/>
        <v>1409.2578392994067</v>
      </c>
      <c r="N96" s="563">
        <f t="shared" si="3"/>
        <v>44408</v>
      </c>
    </row>
    <row r="97" spans="1:14" x14ac:dyDescent="0.25">
      <c r="A97" s="188" t="s">
        <v>530</v>
      </c>
      <c r="B97" s="188" t="s">
        <v>531</v>
      </c>
      <c r="C97" s="188" t="s">
        <v>532</v>
      </c>
      <c r="D97" s="560">
        <v>106610</v>
      </c>
      <c r="E97" s="188" t="s">
        <v>98</v>
      </c>
      <c r="F97" s="561">
        <v>1</v>
      </c>
      <c r="G97" s="188" t="s">
        <v>13</v>
      </c>
      <c r="H97" s="188" t="s">
        <v>533</v>
      </c>
      <c r="I97" s="562">
        <v>44409</v>
      </c>
      <c r="J97" s="562">
        <v>44419</v>
      </c>
      <c r="K97" s="6" t="str">
        <f t="shared" si="4"/>
        <v>PP-ICP</v>
      </c>
      <c r="L97" s="14">
        <f>VLOOKUP(J97,'USD to INR'!$B$2:$G$560,6,TRUE)</f>
        <v>74.239000000000004</v>
      </c>
      <c r="M97" s="216">
        <f t="shared" si="5"/>
        <v>1436.0376621452335</v>
      </c>
      <c r="N97" s="563">
        <f t="shared" si="3"/>
        <v>44419</v>
      </c>
    </row>
    <row r="98" spans="1:14" x14ac:dyDescent="0.25">
      <c r="A98" s="188" t="s">
        <v>530</v>
      </c>
      <c r="B98" s="188" t="s">
        <v>531</v>
      </c>
      <c r="C98" s="188" t="s">
        <v>532</v>
      </c>
      <c r="D98" s="560">
        <v>108460</v>
      </c>
      <c r="E98" s="188" t="s">
        <v>98</v>
      </c>
      <c r="F98" s="561">
        <v>1</v>
      </c>
      <c r="G98" s="188" t="s">
        <v>13</v>
      </c>
      <c r="H98" s="188" t="s">
        <v>533</v>
      </c>
      <c r="I98" s="562">
        <v>44420</v>
      </c>
      <c r="J98" s="562">
        <v>44439</v>
      </c>
      <c r="K98" s="6" t="str">
        <f t="shared" si="4"/>
        <v>PP-ICP</v>
      </c>
      <c r="L98" s="14">
        <f>VLOOKUP(J98,'USD to INR'!$B$2:$G$560,6,TRUE)</f>
        <v>72.981999999999999</v>
      </c>
      <c r="M98" s="216">
        <f t="shared" si="5"/>
        <v>1486.1198651722343</v>
      </c>
      <c r="N98" s="563">
        <f t="shared" si="3"/>
        <v>44439</v>
      </c>
    </row>
    <row r="99" spans="1:14" x14ac:dyDescent="0.25">
      <c r="A99" s="188" t="s">
        <v>530</v>
      </c>
      <c r="B99" s="188" t="s">
        <v>531</v>
      </c>
      <c r="C99" s="188" t="s">
        <v>532</v>
      </c>
      <c r="D99" s="560">
        <v>108470</v>
      </c>
      <c r="E99" s="188" t="s">
        <v>98</v>
      </c>
      <c r="F99" s="561">
        <v>1</v>
      </c>
      <c r="G99" s="188" t="s">
        <v>13</v>
      </c>
      <c r="H99" s="188" t="s">
        <v>533</v>
      </c>
      <c r="I99" s="562">
        <v>44440</v>
      </c>
      <c r="J99" s="562">
        <v>44461</v>
      </c>
      <c r="K99" s="6" t="str">
        <f t="shared" si="4"/>
        <v>PP-ICP</v>
      </c>
      <c r="L99" s="14">
        <f>VLOOKUP(J99,'USD to INR'!$B$2:$G$560,6,TRUE)</f>
        <v>73.813000000000002</v>
      </c>
      <c r="M99" s="216">
        <f t="shared" si="5"/>
        <v>1469.524338531153</v>
      </c>
      <c r="N99" s="563">
        <f t="shared" si="3"/>
        <v>44461</v>
      </c>
    </row>
    <row r="100" spans="1:14" x14ac:dyDescent="0.25">
      <c r="A100" s="188" t="s">
        <v>530</v>
      </c>
      <c r="B100" s="188" t="s">
        <v>531</v>
      </c>
      <c r="C100" s="188" t="s">
        <v>532</v>
      </c>
      <c r="D100" s="560">
        <v>109400</v>
      </c>
      <c r="E100" s="188" t="s">
        <v>98</v>
      </c>
      <c r="F100" s="561">
        <v>1</v>
      </c>
      <c r="G100" s="188" t="s">
        <v>13</v>
      </c>
      <c r="H100" s="188" t="s">
        <v>533</v>
      </c>
      <c r="I100" s="562">
        <v>44462</v>
      </c>
      <c r="J100" s="562">
        <v>44469</v>
      </c>
      <c r="K100" s="6" t="str">
        <f t="shared" si="4"/>
        <v>PP-ICP</v>
      </c>
      <c r="L100" s="14">
        <f>VLOOKUP(J100,'USD to INR'!$B$2:$G$560,6,TRUE)</f>
        <v>74.131</v>
      </c>
      <c r="M100" s="216">
        <f t="shared" si="5"/>
        <v>1475.7658739258879</v>
      </c>
      <c r="N100" s="563">
        <f t="shared" si="3"/>
        <v>44469</v>
      </c>
    </row>
    <row r="101" spans="1:14" x14ac:dyDescent="0.25">
      <c r="A101" s="188" t="s">
        <v>530</v>
      </c>
      <c r="B101" s="188" t="s">
        <v>531</v>
      </c>
      <c r="C101" s="188" t="s">
        <v>532</v>
      </c>
      <c r="D101" s="560">
        <v>111710</v>
      </c>
      <c r="E101" s="188" t="s">
        <v>98</v>
      </c>
      <c r="F101" s="561">
        <v>1</v>
      </c>
      <c r="G101" s="188" t="s">
        <v>13</v>
      </c>
      <c r="H101" s="188" t="s">
        <v>533</v>
      </c>
      <c r="I101" s="562">
        <v>44470</v>
      </c>
      <c r="J101" s="562">
        <v>44475</v>
      </c>
      <c r="K101" s="6" t="str">
        <f t="shared" si="4"/>
        <v>PP-ICP</v>
      </c>
      <c r="L101" s="14">
        <f>VLOOKUP(J101,'USD to INR'!$B$2:$G$560,6,TRUE)</f>
        <v>75.111999999999995</v>
      </c>
      <c r="M101" s="216">
        <f t="shared" si="5"/>
        <v>1487.2457130684845</v>
      </c>
      <c r="N101" s="563">
        <f t="shared" si="3"/>
        <v>44475</v>
      </c>
    </row>
    <row r="102" spans="1:14" x14ac:dyDescent="0.25">
      <c r="A102" s="188" t="s">
        <v>530</v>
      </c>
      <c r="B102" s="188" t="s">
        <v>531</v>
      </c>
      <c r="C102" s="188" t="s">
        <v>532</v>
      </c>
      <c r="D102" s="560">
        <v>113560</v>
      </c>
      <c r="E102" s="188" t="s">
        <v>98</v>
      </c>
      <c r="F102" s="561">
        <v>1</v>
      </c>
      <c r="G102" s="188" t="s">
        <v>13</v>
      </c>
      <c r="H102" s="188" t="s">
        <v>533</v>
      </c>
      <c r="I102" s="562">
        <v>44476</v>
      </c>
      <c r="J102" s="562">
        <v>44482</v>
      </c>
      <c r="K102" s="6" t="str">
        <f t="shared" si="4"/>
        <v>PP-ICP</v>
      </c>
      <c r="L102" s="14">
        <f>VLOOKUP(J102,'USD to INR'!$B$2:$G$560,6,TRUE)</f>
        <v>75.013000000000005</v>
      </c>
      <c r="M102" s="216">
        <f t="shared" si="5"/>
        <v>1513.8709290389666</v>
      </c>
      <c r="N102" s="563">
        <f t="shared" si="3"/>
        <v>44482</v>
      </c>
    </row>
    <row r="103" spans="1:14" x14ac:dyDescent="0.25">
      <c r="A103" s="188" t="s">
        <v>530</v>
      </c>
      <c r="B103" s="188" t="s">
        <v>531</v>
      </c>
      <c r="C103" s="188" t="s">
        <v>532</v>
      </c>
      <c r="D103" s="560">
        <v>119110</v>
      </c>
      <c r="E103" s="188" t="s">
        <v>98</v>
      </c>
      <c r="F103" s="561">
        <v>1</v>
      </c>
      <c r="G103" s="188" t="s">
        <v>13</v>
      </c>
      <c r="H103" s="188" t="s">
        <v>533</v>
      </c>
      <c r="I103" s="562">
        <v>44483</v>
      </c>
      <c r="J103" s="562">
        <v>44500</v>
      </c>
      <c r="K103" s="6" t="str">
        <f t="shared" si="4"/>
        <v>PP-ICP</v>
      </c>
      <c r="L103" s="14">
        <f>VLOOKUP(J103,'USD to INR'!$B$2:$G$560,6,TRUE)</f>
        <v>75.313000000000002</v>
      </c>
      <c r="M103" s="216">
        <f t="shared" si="5"/>
        <v>1581.5330686601251</v>
      </c>
      <c r="N103" s="563">
        <f t="shared" si="3"/>
        <v>44500</v>
      </c>
    </row>
    <row r="104" spans="1:14" x14ac:dyDescent="0.25">
      <c r="A104" s="188" t="s">
        <v>530</v>
      </c>
      <c r="B104" s="188" t="s">
        <v>531</v>
      </c>
      <c r="C104" s="188" t="s">
        <v>532</v>
      </c>
      <c r="D104" s="560">
        <v>120940</v>
      </c>
      <c r="E104" s="188" t="s">
        <v>98</v>
      </c>
      <c r="F104" s="561">
        <v>1</v>
      </c>
      <c r="G104" s="188" t="s">
        <v>13</v>
      </c>
      <c r="H104" s="188" t="s">
        <v>533</v>
      </c>
      <c r="I104" s="562">
        <v>44501</v>
      </c>
      <c r="J104" s="562">
        <v>44517</v>
      </c>
      <c r="K104" s="6" t="str">
        <f t="shared" si="4"/>
        <v>PP-ICP</v>
      </c>
      <c r="L104" s="14">
        <f>VLOOKUP(J104,'USD to INR'!$B$2:$G$560,6,TRUE)</f>
        <v>75.313000000000002</v>
      </c>
      <c r="M104" s="216">
        <f t="shared" si="5"/>
        <v>1605.8316625283815</v>
      </c>
      <c r="N104" s="563">
        <f t="shared" si="3"/>
        <v>44517</v>
      </c>
    </row>
    <row r="105" spans="1:14" x14ac:dyDescent="0.25">
      <c r="A105" s="188" t="s">
        <v>530</v>
      </c>
      <c r="B105" s="188" t="s">
        <v>531</v>
      </c>
      <c r="C105" s="188" t="s">
        <v>532</v>
      </c>
      <c r="D105" s="560">
        <v>119100</v>
      </c>
      <c r="E105" s="188" t="s">
        <v>98</v>
      </c>
      <c r="F105" s="561">
        <v>1</v>
      </c>
      <c r="G105" s="188" t="s">
        <v>13</v>
      </c>
      <c r="H105" s="188" t="s">
        <v>533</v>
      </c>
      <c r="I105" s="562">
        <v>44518</v>
      </c>
      <c r="J105" s="562">
        <v>44530</v>
      </c>
      <c r="K105" s="6" t="str">
        <f t="shared" si="4"/>
        <v>PP-ICP</v>
      </c>
      <c r="L105" s="14">
        <f>VLOOKUP(J105,'USD to INR'!$B$2:$G$560,6,TRUE)</f>
        <v>75.313000000000002</v>
      </c>
      <c r="M105" s="216">
        <f t="shared" si="5"/>
        <v>1581.4002894586592</v>
      </c>
      <c r="N105" s="563">
        <f t="shared" si="3"/>
        <v>44530</v>
      </c>
    </row>
    <row r="106" spans="1:14" x14ac:dyDescent="0.25">
      <c r="A106" s="188" t="s">
        <v>530</v>
      </c>
      <c r="B106" s="188" t="s">
        <v>531</v>
      </c>
      <c r="C106" s="188" t="s">
        <v>532</v>
      </c>
      <c r="D106" s="560">
        <v>115450</v>
      </c>
      <c r="E106" s="188" t="s">
        <v>98</v>
      </c>
      <c r="F106" s="561">
        <v>1</v>
      </c>
      <c r="G106" s="188" t="s">
        <v>13</v>
      </c>
      <c r="H106" s="188" t="s">
        <v>533</v>
      </c>
      <c r="I106" s="562">
        <v>44531</v>
      </c>
      <c r="J106" s="562">
        <v>44538</v>
      </c>
      <c r="K106" s="6" t="str">
        <f t="shared" si="4"/>
        <v>PP-ICP</v>
      </c>
      <c r="L106" s="14">
        <f>VLOOKUP(J106,'USD to INR'!$B$2:$G$560,6,TRUE)</f>
        <v>75.313000000000002</v>
      </c>
      <c r="M106" s="216">
        <f t="shared" si="5"/>
        <v>1532.9358809236121</v>
      </c>
      <c r="N106" s="563">
        <f t="shared" si="3"/>
        <v>44538</v>
      </c>
    </row>
    <row r="107" spans="1:14" x14ac:dyDescent="0.25">
      <c r="A107" s="188" t="s">
        <v>530</v>
      </c>
      <c r="B107" s="188" t="s">
        <v>531</v>
      </c>
      <c r="C107" s="188" t="s">
        <v>532</v>
      </c>
      <c r="D107" s="560">
        <v>110840</v>
      </c>
      <c r="E107" s="188" t="s">
        <v>98</v>
      </c>
      <c r="F107" s="561">
        <v>1</v>
      </c>
      <c r="G107" s="188" t="s">
        <v>13</v>
      </c>
      <c r="H107" s="188" t="s">
        <v>533</v>
      </c>
      <c r="I107" s="562">
        <v>44539</v>
      </c>
      <c r="J107" s="562">
        <v>44545</v>
      </c>
      <c r="K107" s="6" t="str">
        <f t="shared" si="4"/>
        <v>PP-ICP</v>
      </c>
      <c r="L107" s="14">
        <f>VLOOKUP(J107,'USD to INR'!$B$2:$G$560,6,TRUE)</f>
        <v>75.313000000000002</v>
      </c>
      <c r="M107" s="216">
        <f t="shared" si="5"/>
        <v>1471.7246690478403</v>
      </c>
      <c r="N107" s="563">
        <f t="shared" si="3"/>
        <v>44545</v>
      </c>
    </row>
    <row r="108" spans="1:14" x14ac:dyDescent="0.25">
      <c r="A108" s="188" t="s">
        <v>530</v>
      </c>
      <c r="B108" s="188" t="s">
        <v>531</v>
      </c>
      <c r="C108" s="188" t="s">
        <v>532</v>
      </c>
      <c r="D108" s="560">
        <v>108070</v>
      </c>
      <c r="E108" s="188" t="s">
        <v>98</v>
      </c>
      <c r="F108" s="561">
        <v>1</v>
      </c>
      <c r="G108" s="188" t="s">
        <v>13</v>
      </c>
      <c r="H108" s="188" t="s">
        <v>533</v>
      </c>
      <c r="I108" s="562">
        <v>44546</v>
      </c>
      <c r="J108" s="562">
        <v>44561</v>
      </c>
      <c r="K108" s="6" t="str">
        <f t="shared" si="4"/>
        <v>PP-ICP</v>
      </c>
      <c r="L108" s="14">
        <f>VLOOKUP(J108,'USD to INR'!$B$2:$G$560,6,TRUE)</f>
        <v>75.313000000000002</v>
      </c>
      <c r="M108" s="216">
        <f t="shared" si="5"/>
        <v>1434.9448302417909</v>
      </c>
      <c r="N108" s="563">
        <f t="shared" si="3"/>
        <v>44561</v>
      </c>
    </row>
    <row r="109" spans="1:14" x14ac:dyDescent="0.25">
      <c r="A109" s="188" t="s">
        <v>530</v>
      </c>
      <c r="B109" s="188" t="s">
        <v>531</v>
      </c>
      <c r="C109" s="188" t="s">
        <v>532</v>
      </c>
      <c r="D109" s="560">
        <v>81080</v>
      </c>
      <c r="E109" s="188" t="s">
        <v>98</v>
      </c>
      <c r="F109" s="561">
        <v>1</v>
      </c>
      <c r="G109" s="188" t="s">
        <v>13</v>
      </c>
      <c r="H109" s="188" t="s">
        <v>534</v>
      </c>
      <c r="I109" s="562">
        <v>43101</v>
      </c>
      <c r="J109" s="562">
        <v>43117</v>
      </c>
      <c r="K109" s="6" t="str">
        <f t="shared" si="4"/>
        <v>PP RAFFIA</v>
      </c>
      <c r="L109" s="14">
        <f>VLOOKUP(J109,'USD to INR'!$B$2:$G$560,6,TRUE)</f>
        <v>63.83</v>
      </c>
      <c r="M109" s="216">
        <f t="shared" si="5"/>
        <v>1270.2490991696695</v>
      </c>
      <c r="N109" s="563">
        <f t="shared" si="3"/>
        <v>43117</v>
      </c>
    </row>
    <row r="110" spans="1:14" x14ac:dyDescent="0.25">
      <c r="A110" s="188" t="s">
        <v>530</v>
      </c>
      <c r="B110" s="188" t="s">
        <v>531</v>
      </c>
      <c r="C110" s="188" t="s">
        <v>532</v>
      </c>
      <c r="D110" s="560">
        <v>82480</v>
      </c>
      <c r="E110" s="188" t="s">
        <v>98</v>
      </c>
      <c r="F110" s="561">
        <v>1</v>
      </c>
      <c r="G110" s="188" t="s">
        <v>13</v>
      </c>
      <c r="H110" s="188" t="s">
        <v>534</v>
      </c>
      <c r="I110" s="562">
        <v>43118</v>
      </c>
      <c r="J110" s="562">
        <v>43124</v>
      </c>
      <c r="K110" s="6" t="str">
        <f t="shared" si="4"/>
        <v>PP RAFFIA</v>
      </c>
      <c r="L110" s="14">
        <f>VLOOKUP(J110,'USD to INR'!$B$2:$G$560,6,TRUE)</f>
        <v>63.59</v>
      </c>
      <c r="M110" s="216">
        <f t="shared" si="5"/>
        <v>1297.0592860512659</v>
      </c>
      <c r="N110" s="563">
        <f t="shared" si="3"/>
        <v>43124</v>
      </c>
    </row>
    <row r="111" spans="1:14" x14ac:dyDescent="0.25">
      <c r="A111" s="188" t="s">
        <v>530</v>
      </c>
      <c r="B111" s="188" t="s">
        <v>531</v>
      </c>
      <c r="C111" s="188" t="s">
        <v>532</v>
      </c>
      <c r="D111" s="560">
        <v>83870</v>
      </c>
      <c r="E111" s="188" t="s">
        <v>98</v>
      </c>
      <c r="F111" s="561">
        <v>1</v>
      </c>
      <c r="G111" s="188" t="s">
        <v>13</v>
      </c>
      <c r="H111" s="188" t="s">
        <v>534</v>
      </c>
      <c r="I111" s="562">
        <v>43125</v>
      </c>
      <c r="J111" s="562">
        <v>43131</v>
      </c>
      <c r="K111" s="6" t="str">
        <f t="shared" si="4"/>
        <v>PP RAFFIA</v>
      </c>
      <c r="L111" s="14">
        <f>VLOOKUP(J111,'USD to INR'!$B$2:$G$560,6,TRUE)</f>
        <v>64.13</v>
      </c>
      <c r="M111" s="216">
        <f t="shared" si="5"/>
        <v>1307.8122563542804</v>
      </c>
      <c r="N111" s="563">
        <f t="shared" si="3"/>
        <v>43131</v>
      </c>
    </row>
    <row r="112" spans="1:14" x14ac:dyDescent="0.25">
      <c r="A112" s="188" t="s">
        <v>530</v>
      </c>
      <c r="B112" s="188" t="s">
        <v>531</v>
      </c>
      <c r="C112" s="188" t="s">
        <v>532</v>
      </c>
      <c r="D112" s="560">
        <v>86170</v>
      </c>
      <c r="E112" s="188" t="s">
        <v>98</v>
      </c>
      <c r="F112" s="561">
        <v>1</v>
      </c>
      <c r="G112" s="188" t="s">
        <v>13</v>
      </c>
      <c r="H112" s="188" t="s">
        <v>534</v>
      </c>
      <c r="I112" s="562">
        <v>43132</v>
      </c>
      <c r="J112" s="562">
        <v>43145</v>
      </c>
      <c r="K112" s="6" t="str">
        <f t="shared" si="4"/>
        <v>PP RAFFIA</v>
      </c>
      <c r="L112" s="14">
        <f>VLOOKUP(J112,'USD to INR'!$B$2:$G$560,6,TRUE)</f>
        <v>64.215000000000003</v>
      </c>
      <c r="M112" s="216">
        <f t="shared" si="5"/>
        <v>1341.8983103636222</v>
      </c>
      <c r="N112" s="563">
        <f t="shared" si="3"/>
        <v>43145</v>
      </c>
    </row>
    <row r="113" spans="1:14" x14ac:dyDescent="0.25">
      <c r="A113" s="188" t="s">
        <v>530</v>
      </c>
      <c r="B113" s="188" t="s">
        <v>531</v>
      </c>
      <c r="C113" s="188" t="s">
        <v>532</v>
      </c>
      <c r="D113" s="560">
        <v>88460</v>
      </c>
      <c r="E113" s="188" t="s">
        <v>98</v>
      </c>
      <c r="F113" s="561">
        <v>1</v>
      </c>
      <c r="G113" s="188" t="s">
        <v>13</v>
      </c>
      <c r="H113" s="188" t="s">
        <v>534</v>
      </c>
      <c r="I113" s="562">
        <v>43146</v>
      </c>
      <c r="J113" s="562">
        <v>43159</v>
      </c>
      <c r="K113" s="6" t="str">
        <f t="shared" si="4"/>
        <v>PP RAFFIA</v>
      </c>
      <c r="L113" s="14">
        <f>VLOOKUP(J113,'USD to INR'!$B$2:$G$560,6,TRUE)</f>
        <v>65.22</v>
      </c>
      <c r="M113" s="216">
        <f t="shared" si="5"/>
        <v>1356.3324133701319</v>
      </c>
      <c r="N113" s="563">
        <f t="shared" si="3"/>
        <v>43159</v>
      </c>
    </row>
    <row r="114" spans="1:14" x14ac:dyDescent="0.25">
      <c r="A114" s="188" t="s">
        <v>530</v>
      </c>
      <c r="B114" s="188" t="s">
        <v>531</v>
      </c>
      <c r="C114" s="188" t="s">
        <v>532</v>
      </c>
      <c r="D114" s="560">
        <v>88460</v>
      </c>
      <c r="E114" s="188" t="s">
        <v>98</v>
      </c>
      <c r="F114" s="561">
        <v>1</v>
      </c>
      <c r="G114" s="188" t="s">
        <v>13</v>
      </c>
      <c r="H114" s="188" t="s">
        <v>534</v>
      </c>
      <c r="I114" s="562">
        <v>43160</v>
      </c>
      <c r="J114" s="562">
        <v>43190</v>
      </c>
      <c r="K114" s="6" t="str">
        <f t="shared" si="4"/>
        <v>PP RAFFIA</v>
      </c>
      <c r="L114" s="14">
        <f>VLOOKUP(J114,'USD to INR'!$B$2:$G$560,6,TRUE)</f>
        <v>65.114999999999995</v>
      </c>
      <c r="M114" s="216">
        <f t="shared" si="5"/>
        <v>1358.5195423481534</v>
      </c>
      <c r="N114" s="563">
        <f t="shared" si="3"/>
        <v>43190</v>
      </c>
    </row>
    <row r="115" spans="1:14" x14ac:dyDescent="0.25">
      <c r="A115" s="188" t="s">
        <v>530</v>
      </c>
      <c r="B115" s="188" t="s">
        <v>531</v>
      </c>
      <c r="C115" s="188" t="s">
        <v>532</v>
      </c>
      <c r="D115" s="560">
        <v>88460</v>
      </c>
      <c r="E115" s="188" t="s">
        <v>98</v>
      </c>
      <c r="F115" s="561">
        <v>1</v>
      </c>
      <c r="G115" s="188" t="s">
        <v>13</v>
      </c>
      <c r="H115" s="188" t="s">
        <v>534</v>
      </c>
      <c r="I115" s="562">
        <v>43191</v>
      </c>
      <c r="J115" s="562">
        <v>43208</v>
      </c>
      <c r="K115" s="6" t="str">
        <f t="shared" si="4"/>
        <v>PP RAFFIA</v>
      </c>
      <c r="L115" s="14">
        <f>VLOOKUP(J115,'USD to INR'!$B$2:$G$560,6,TRUE)</f>
        <v>66.209999999999994</v>
      </c>
      <c r="M115" s="216">
        <f t="shared" si="5"/>
        <v>1336.0519558979008</v>
      </c>
      <c r="N115" s="563">
        <f t="shared" si="3"/>
        <v>43208</v>
      </c>
    </row>
    <row r="116" spans="1:14" x14ac:dyDescent="0.25">
      <c r="A116" s="188" t="s">
        <v>530</v>
      </c>
      <c r="B116" s="188" t="s">
        <v>531</v>
      </c>
      <c r="C116" s="188" t="s">
        <v>532</v>
      </c>
      <c r="D116" s="560">
        <v>88460</v>
      </c>
      <c r="E116" s="188" t="s">
        <v>98</v>
      </c>
      <c r="F116" s="561">
        <v>1</v>
      </c>
      <c r="G116" s="188" t="s">
        <v>13</v>
      </c>
      <c r="H116" s="188" t="s">
        <v>534</v>
      </c>
      <c r="I116" s="562">
        <v>43209</v>
      </c>
      <c r="J116" s="562">
        <v>43220</v>
      </c>
      <c r="K116" s="6" t="str">
        <f t="shared" si="4"/>
        <v>PP RAFFIA</v>
      </c>
      <c r="L116" s="14">
        <f>VLOOKUP(J116,'USD to INR'!$B$2:$G$560,6,TRUE)</f>
        <v>66.819999999999993</v>
      </c>
      <c r="M116" s="216">
        <f t="shared" si="5"/>
        <v>1323.8551331936546</v>
      </c>
      <c r="N116" s="563">
        <f t="shared" si="3"/>
        <v>43220</v>
      </c>
    </row>
    <row r="117" spans="1:14" x14ac:dyDescent="0.25">
      <c r="A117" s="188" t="s">
        <v>530</v>
      </c>
      <c r="B117" s="188" t="s">
        <v>531</v>
      </c>
      <c r="C117" s="188" t="s">
        <v>532</v>
      </c>
      <c r="D117" s="560">
        <v>89660</v>
      </c>
      <c r="E117" s="188" t="s">
        <v>98</v>
      </c>
      <c r="F117" s="561">
        <v>1</v>
      </c>
      <c r="G117" s="188" t="s">
        <v>13</v>
      </c>
      <c r="H117" s="188" t="s">
        <v>534</v>
      </c>
      <c r="I117" s="562">
        <v>43221</v>
      </c>
      <c r="J117" s="562">
        <v>43236</v>
      </c>
      <c r="K117" s="6" t="str">
        <f t="shared" si="4"/>
        <v>PP RAFFIA</v>
      </c>
      <c r="L117" s="14">
        <f>VLOOKUP(J117,'USD to INR'!$B$2:$G$560,6,TRUE)</f>
        <v>67.989999999999995</v>
      </c>
      <c r="M117" s="216">
        <f t="shared" si="5"/>
        <v>1318.7233416678923</v>
      </c>
      <c r="N117" s="563">
        <f t="shared" si="3"/>
        <v>43236</v>
      </c>
    </row>
    <row r="118" spans="1:14" x14ac:dyDescent="0.25">
      <c r="A118" s="188" t="s">
        <v>530</v>
      </c>
      <c r="B118" s="188" t="s">
        <v>531</v>
      </c>
      <c r="C118" s="188" t="s">
        <v>532</v>
      </c>
      <c r="D118" s="560">
        <v>92430</v>
      </c>
      <c r="E118" s="188" t="s">
        <v>98</v>
      </c>
      <c r="F118" s="561">
        <v>1</v>
      </c>
      <c r="G118" s="188" t="s">
        <v>13</v>
      </c>
      <c r="H118" s="188" t="s">
        <v>534</v>
      </c>
      <c r="I118" s="562">
        <v>43237</v>
      </c>
      <c r="J118" s="562">
        <v>43251</v>
      </c>
      <c r="K118" s="6" t="str">
        <f t="shared" si="4"/>
        <v>PP RAFFIA</v>
      </c>
      <c r="L118" s="14">
        <f>VLOOKUP(J118,'USD to INR'!$B$2:$G$560,6,TRUE)</f>
        <v>66.995000000000005</v>
      </c>
      <c r="M118" s="216">
        <f t="shared" si="5"/>
        <v>1379.6551981491154</v>
      </c>
      <c r="N118" s="563">
        <f t="shared" si="3"/>
        <v>43251</v>
      </c>
    </row>
    <row r="119" spans="1:14" x14ac:dyDescent="0.25">
      <c r="A119" s="188" t="s">
        <v>530</v>
      </c>
      <c r="B119" s="188" t="s">
        <v>531</v>
      </c>
      <c r="C119" s="188" t="s">
        <v>532</v>
      </c>
      <c r="D119" s="560">
        <v>93810</v>
      </c>
      <c r="E119" s="188" t="s">
        <v>98</v>
      </c>
      <c r="F119" s="561">
        <v>1</v>
      </c>
      <c r="G119" s="188" t="s">
        <v>13</v>
      </c>
      <c r="H119" s="188" t="s">
        <v>534</v>
      </c>
      <c r="I119" s="562">
        <v>43252</v>
      </c>
      <c r="J119" s="562">
        <v>43281</v>
      </c>
      <c r="K119" s="6" t="str">
        <f t="shared" si="4"/>
        <v>PP RAFFIA</v>
      </c>
      <c r="L119" s="14">
        <f>VLOOKUP(J119,'USD to INR'!$B$2:$G$560,6,TRUE)</f>
        <v>68.459999999999994</v>
      </c>
      <c r="M119" s="216">
        <f t="shared" si="5"/>
        <v>1370.2892199824716</v>
      </c>
      <c r="N119" s="563">
        <f t="shared" si="3"/>
        <v>43281</v>
      </c>
    </row>
    <row r="120" spans="1:14" x14ac:dyDescent="0.25">
      <c r="A120" s="188" t="s">
        <v>530</v>
      </c>
      <c r="B120" s="188" t="s">
        <v>531</v>
      </c>
      <c r="C120" s="188" t="s">
        <v>532</v>
      </c>
      <c r="D120" s="560">
        <v>93810</v>
      </c>
      <c r="E120" s="188" t="s">
        <v>98</v>
      </c>
      <c r="F120" s="561">
        <v>1</v>
      </c>
      <c r="G120" s="188" t="s">
        <v>13</v>
      </c>
      <c r="H120" s="188" t="s">
        <v>534</v>
      </c>
      <c r="I120" s="562">
        <v>43282</v>
      </c>
      <c r="J120" s="562">
        <v>43292</v>
      </c>
      <c r="K120" s="6" t="str">
        <f t="shared" si="4"/>
        <v>PP RAFFIA</v>
      </c>
      <c r="L120" s="14">
        <f>VLOOKUP(J120,'USD to INR'!$B$2:$G$560,6,TRUE)</f>
        <v>68.5</v>
      </c>
      <c r="M120" s="216">
        <f t="shared" si="5"/>
        <v>1369.4890510948906</v>
      </c>
      <c r="N120" s="563">
        <f t="shared" si="3"/>
        <v>43292</v>
      </c>
    </row>
    <row r="121" spans="1:14" x14ac:dyDescent="0.25">
      <c r="A121" s="188" t="s">
        <v>530</v>
      </c>
      <c r="B121" s="188" t="s">
        <v>531</v>
      </c>
      <c r="C121" s="188" t="s">
        <v>532</v>
      </c>
      <c r="D121" s="560">
        <v>92430</v>
      </c>
      <c r="E121" s="188" t="s">
        <v>98</v>
      </c>
      <c r="F121" s="561">
        <v>1</v>
      </c>
      <c r="G121" s="188" t="s">
        <v>13</v>
      </c>
      <c r="H121" s="188" t="s">
        <v>534</v>
      </c>
      <c r="I121" s="562">
        <v>43293</v>
      </c>
      <c r="J121" s="562">
        <v>43312</v>
      </c>
      <c r="K121" s="6" t="str">
        <f t="shared" si="4"/>
        <v>PP RAFFIA</v>
      </c>
      <c r="L121" s="14">
        <f>VLOOKUP(J121,'USD to INR'!$B$2:$G$560,6,TRUE)</f>
        <v>68.545000000000002</v>
      </c>
      <c r="M121" s="216">
        <f t="shared" si="5"/>
        <v>1348.4572178860601</v>
      </c>
      <c r="N121" s="563">
        <f t="shared" si="3"/>
        <v>43312</v>
      </c>
    </row>
    <row r="122" spans="1:14" x14ac:dyDescent="0.25">
      <c r="A122" s="188" t="s">
        <v>530</v>
      </c>
      <c r="B122" s="188" t="s">
        <v>531</v>
      </c>
      <c r="C122" s="188" t="s">
        <v>532</v>
      </c>
      <c r="D122" s="560">
        <v>90580</v>
      </c>
      <c r="E122" s="188" t="s">
        <v>98</v>
      </c>
      <c r="F122" s="561">
        <v>1</v>
      </c>
      <c r="G122" s="188" t="s">
        <v>13</v>
      </c>
      <c r="H122" s="188" t="s">
        <v>534</v>
      </c>
      <c r="I122" s="562">
        <v>43313</v>
      </c>
      <c r="J122" s="562">
        <v>43343</v>
      </c>
      <c r="K122" s="6" t="str">
        <f t="shared" si="4"/>
        <v>PP RAFFIA</v>
      </c>
      <c r="L122" s="14">
        <f>VLOOKUP(J122,'USD to INR'!$B$2:$G$560,6,TRUE)</f>
        <v>71.004999999999995</v>
      </c>
      <c r="M122" s="216">
        <f t="shared" si="5"/>
        <v>1275.684810928808</v>
      </c>
      <c r="N122" s="563">
        <f t="shared" si="3"/>
        <v>43343</v>
      </c>
    </row>
    <row r="123" spans="1:14" x14ac:dyDescent="0.25">
      <c r="A123" s="188" t="s">
        <v>530</v>
      </c>
      <c r="B123" s="188" t="s">
        <v>531</v>
      </c>
      <c r="C123" s="188" t="s">
        <v>532</v>
      </c>
      <c r="D123" s="560">
        <v>92420</v>
      </c>
      <c r="E123" s="188" t="s">
        <v>98</v>
      </c>
      <c r="F123" s="561">
        <v>1</v>
      </c>
      <c r="G123" s="188" t="s">
        <v>13</v>
      </c>
      <c r="H123" s="188" t="s">
        <v>534</v>
      </c>
      <c r="I123" s="562">
        <v>43344</v>
      </c>
      <c r="J123" s="562">
        <v>43373</v>
      </c>
      <c r="K123" s="6" t="str">
        <f t="shared" si="4"/>
        <v>PP RAFFIA</v>
      </c>
      <c r="L123" s="14">
        <f>VLOOKUP(J123,'USD to INR'!$B$2:$G$560,6,TRUE)</f>
        <v>73.77</v>
      </c>
      <c r="M123" s="216">
        <f t="shared" si="5"/>
        <v>1252.8127965297547</v>
      </c>
      <c r="N123" s="563">
        <f t="shared" si="3"/>
        <v>43373</v>
      </c>
    </row>
    <row r="124" spans="1:14" x14ac:dyDescent="0.25">
      <c r="A124" s="188" t="s">
        <v>530</v>
      </c>
      <c r="B124" s="188" t="s">
        <v>531</v>
      </c>
      <c r="C124" s="188" t="s">
        <v>532</v>
      </c>
      <c r="D124" s="560">
        <v>94300</v>
      </c>
      <c r="E124" s="188" t="s">
        <v>98</v>
      </c>
      <c r="F124" s="561">
        <v>1</v>
      </c>
      <c r="G124" s="188" t="s">
        <v>13</v>
      </c>
      <c r="H124" s="188" t="s">
        <v>534</v>
      </c>
      <c r="I124" s="562">
        <v>43374</v>
      </c>
      <c r="J124" s="562">
        <v>43383</v>
      </c>
      <c r="K124" s="6" t="str">
        <f t="shared" si="4"/>
        <v>PP RAFFIA</v>
      </c>
      <c r="L124" s="14">
        <f>VLOOKUP(J124,'USD to INR'!$B$2:$G$560,6,TRUE)</f>
        <v>73.61</v>
      </c>
      <c r="M124" s="216">
        <f t="shared" si="5"/>
        <v>1281.0759407689172</v>
      </c>
      <c r="N124" s="563">
        <f t="shared" si="3"/>
        <v>43383</v>
      </c>
    </row>
    <row r="125" spans="1:14" x14ac:dyDescent="0.25">
      <c r="A125" s="188" t="s">
        <v>530</v>
      </c>
      <c r="B125" s="188" t="s">
        <v>531</v>
      </c>
      <c r="C125" s="188" t="s">
        <v>532</v>
      </c>
      <c r="D125" s="560">
        <v>95690</v>
      </c>
      <c r="E125" s="188" t="s">
        <v>98</v>
      </c>
      <c r="F125" s="561">
        <v>1</v>
      </c>
      <c r="G125" s="188" t="s">
        <v>13</v>
      </c>
      <c r="H125" s="188" t="s">
        <v>534</v>
      </c>
      <c r="I125" s="562">
        <v>43384</v>
      </c>
      <c r="J125" s="562">
        <v>43404</v>
      </c>
      <c r="K125" s="6" t="str">
        <f t="shared" si="4"/>
        <v>PP RAFFIA</v>
      </c>
      <c r="L125" s="14">
        <f>VLOOKUP(J125,'USD to INR'!$B$2:$G$560,6,TRUE)</f>
        <v>72.44</v>
      </c>
      <c r="M125" s="216">
        <f t="shared" si="5"/>
        <v>1320.9552733296521</v>
      </c>
      <c r="N125" s="563">
        <f t="shared" si="3"/>
        <v>43404</v>
      </c>
    </row>
    <row r="126" spans="1:14" x14ac:dyDescent="0.25">
      <c r="A126" s="188" t="s">
        <v>530</v>
      </c>
      <c r="B126" s="188" t="s">
        <v>531</v>
      </c>
      <c r="C126" s="188" t="s">
        <v>532</v>
      </c>
      <c r="D126" s="560">
        <v>95690</v>
      </c>
      <c r="E126" s="188" t="s">
        <v>98</v>
      </c>
      <c r="F126" s="561">
        <v>1</v>
      </c>
      <c r="G126" s="188" t="s">
        <v>13</v>
      </c>
      <c r="H126" s="188" t="s">
        <v>534</v>
      </c>
      <c r="I126" s="562">
        <v>43405</v>
      </c>
      <c r="J126" s="562">
        <v>43418</v>
      </c>
      <c r="K126" s="6" t="str">
        <f t="shared" si="4"/>
        <v>PP RAFFIA</v>
      </c>
      <c r="L126" s="14">
        <f>VLOOKUP(J126,'USD to INR'!$B$2:$G$560,6,TRUE)</f>
        <v>71.98</v>
      </c>
      <c r="M126" s="216">
        <f t="shared" si="5"/>
        <v>1329.397054737427</v>
      </c>
      <c r="N126" s="563">
        <f t="shared" si="3"/>
        <v>43418</v>
      </c>
    </row>
    <row r="127" spans="1:14" x14ac:dyDescent="0.25">
      <c r="A127" s="188" t="s">
        <v>530</v>
      </c>
      <c r="B127" s="188" t="s">
        <v>531</v>
      </c>
      <c r="C127" s="188" t="s">
        <v>532</v>
      </c>
      <c r="D127" s="560">
        <v>92920</v>
      </c>
      <c r="E127" s="188" t="s">
        <v>98</v>
      </c>
      <c r="F127" s="561">
        <v>1</v>
      </c>
      <c r="G127" s="188" t="s">
        <v>13</v>
      </c>
      <c r="H127" s="188" t="s">
        <v>534</v>
      </c>
      <c r="I127" s="562">
        <v>43419</v>
      </c>
      <c r="J127" s="562">
        <v>43425</v>
      </c>
      <c r="K127" s="6" t="str">
        <f t="shared" si="4"/>
        <v>PP RAFFIA</v>
      </c>
      <c r="L127" s="14">
        <f>VLOOKUP(J127,'USD to INR'!$B$2:$G$560,6,TRUE)</f>
        <v>70.655000000000001</v>
      </c>
      <c r="M127" s="216">
        <f t="shared" si="5"/>
        <v>1315.1227797041963</v>
      </c>
      <c r="N127" s="563">
        <f t="shared" si="3"/>
        <v>43425</v>
      </c>
    </row>
    <row r="128" spans="1:14" x14ac:dyDescent="0.25">
      <c r="A128" s="188" t="s">
        <v>530</v>
      </c>
      <c r="B128" s="188" t="s">
        <v>531</v>
      </c>
      <c r="C128" s="188" t="s">
        <v>532</v>
      </c>
      <c r="D128" s="560">
        <v>87380</v>
      </c>
      <c r="E128" s="188" t="s">
        <v>98</v>
      </c>
      <c r="F128" s="561">
        <v>1</v>
      </c>
      <c r="G128" s="188" t="s">
        <v>13</v>
      </c>
      <c r="H128" s="188" t="s">
        <v>534</v>
      </c>
      <c r="I128" s="562">
        <v>43426</v>
      </c>
      <c r="J128" s="562">
        <v>43434</v>
      </c>
      <c r="K128" s="6" t="str">
        <f t="shared" si="4"/>
        <v>PP RAFFIA</v>
      </c>
      <c r="L128" s="14">
        <f>VLOOKUP(J128,'USD to INR'!$B$2:$G$560,6,TRUE)</f>
        <v>69.650000000000006</v>
      </c>
      <c r="M128" s="216">
        <f t="shared" si="5"/>
        <v>1254.5585068198131</v>
      </c>
      <c r="N128" s="563">
        <f t="shared" si="3"/>
        <v>43434</v>
      </c>
    </row>
    <row r="129" spans="1:14" x14ac:dyDescent="0.25">
      <c r="A129" s="188" t="s">
        <v>530</v>
      </c>
      <c r="B129" s="188" t="s">
        <v>531</v>
      </c>
      <c r="C129" s="188" t="s">
        <v>532</v>
      </c>
      <c r="D129" s="560">
        <v>79970</v>
      </c>
      <c r="E129" s="188" t="s">
        <v>98</v>
      </c>
      <c r="F129" s="561">
        <v>1</v>
      </c>
      <c r="G129" s="188" t="s">
        <v>13</v>
      </c>
      <c r="H129" s="188" t="s">
        <v>534</v>
      </c>
      <c r="I129" s="562">
        <v>43435</v>
      </c>
      <c r="J129" s="562">
        <v>43465</v>
      </c>
      <c r="K129" s="6" t="str">
        <f t="shared" si="4"/>
        <v>PP RAFFIA</v>
      </c>
      <c r="L129" s="14">
        <f>VLOOKUP(J129,'USD to INR'!$B$2:$G$560,6,TRUE)</f>
        <v>69.55</v>
      </c>
      <c r="M129" s="216">
        <f t="shared" si="5"/>
        <v>1149.8202731847591</v>
      </c>
      <c r="N129" s="563">
        <f t="shared" si="3"/>
        <v>43465</v>
      </c>
    </row>
    <row r="130" spans="1:14" x14ac:dyDescent="0.25">
      <c r="A130" s="188" t="s">
        <v>530</v>
      </c>
      <c r="B130" s="188" t="s">
        <v>531</v>
      </c>
      <c r="C130" s="188" t="s">
        <v>532</v>
      </c>
      <c r="D130" s="560">
        <v>80095</v>
      </c>
      <c r="E130" s="188" t="s">
        <v>98</v>
      </c>
      <c r="F130" s="561">
        <v>1</v>
      </c>
      <c r="G130" s="188" t="s">
        <v>13</v>
      </c>
      <c r="H130" s="188" t="s">
        <v>534</v>
      </c>
      <c r="I130" s="562">
        <v>43466</v>
      </c>
      <c r="J130" s="562">
        <v>43474</v>
      </c>
      <c r="K130" s="6" t="str">
        <f t="shared" si="4"/>
        <v>PP RAFFIA</v>
      </c>
      <c r="L130" s="14">
        <f>VLOOKUP(J130,'USD to INR'!$B$2:$G$560,6,TRUE)</f>
        <v>70.399000000000001</v>
      </c>
      <c r="M130" s="216">
        <f t="shared" si="5"/>
        <v>1137.7292291083679</v>
      </c>
      <c r="N130" s="563">
        <f t="shared" ref="N130:N193" si="6">J130</f>
        <v>43474</v>
      </c>
    </row>
    <row r="131" spans="1:14" x14ac:dyDescent="0.25">
      <c r="A131" s="188" t="s">
        <v>530</v>
      </c>
      <c r="B131" s="188" t="s">
        <v>531</v>
      </c>
      <c r="C131" s="188" t="s">
        <v>532</v>
      </c>
      <c r="D131" s="560">
        <v>80095</v>
      </c>
      <c r="E131" s="188" t="s">
        <v>98</v>
      </c>
      <c r="F131" s="561">
        <v>1</v>
      </c>
      <c r="G131" s="188" t="s">
        <v>13</v>
      </c>
      <c r="H131" s="188" t="s">
        <v>534</v>
      </c>
      <c r="I131" s="562">
        <v>43475</v>
      </c>
      <c r="J131" s="562">
        <v>43496</v>
      </c>
      <c r="K131" s="6" t="str">
        <f t="shared" ref="K131:K194" si="7">VLOOKUP(H131,$V$2:$W$10,2,TRUE)</f>
        <v>PP RAFFIA</v>
      </c>
      <c r="L131" s="14">
        <f>VLOOKUP(J131,'USD to INR'!$B$2:$G$560,6,TRUE)</f>
        <v>71.435000000000002</v>
      </c>
      <c r="M131" s="216">
        <f t="shared" ref="M131:M194" si="8">D131/L131</f>
        <v>1121.2290893819556</v>
      </c>
      <c r="N131" s="563">
        <f t="shared" si="6"/>
        <v>43496</v>
      </c>
    </row>
    <row r="132" spans="1:14" x14ac:dyDescent="0.25">
      <c r="A132" s="188" t="s">
        <v>530</v>
      </c>
      <c r="B132" s="188" t="s">
        <v>531</v>
      </c>
      <c r="C132" s="188" t="s">
        <v>532</v>
      </c>
      <c r="D132" s="560">
        <v>81565</v>
      </c>
      <c r="E132" s="188" t="s">
        <v>98</v>
      </c>
      <c r="F132" s="561">
        <v>1</v>
      </c>
      <c r="G132" s="188" t="s">
        <v>13</v>
      </c>
      <c r="H132" s="188" t="s">
        <v>534</v>
      </c>
      <c r="I132" s="562">
        <v>43497</v>
      </c>
      <c r="J132" s="562">
        <v>43516</v>
      </c>
      <c r="K132" s="6" t="str">
        <f t="shared" si="7"/>
        <v>PP RAFFIA</v>
      </c>
      <c r="L132" s="14">
        <f>VLOOKUP(J132,'USD to INR'!$B$2:$G$560,6,TRUE)</f>
        <v>71.034999999999997</v>
      </c>
      <c r="M132" s="216">
        <f t="shared" si="8"/>
        <v>1148.2367846836066</v>
      </c>
      <c r="N132" s="563">
        <f t="shared" si="6"/>
        <v>43516</v>
      </c>
    </row>
    <row r="133" spans="1:14" x14ac:dyDescent="0.25">
      <c r="A133" s="188" t="s">
        <v>530</v>
      </c>
      <c r="B133" s="188" t="s">
        <v>531</v>
      </c>
      <c r="C133" s="188" t="s">
        <v>532</v>
      </c>
      <c r="D133" s="560">
        <v>82955</v>
      </c>
      <c r="E133" s="188" t="s">
        <v>98</v>
      </c>
      <c r="F133" s="561">
        <v>1</v>
      </c>
      <c r="G133" s="188" t="s">
        <v>13</v>
      </c>
      <c r="H133" s="188" t="s">
        <v>534</v>
      </c>
      <c r="I133" s="562">
        <v>43517</v>
      </c>
      <c r="J133" s="562">
        <v>43524</v>
      </c>
      <c r="K133" s="6" t="str">
        <f t="shared" si="7"/>
        <v>PP RAFFIA</v>
      </c>
      <c r="L133" s="14">
        <f>VLOOKUP(J133,'USD to INR'!$B$2:$G$560,6,TRUE)</f>
        <v>71</v>
      </c>
      <c r="M133" s="216">
        <f t="shared" si="8"/>
        <v>1168.3802816901409</v>
      </c>
      <c r="N133" s="563">
        <f t="shared" si="6"/>
        <v>43524</v>
      </c>
    </row>
    <row r="134" spans="1:14" x14ac:dyDescent="0.25">
      <c r="A134" s="188" t="s">
        <v>530</v>
      </c>
      <c r="B134" s="188" t="s">
        <v>531</v>
      </c>
      <c r="C134" s="188" t="s">
        <v>532</v>
      </c>
      <c r="D134" s="560">
        <v>83875</v>
      </c>
      <c r="E134" s="188" t="s">
        <v>98</v>
      </c>
      <c r="F134" s="561">
        <v>1</v>
      </c>
      <c r="G134" s="188" t="s">
        <v>13</v>
      </c>
      <c r="H134" s="188" t="s">
        <v>534</v>
      </c>
      <c r="I134" s="562">
        <v>43525</v>
      </c>
      <c r="J134" s="562">
        <v>43555</v>
      </c>
      <c r="K134" s="6" t="str">
        <f t="shared" si="7"/>
        <v>PP RAFFIA</v>
      </c>
      <c r="L134" s="14">
        <f>VLOOKUP(J134,'USD to INR'!$B$2:$G$560,6,TRUE)</f>
        <v>69.17</v>
      </c>
      <c r="M134" s="216">
        <f t="shared" si="8"/>
        <v>1212.5921642330491</v>
      </c>
      <c r="N134" s="563">
        <f t="shared" si="6"/>
        <v>43555</v>
      </c>
    </row>
    <row r="135" spans="1:14" x14ac:dyDescent="0.25">
      <c r="A135" s="188" t="s">
        <v>530</v>
      </c>
      <c r="B135" s="188" t="s">
        <v>531</v>
      </c>
      <c r="C135" s="188" t="s">
        <v>532</v>
      </c>
      <c r="D135" s="560">
        <v>84805</v>
      </c>
      <c r="E135" s="188" t="s">
        <v>98</v>
      </c>
      <c r="F135" s="561">
        <v>1</v>
      </c>
      <c r="G135" s="188" t="s">
        <v>13</v>
      </c>
      <c r="H135" s="188" t="s">
        <v>534</v>
      </c>
      <c r="I135" s="562">
        <v>43556</v>
      </c>
      <c r="J135" s="562">
        <v>43565</v>
      </c>
      <c r="K135" s="6" t="str">
        <f t="shared" si="7"/>
        <v>PP RAFFIA</v>
      </c>
      <c r="L135" s="14">
        <f>VLOOKUP(J135,'USD to INR'!$B$2:$G$560,6,TRUE)</f>
        <v>69.19</v>
      </c>
      <c r="M135" s="216">
        <f t="shared" si="8"/>
        <v>1225.6829021534904</v>
      </c>
      <c r="N135" s="563">
        <f t="shared" si="6"/>
        <v>43565</v>
      </c>
    </row>
    <row r="136" spans="1:14" x14ac:dyDescent="0.25">
      <c r="A136" s="188" t="s">
        <v>530</v>
      </c>
      <c r="B136" s="188" t="s">
        <v>531</v>
      </c>
      <c r="C136" s="188" t="s">
        <v>532</v>
      </c>
      <c r="D136" s="560">
        <v>85725</v>
      </c>
      <c r="E136" s="188" t="s">
        <v>98</v>
      </c>
      <c r="F136" s="561">
        <v>1</v>
      </c>
      <c r="G136" s="188" t="s">
        <v>13</v>
      </c>
      <c r="H136" s="188" t="s">
        <v>534</v>
      </c>
      <c r="I136" s="562">
        <v>43566</v>
      </c>
      <c r="J136" s="562">
        <v>43572</v>
      </c>
      <c r="K136" s="6" t="str">
        <f t="shared" si="7"/>
        <v>PP RAFFIA</v>
      </c>
      <c r="L136" s="14">
        <f>VLOOKUP(J136,'USD to INR'!$B$2:$G$560,6,TRUE)</f>
        <v>69.406999999999996</v>
      </c>
      <c r="M136" s="216">
        <f t="shared" si="8"/>
        <v>1235.1059691385597</v>
      </c>
      <c r="N136" s="563">
        <f t="shared" si="6"/>
        <v>43572</v>
      </c>
    </row>
    <row r="137" spans="1:14" x14ac:dyDescent="0.25">
      <c r="A137" s="188" t="s">
        <v>530</v>
      </c>
      <c r="B137" s="188" t="s">
        <v>531</v>
      </c>
      <c r="C137" s="188" t="s">
        <v>532</v>
      </c>
      <c r="D137" s="560">
        <v>86645</v>
      </c>
      <c r="E137" s="188" t="s">
        <v>98</v>
      </c>
      <c r="F137" s="561">
        <v>1</v>
      </c>
      <c r="G137" s="188" t="s">
        <v>13</v>
      </c>
      <c r="H137" s="188" t="s">
        <v>534</v>
      </c>
      <c r="I137" s="562">
        <v>43573</v>
      </c>
      <c r="J137" s="562">
        <v>43579</v>
      </c>
      <c r="K137" s="6" t="str">
        <f t="shared" si="7"/>
        <v>PP RAFFIA</v>
      </c>
      <c r="L137" s="14">
        <f>VLOOKUP(J137,'USD to INR'!$B$2:$G$560,6,TRUE)</f>
        <v>69.849999999999994</v>
      </c>
      <c r="M137" s="216">
        <f t="shared" si="8"/>
        <v>1240.4438081603437</v>
      </c>
      <c r="N137" s="563">
        <f t="shared" si="6"/>
        <v>43579</v>
      </c>
    </row>
    <row r="138" spans="1:14" x14ac:dyDescent="0.25">
      <c r="A138" s="188" t="s">
        <v>530</v>
      </c>
      <c r="B138" s="188" t="s">
        <v>531</v>
      </c>
      <c r="C138" s="188" t="s">
        <v>532</v>
      </c>
      <c r="D138" s="560">
        <v>88495</v>
      </c>
      <c r="E138" s="188" t="s">
        <v>98</v>
      </c>
      <c r="F138" s="561">
        <v>1</v>
      </c>
      <c r="G138" s="188" t="s">
        <v>13</v>
      </c>
      <c r="H138" s="188" t="s">
        <v>534</v>
      </c>
      <c r="I138" s="562">
        <v>43580</v>
      </c>
      <c r="J138" s="562">
        <v>43585</v>
      </c>
      <c r="K138" s="6" t="str">
        <f t="shared" si="7"/>
        <v>PP RAFFIA</v>
      </c>
      <c r="L138" s="14">
        <f>VLOOKUP(J138,'USD to INR'!$B$2:$G$560,6,TRUE)</f>
        <v>69.094999999999999</v>
      </c>
      <c r="M138" s="216">
        <f t="shared" si="8"/>
        <v>1280.7728489760475</v>
      </c>
      <c r="N138" s="563">
        <f t="shared" si="6"/>
        <v>43585</v>
      </c>
    </row>
    <row r="139" spans="1:14" x14ac:dyDescent="0.25">
      <c r="A139" s="188" t="s">
        <v>530</v>
      </c>
      <c r="B139" s="188" t="s">
        <v>531</v>
      </c>
      <c r="C139" s="188" t="s">
        <v>532</v>
      </c>
      <c r="D139" s="560">
        <v>88395</v>
      </c>
      <c r="E139" s="188" t="s">
        <v>98</v>
      </c>
      <c r="F139" s="561">
        <v>1</v>
      </c>
      <c r="G139" s="188" t="s">
        <v>13</v>
      </c>
      <c r="H139" s="188" t="s">
        <v>534</v>
      </c>
      <c r="I139" s="562">
        <v>43586</v>
      </c>
      <c r="J139" s="562">
        <v>43593</v>
      </c>
      <c r="K139" s="6" t="str">
        <f t="shared" si="7"/>
        <v>PP RAFFIA</v>
      </c>
      <c r="L139" s="14">
        <f>VLOOKUP(J139,'USD to INR'!$B$2:$G$560,6,TRUE)</f>
        <v>70.015000000000001</v>
      </c>
      <c r="M139" s="216">
        <f t="shared" si="8"/>
        <v>1262.5151753195744</v>
      </c>
      <c r="N139" s="563">
        <f t="shared" si="6"/>
        <v>43593</v>
      </c>
    </row>
    <row r="140" spans="1:14" x14ac:dyDescent="0.25">
      <c r="A140" s="188" t="s">
        <v>530</v>
      </c>
      <c r="B140" s="188" t="s">
        <v>531</v>
      </c>
      <c r="C140" s="188" t="s">
        <v>532</v>
      </c>
      <c r="D140" s="560">
        <v>88495</v>
      </c>
      <c r="E140" s="188" t="s">
        <v>98</v>
      </c>
      <c r="F140" s="561">
        <v>1</v>
      </c>
      <c r="G140" s="188" t="s">
        <v>13</v>
      </c>
      <c r="H140" s="188" t="s">
        <v>534</v>
      </c>
      <c r="I140" s="562">
        <v>43594</v>
      </c>
      <c r="J140" s="562">
        <v>43616</v>
      </c>
      <c r="K140" s="6" t="str">
        <f t="shared" si="7"/>
        <v>PP RAFFIA</v>
      </c>
      <c r="L140" s="14">
        <f>VLOOKUP(J140,'USD to INR'!$B$2:$G$560,6,TRUE)</f>
        <v>69.58</v>
      </c>
      <c r="M140" s="216">
        <f t="shared" si="8"/>
        <v>1271.8453578614544</v>
      </c>
      <c r="N140" s="563">
        <f t="shared" si="6"/>
        <v>43616</v>
      </c>
    </row>
    <row r="141" spans="1:14" x14ac:dyDescent="0.25">
      <c r="A141" s="188" t="s">
        <v>530</v>
      </c>
      <c r="B141" s="188" t="s">
        <v>531</v>
      </c>
      <c r="C141" s="188" t="s">
        <v>532</v>
      </c>
      <c r="D141" s="560">
        <v>86647</v>
      </c>
      <c r="E141" s="188" t="s">
        <v>98</v>
      </c>
      <c r="F141" s="561">
        <v>1</v>
      </c>
      <c r="G141" s="188" t="s">
        <v>13</v>
      </c>
      <c r="H141" s="188" t="s">
        <v>534</v>
      </c>
      <c r="I141" s="562">
        <v>43617</v>
      </c>
      <c r="J141" s="562">
        <v>43628</v>
      </c>
      <c r="K141" s="6" t="str">
        <f t="shared" si="7"/>
        <v>PP RAFFIA</v>
      </c>
      <c r="L141" s="14">
        <f>VLOOKUP(J141,'USD to INR'!$B$2:$G$560,6,TRUE)</f>
        <v>69.832999999999998</v>
      </c>
      <c r="M141" s="216">
        <f t="shared" si="8"/>
        <v>1240.7744189709736</v>
      </c>
      <c r="N141" s="563">
        <f t="shared" si="6"/>
        <v>43628</v>
      </c>
    </row>
    <row r="142" spans="1:14" x14ac:dyDescent="0.25">
      <c r="A142" s="188" t="s">
        <v>530</v>
      </c>
      <c r="B142" s="188" t="s">
        <v>531</v>
      </c>
      <c r="C142" s="188" t="s">
        <v>532</v>
      </c>
      <c r="D142" s="560">
        <v>84797</v>
      </c>
      <c r="E142" s="188" t="s">
        <v>98</v>
      </c>
      <c r="F142" s="561">
        <v>1</v>
      </c>
      <c r="G142" s="188" t="s">
        <v>13</v>
      </c>
      <c r="H142" s="188" t="s">
        <v>534</v>
      </c>
      <c r="I142" s="562">
        <v>43629</v>
      </c>
      <c r="J142" s="562">
        <v>43635</v>
      </c>
      <c r="K142" s="6" t="str">
        <f t="shared" si="7"/>
        <v>PP RAFFIA</v>
      </c>
      <c r="L142" s="14">
        <f>VLOOKUP(J142,'USD to INR'!$B$2:$G$560,6,TRUE)</f>
        <v>69.614999999999995</v>
      </c>
      <c r="M142" s="216">
        <f t="shared" si="8"/>
        <v>1218.0851827910653</v>
      </c>
      <c r="N142" s="563">
        <f t="shared" si="6"/>
        <v>43635</v>
      </c>
    </row>
    <row r="143" spans="1:14" x14ac:dyDescent="0.25">
      <c r="A143" s="188" t="s">
        <v>530</v>
      </c>
      <c r="B143" s="188" t="s">
        <v>531</v>
      </c>
      <c r="C143" s="188" t="s">
        <v>532</v>
      </c>
      <c r="D143" s="560">
        <v>82030</v>
      </c>
      <c r="E143" s="188" t="s">
        <v>98</v>
      </c>
      <c r="F143" s="561">
        <v>1</v>
      </c>
      <c r="G143" s="188" t="s">
        <v>13</v>
      </c>
      <c r="H143" s="188" t="s">
        <v>534</v>
      </c>
      <c r="I143" s="562">
        <v>43636</v>
      </c>
      <c r="J143" s="562">
        <v>43646</v>
      </c>
      <c r="K143" s="6" t="str">
        <f t="shared" si="7"/>
        <v>PP RAFFIA</v>
      </c>
      <c r="L143" s="14">
        <f>VLOOKUP(J143,'USD to INR'!$B$2:$G$560,6,TRUE)</f>
        <v>68.45</v>
      </c>
      <c r="M143" s="216">
        <f t="shared" si="8"/>
        <v>1198.3929875821768</v>
      </c>
      <c r="N143" s="563">
        <f t="shared" si="6"/>
        <v>43646</v>
      </c>
    </row>
    <row r="144" spans="1:14" x14ac:dyDescent="0.25">
      <c r="A144" s="188" t="s">
        <v>530</v>
      </c>
      <c r="B144" s="188" t="s">
        <v>531</v>
      </c>
      <c r="C144" s="188" t="s">
        <v>532</v>
      </c>
      <c r="D144" s="560">
        <v>81960</v>
      </c>
      <c r="E144" s="188" t="s">
        <v>98</v>
      </c>
      <c r="F144" s="561">
        <v>1</v>
      </c>
      <c r="G144" s="188" t="s">
        <v>13</v>
      </c>
      <c r="H144" s="188" t="s">
        <v>534</v>
      </c>
      <c r="I144" s="562">
        <v>43647</v>
      </c>
      <c r="J144" s="562">
        <v>43656</v>
      </c>
      <c r="K144" s="6" t="str">
        <f t="shared" si="7"/>
        <v>PP RAFFIA</v>
      </c>
      <c r="L144" s="14">
        <f>VLOOKUP(J144,'USD to INR'!$B$2:$G$560,6,TRUE)</f>
        <v>68.56</v>
      </c>
      <c r="M144" s="216">
        <f t="shared" si="8"/>
        <v>1195.4492415402567</v>
      </c>
      <c r="N144" s="563">
        <f t="shared" si="6"/>
        <v>43656</v>
      </c>
    </row>
    <row r="145" spans="1:14" x14ac:dyDescent="0.25">
      <c r="A145" s="188" t="s">
        <v>530</v>
      </c>
      <c r="B145" s="188" t="s">
        <v>531</v>
      </c>
      <c r="C145" s="188" t="s">
        <v>532</v>
      </c>
      <c r="D145" s="560">
        <v>83350</v>
      </c>
      <c r="E145" s="188" t="s">
        <v>98</v>
      </c>
      <c r="F145" s="561">
        <v>1</v>
      </c>
      <c r="G145" s="188" t="s">
        <v>13</v>
      </c>
      <c r="H145" s="188" t="s">
        <v>534</v>
      </c>
      <c r="I145" s="562">
        <v>43657</v>
      </c>
      <c r="J145" s="562">
        <v>43677</v>
      </c>
      <c r="K145" s="6" t="str">
        <f t="shared" si="7"/>
        <v>PP RAFFIA</v>
      </c>
      <c r="L145" s="14">
        <f>VLOOKUP(J145,'USD to INR'!$B$2:$G$560,6,TRUE)</f>
        <v>69.7</v>
      </c>
      <c r="M145" s="216">
        <f t="shared" si="8"/>
        <v>1195.8393113342897</v>
      </c>
      <c r="N145" s="563">
        <f t="shared" si="6"/>
        <v>43677</v>
      </c>
    </row>
    <row r="146" spans="1:14" x14ac:dyDescent="0.25">
      <c r="A146" s="188" t="s">
        <v>530</v>
      </c>
      <c r="B146" s="188" t="s">
        <v>531</v>
      </c>
      <c r="C146" s="188" t="s">
        <v>532</v>
      </c>
      <c r="D146" s="560">
        <v>83340</v>
      </c>
      <c r="E146" s="188" t="s">
        <v>98</v>
      </c>
      <c r="F146" s="561">
        <v>1</v>
      </c>
      <c r="G146" s="188" t="s">
        <v>13</v>
      </c>
      <c r="H146" s="188" t="s">
        <v>534</v>
      </c>
      <c r="I146" s="562">
        <v>43678</v>
      </c>
      <c r="J146" s="562">
        <v>43684</v>
      </c>
      <c r="K146" s="6" t="str">
        <f t="shared" si="7"/>
        <v>PP RAFFIA</v>
      </c>
      <c r="L146" s="14">
        <f>VLOOKUP(J146,'USD to INR'!$B$2:$G$560,6,TRUE)</f>
        <v>70.924000000000007</v>
      </c>
      <c r="M146" s="216">
        <f t="shared" si="8"/>
        <v>1175.0606282781569</v>
      </c>
      <c r="N146" s="563">
        <f t="shared" si="6"/>
        <v>43684</v>
      </c>
    </row>
    <row r="147" spans="1:14" x14ac:dyDescent="0.25">
      <c r="A147" s="188" t="s">
        <v>530</v>
      </c>
      <c r="B147" s="188" t="s">
        <v>531</v>
      </c>
      <c r="C147" s="188" t="s">
        <v>532</v>
      </c>
      <c r="D147" s="560">
        <v>84730</v>
      </c>
      <c r="E147" s="188" t="s">
        <v>98</v>
      </c>
      <c r="F147" s="561">
        <v>1</v>
      </c>
      <c r="G147" s="188" t="s">
        <v>13</v>
      </c>
      <c r="H147" s="188" t="s">
        <v>534</v>
      </c>
      <c r="I147" s="562">
        <v>43685</v>
      </c>
      <c r="J147" s="562">
        <v>43708</v>
      </c>
      <c r="K147" s="6" t="str">
        <f t="shared" si="7"/>
        <v>PP RAFFIA</v>
      </c>
      <c r="L147" s="14">
        <f>VLOOKUP(J147,'USD to INR'!$B$2:$G$560,6,TRUE)</f>
        <v>71.453000000000003</v>
      </c>
      <c r="M147" s="216">
        <f t="shared" si="8"/>
        <v>1185.8144514576015</v>
      </c>
      <c r="N147" s="563">
        <f t="shared" si="6"/>
        <v>43708</v>
      </c>
    </row>
    <row r="148" spans="1:14" x14ac:dyDescent="0.25">
      <c r="A148" s="188" t="s">
        <v>530</v>
      </c>
      <c r="B148" s="188" t="s">
        <v>531</v>
      </c>
      <c r="C148" s="188" t="s">
        <v>532</v>
      </c>
      <c r="D148" s="560">
        <v>85660</v>
      </c>
      <c r="E148" s="188" t="s">
        <v>98</v>
      </c>
      <c r="F148" s="561">
        <v>1</v>
      </c>
      <c r="G148" s="188" t="s">
        <v>13</v>
      </c>
      <c r="H148" s="188" t="s">
        <v>534</v>
      </c>
      <c r="I148" s="562">
        <v>43709</v>
      </c>
      <c r="J148" s="562">
        <v>43726</v>
      </c>
      <c r="K148" s="6" t="str">
        <f t="shared" si="7"/>
        <v>PP RAFFIA</v>
      </c>
      <c r="L148" s="14">
        <f>VLOOKUP(J148,'USD to INR'!$B$2:$G$560,6,TRUE)</f>
        <v>71.075000000000003</v>
      </c>
      <c r="M148" s="216">
        <f t="shared" si="8"/>
        <v>1205.2057685543439</v>
      </c>
      <c r="N148" s="563">
        <f t="shared" si="6"/>
        <v>43726</v>
      </c>
    </row>
    <row r="149" spans="1:14" x14ac:dyDescent="0.25">
      <c r="A149" s="188" t="s">
        <v>530</v>
      </c>
      <c r="B149" s="188" t="s">
        <v>531</v>
      </c>
      <c r="C149" s="188" t="s">
        <v>532</v>
      </c>
      <c r="D149" s="560">
        <v>86580</v>
      </c>
      <c r="E149" s="188" t="s">
        <v>98</v>
      </c>
      <c r="F149" s="561">
        <v>1</v>
      </c>
      <c r="G149" s="188" t="s">
        <v>13</v>
      </c>
      <c r="H149" s="188" t="s">
        <v>534</v>
      </c>
      <c r="I149" s="562">
        <v>43727</v>
      </c>
      <c r="J149" s="562">
        <v>43738</v>
      </c>
      <c r="K149" s="6" t="str">
        <f t="shared" si="7"/>
        <v>PP RAFFIA</v>
      </c>
      <c r="L149" s="14">
        <f>VLOOKUP(J149,'USD to INR'!$B$2:$G$560,6,TRUE)</f>
        <v>70.825000000000003</v>
      </c>
      <c r="M149" s="216">
        <f t="shared" si="8"/>
        <v>1222.4496999647017</v>
      </c>
      <c r="N149" s="563">
        <f t="shared" si="6"/>
        <v>43738</v>
      </c>
    </row>
    <row r="150" spans="1:14" x14ac:dyDescent="0.25">
      <c r="A150" s="188" t="s">
        <v>530</v>
      </c>
      <c r="B150" s="188" t="s">
        <v>531</v>
      </c>
      <c r="C150" s="188" t="s">
        <v>532</v>
      </c>
      <c r="D150" s="560">
        <v>86570</v>
      </c>
      <c r="E150" s="188" t="s">
        <v>98</v>
      </c>
      <c r="F150" s="561">
        <v>1</v>
      </c>
      <c r="G150" s="188" t="s">
        <v>13</v>
      </c>
      <c r="H150" s="188" t="s">
        <v>534</v>
      </c>
      <c r="I150" s="562">
        <v>43739</v>
      </c>
      <c r="J150" s="562">
        <v>43747</v>
      </c>
      <c r="K150" s="6" t="str">
        <f t="shared" si="7"/>
        <v>PP RAFFIA</v>
      </c>
      <c r="L150" s="14">
        <f>VLOOKUP(J150,'USD to INR'!$B$2:$G$560,6,TRUE)</f>
        <v>70.924000000000007</v>
      </c>
      <c r="M150" s="216">
        <f t="shared" si="8"/>
        <v>1220.602334893689</v>
      </c>
      <c r="N150" s="563">
        <f t="shared" si="6"/>
        <v>43747</v>
      </c>
    </row>
    <row r="151" spans="1:14" x14ac:dyDescent="0.25">
      <c r="A151" s="188" t="s">
        <v>530</v>
      </c>
      <c r="B151" s="188" t="s">
        <v>531</v>
      </c>
      <c r="C151" s="188" t="s">
        <v>532</v>
      </c>
      <c r="D151" s="560">
        <v>83800</v>
      </c>
      <c r="E151" s="188" t="s">
        <v>98</v>
      </c>
      <c r="F151" s="561">
        <v>1</v>
      </c>
      <c r="G151" s="188" t="s">
        <v>13</v>
      </c>
      <c r="H151" s="188" t="s">
        <v>534</v>
      </c>
      <c r="I151" s="562">
        <v>43748</v>
      </c>
      <c r="J151" s="562">
        <v>43754</v>
      </c>
      <c r="K151" s="6" t="str">
        <f t="shared" si="7"/>
        <v>PP RAFFIA</v>
      </c>
      <c r="L151" s="14">
        <f>VLOOKUP(J151,'USD to INR'!$B$2:$G$560,6,TRUE)</f>
        <v>71.09</v>
      </c>
      <c r="M151" s="216">
        <f t="shared" si="8"/>
        <v>1178.7874525249683</v>
      </c>
      <c r="N151" s="563">
        <f t="shared" si="6"/>
        <v>43754</v>
      </c>
    </row>
    <row r="152" spans="1:14" x14ac:dyDescent="0.25">
      <c r="A152" s="188" t="s">
        <v>530</v>
      </c>
      <c r="B152" s="188" t="s">
        <v>531</v>
      </c>
      <c r="C152" s="188" t="s">
        <v>532</v>
      </c>
      <c r="D152" s="560">
        <v>81030</v>
      </c>
      <c r="E152" s="188" t="s">
        <v>98</v>
      </c>
      <c r="F152" s="561">
        <v>1</v>
      </c>
      <c r="G152" s="188" t="s">
        <v>13</v>
      </c>
      <c r="H152" s="188" t="s">
        <v>534</v>
      </c>
      <c r="I152" s="562">
        <v>43755</v>
      </c>
      <c r="J152" s="562">
        <v>43769</v>
      </c>
      <c r="K152" s="6" t="str">
        <f t="shared" si="7"/>
        <v>PP RAFFIA</v>
      </c>
      <c r="L152" s="14">
        <f>VLOOKUP(J152,'USD to INR'!$B$2:$G$560,6,TRUE)</f>
        <v>70.760000000000005</v>
      </c>
      <c r="M152" s="216">
        <f t="shared" si="8"/>
        <v>1145.1384963256075</v>
      </c>
      <c r="N152" s="563">
        <f t="shared" si="6"/>
        <v>43769</v>
      </c>
    </row>
    <row r="153" spans="1:14" x14ac:dyDescent="0.25">
      <c r="A153" s="188" t="s">
        <v>530</v>
      </c>
      <c r="B153" s="188" t="s">
        <v>531</v>
      </c>
      <c r="C153" s="188" t="s">
        <v>532</v>
      </c>
      <c r="D153" s="560">
        <v>80110</v>
      </c>
      <c r="E153" s="188" t="s">
        <v>98</v>
      </c>
      <c r="F153" s="561">
        <v>1</v>
      </c>
      <c r="G153" s="188" t="s">
        <v>13</v>
      </c>
      <c r="H153" s="188" t="s">
        <v>534</v>
      </c>
      <c r="I153" s="562">
        <v>43770</v>
      </c>
      <c r="J153" s="562">
        <v>43775</v>
      </c>
      <c r="K153" s="6" t="str">
        <f t="shared" si="7"/>
        <v>PP RAFFIA</v>
      </c>
      <c r="L153" s="14">
        <f>VLOOKUP(J153,'USD to INR'!$B$2:$G$560,6,TRUE)</f>
        <v>71.36</v>
      </c>
      <c r="M153" s="216">
        <f t="shared" si="8"/>
        <v>1122.6177130044844</v>
      </c>
      <c r="N153" s="563">
        <f t="shared" si="6"/>
        <v>43775</v>
      </c>
    </row>
    <row r="154" spans="1:14" x14ac:dyDescent="0.25">
      <c r="A154" s="188" t="s">
        <v>530</v>
      </c>
      <c r="B154" s="188" t="s">
        <v>531</v>
      </c>
      <c r="C154" s="188" t="s">
        <v>532</v>
      </c>
      <c r="D154" s="560">
        <v>78260</v>
      </c>
      <c r="E154" s="188" t="s">
        <v>98</v>
      </c>
      <c r="F154" s="561">
        <v>1</v>
      </c>
      <c r="G154" s="188" t="s">
        <v>13</v>
      </c>
      <c r="H154" s="188" t="s">
        <v>534</v>
      </c>
      <c r="I154" s="562">
        <v>43776</v>
      </c>
      <c r="J154" s="562">
        <v>43789</v>
      </c>
      <c r="K154" s="6" t="str">
        <f t="shared" si="7"/>
        <v>PP RAFFIA</v>
      </c>
      <c r="L154" s="14">
        <f>VLOOKUP(J154,'USD to INR'!$B$2:$G$560,6,TRUE)</f>
        <v>71.792000000000002</v>
      </c>
      <c r="M154" s="216">
        <f t="shared" si="8"/>
        <v>1090.0936037441497</v>
      </c>
      <c r="N154" s="563">
        <f t="shared" si="6"/>
        <v>43789</v>
      </c>
    </row>
    <row r="155" spans="1:14" x14ac:dyDescent="0.25">
      <c r="A155" s="188" t="s">
        <v>530</v>
      </c>
      <c r="B155" s="188" t="s">
        <v>531</v>
      </c>
      <c r="C155" s="188" t="s">
        <v>532</v>
      </c>
      <c r="D155" s="560">
        <v>76880</v>
      </c>
      <c r="E155" s="188" t="s">
        <v>98</v>
      </c>
      <c r="F155" s="561">
        <v>1</v>
      </c>
      <c r="G155" s="188" t="s">
        <v>13</v>
      </c>
      <c r="H155" s="188" t="s">
        <v>534</v>
      </c>
      <c r="I155" s="562">
        <v>43790</v>
      </c>
      <c r="J155" s="562">
        <v>43799</v>
      </c>
      <c r="K155" s="6" t="str">
        <f t="shared" si="7"/>
        <v>PP RAFFIA</v>
      </c>
      <c r="L155" s="14">
        <f>VLOOKUP(J155,'USD to INR'!$B$2:$G$560,6,TRUE)</f>
        <v>71.748999999999995</v>
      </c>
      <c r="M155" s="216">
        <f t="shared" si="8"/>
        <v>1071.5131918214888</v>
      </c>
      <c r="N155" s="563">
        <f t="shared" si="6"/>
        <v>43799</v>
      </c>
    </row>
    <row r="156" spans="1:14" x14ac:dyDescent="0.25">
      <c r="A156" s="188" t="s">
        <v>530</v>
      </c>
      <c r="B156" s="188" t="s">
        <v>531</v>
      </c>
      <c r="C156" s="188" t="s">
        <v>532</v>
      </c>
      <c r="D156" s="560">
        <v>75030</v>
      </c>
      <c r="E156" s="188" t="s">
        <v>98</v>
      </c>
      <c r="F156" s="561">
        <v>1</v>
      </c>
      <c r="G156" s="188" t="s">
        <v>13</v>
      </c>
      <c r="H156" s="188" t="s">
        <v>534</v>
      </c>
      <c r="I156" s="562">
        <v>43800</v>
      </c>
      <c r="J156" s="562">
        <v>43830</v>
      </c>
      <c r="K156" s="6" t="str">
        <f t="shared" si="7"/>
        <v>PP RAFFIA</v>
      </c>
      <c r="L156" s="14">
        <f>VLOOKUP(J156,'USD to INR'!$B$2:$G$560,6,TRUE)</f>
        <v>71.77</v>
      </c>
      <c r="M156" s="216">
        <f t="shared" si="8"/>
        <v>1045.4228786401004</v>
      </c>
      <c r="N156" s="563">
        <f t="shared" si="6"/>
        <v>43830</v>
      </c>
    </row>
    <row r="157" spans="1:14" x14ac:dyDescent="0.25">
      <c r="A157" s="188" t="s">
        <v>530</v>
      </c>
      <c r="B157" s="188" t="s">
        <v>531</v>
      </c>
      <c r="C157" s="188" t="s">
        <v>532</v>
      </c>
      <c r="D157" s="560">
        <v>75030</v>
      </c>
      <c r="E157" s="188" t="s">
        <v>98</v>
      </c>
      <c r="F157" s="561">
        <v>1</v>
      </c>
      <c r="G157" s="188" t="s">
        <v>13</v>
      </c>
      <c r="H157" s="188" t="s">
        <v>534</v>
      </c>
      <c r="I157" s="562">
        <v>43831</v>
      </c>
      <c r="J157" s="562">
        <v>43838</v>
      </c>
      <c r="K157" s="6" t="str">
        <f t="shared" si="7"/>
        <v>PP RAFFIA</v>
      </c>
      <c r="L157" s="14">
        <f>VLOOKUP(J157,'USD to INR'!$B$2:$G$560,6,TRUE)</f>
        <v>70.959999999999994</v>
      </c>
      <c r="M157" s="216">
        <f t="shared" si="8"/>
        <v>1057.3562570462234</v>
      </c>
      <c r="N157" s="563">
        <f t="shared" si="6"/>
        <v>43838</v>
      </c>
    </row>
    <row r="158" spans="1:14" x14ac:dyDescent="0.25">
      <c r="A158" s="188" t="s">
        <v>530</v>
      </c>
      <c r="B158" s="188" t="s">
        <v>531</v>
      </c>
      <c r="C158" s="188" t="s">
        <v>532</v>
      </c>
      <c r="D158" s="560">
        <v>75950</v>
      </c>
      <c r="E158" s="188" t="s">
        <v>98</v>
      </c>
      <c r="F158" s="561">
        <v>1</v>
      </c>
      <c r="G158" s="188" t="s">
        <v>13</v>
      </c>
      <c r="H158" s="188" t="s">
        <v>534</v>
      </c>
      <c r="I158" s="562">
        <v>43839</v>
      </c>
      <c r="J158" s="562">
        <v>43861</v>
      </c>
      <c r="K158" s="6" t="str">
        <f t="shared" si="7"/>
        <v>PP RAFFIA</v>
      </c>
      <c r="L158" s="14">
        <f>VLOOKUP(J158,'USD to INR'!$B$2:$G$560,6,TRUE)</f>
        <v>71.555000000000007</v>
      </c>
      <c r="M158" s="216">
        <f t="shared" si="8"/>
        <v>1061.4212843267417</v>
      </c>
      <c r="N158" s="563">
        <f t="shared" si="6"/>
        <v>43861</v>
      </c>
    </row>
    <row r="159" spans="1:14" x14ac:dyDescent="0.25">
      <c r="A159" s="188" t="s">
        <v>530</v>
      </c>
      <c r="B159" s="188" t="s">
        <v>531</v>
      </c>
      <c r="C159" s="188" t="s">
        <v>532</v>
      </c>
      <c r="D159" s="560">
        <v>75950</v>
      </c>
      <c r="E159" s="188" t="s">
        <v>98</v>
      </c>
      <c r="F159" s="561">
        <v>1</v>
      </c>
      <c r="G159" s="188" t="s">
        <v>13</v>
      </c>
      <c r="H159" s="188" t="s">
        <v>534</v>
      </c>
      <c r="I159" s="562">
        <v>43862</v>
      </c>
      <c r="J159" s="562">
        <v>43873</v>
      </c>
      <c r="K159" s="6" t="str">
        <f t="shared" si="7"/>
        <v>PP RAFFIA</v>
      </c>
      <c r="L159" s="14">
        <f>VLOOKUP(J159,'USD to INR'!$B$2:$G$560,6,TRUE)</f>
        <v>71.528000000000006</v>
      </c>
      <c r="M159" s="216">
        <f t="shared" si="8"/>
        <v>1061.8219438541548</v>
      </c>
      <c r="N159" s="563">
        <f t="shared" si="6"/>
        <v>43873</v>
      </c>
    </row>
    <row r="160" spans="1:14" x14ac:dyDescent="0.25">
      <c r="A160" s="188" t="s">
        <v>530</v>
      </c>
      <c r="B160" s="188" t="s">
        <v>531</v>
      </c>
      <c r="C160" s="188" t="s">
        <v>532</v>
      </c>
      <c r="D160" s="560">
        <v>75030</v>
      </c>
      <c r="E160" s="188" t="s">
        <v>98</v>
      </c>
      <c r="F160" s="561">
        <v>1</v>
      </c>
      <c r="G160" s="188" t="s">
        <v>13</v>
      </c>
      <c r="H160" s="188" t="s">
        <v>534</v>
      </c>
      <c r="I160" s="562">
        <v>43874</v>
      </c>
      <c r="J160" s="562">
        <v>43880</v>
      </c>
      <c r="K160" s="6" t="str">
        <f t="shared" si="7"/>
        <v>PP RAFFIA</v>
      </c>
      <c r="L160" s="14">
        <f>VLOOKUP(J160,'USD to INR'!$B$2:$G$560,6,TRUE)</f>
        <v>71.88</v>
      </c>
      <c r="M160" s="216">
        <f t="shared" si="8"/>
        <v>1043.8230383973289</v>
      </c>
      <c r="N160" s="563">
        <f t="shared" si="6"/>
        <v>43880</v>
      </c>
    </row>
    <row r="161" spans="1:14" x14ac:dyDescent="0.25">
      <c r="A161" s="188" t="s">
        <v>530</v>
      </c>
      <c r="B161" s="188" t="s">
        <v>531</v>
      </c>
      <c r="C161" s="188" t="s">
        <v>532</v>
      </c>
      <c r="D161" s="560">
        <v>73650</v>
      </c>
      <c r="E161" s="188" t="s">
        <v>98</v>
      </c>
      <c r="F161" s="561">
        <v>1</v>
      </c>
      <c r="G161" s="188" t="s">
        <v>13</v>
      </c>
      <c r="H161" s="188" t="s">
        <v>534</v>
      </c>
      <c r="I161" s="562">
        <v>43881</v>
      </c>
      <c r="J161" s="562">
        <v>43890</v>
      </c>
      <c r="K161" s="6" t="str">
        <f t="shared" si="7"/>
        <v>PP RAFFIA</v>
      </c>
      <c r="L161" s="14">
        <f>VLOOKUP(J161,'USD to INR'!$B$2:$G$560,6,TRUE)</f>
        <v>72.539000000000001</v>
      </c>
      <c r="M161" s="216">
        <f t="shared" si="8"/>
        <v>1015.3158990336233</v>
      </c>
      <c r="N161" s="563">
        <f t="shared" si="6"/>
        <v>43890</v>
      </c>
    </row>
    <row r="162" spans="1:14" x14ac:dyDescent="0.25">
      <c r="A162" s="188" t="s">
        <v>530</v>
      </c>
      <c r="B162" s="188" t="s">
        <v>531</v>
      </c>
      <c r="C162" s="188" t="s">
        <v>532</v>
      </c>
      <c r="D162" s="560">
        <v>72280</v>
      </c>
      <c r="E162" s="188" t="s">
        <v>98</v>
      </c>
      <c r="F162" s="561">
        <v>1</v>
      </c>
      <c r="G162" s="188" t="s">
        <v>13</v>
      </c>
      <c r="H162" s="188" t="s">
        <v>534</v>
      </c>
      <c r="I162" s="562">
        <v>43891</v>
      </c>
      <c r="J162" s="562">
        <v>43908</v>
      </c>
      <c r="K162" s="6" t="str">
        <f t="shared" si="7"/>
        <v>PP RAFFIA</v>
      </c>
      <c r="L162" s="14">
        <f>VLOOKUP(J162,'USD to INR'!$B$2:$G$560,6,TRUE)</f>
        <v>75.397999999999996</v>
      </c>
      <c r="M162" s="216">
        <f t="shared" si="8"/>
        <v>958.6461179341627</v>
      </c>
      <c r="N162" s="563">
        <f t="shared" si="6"/>
        <v>43908</v>
      </c>
    </row>
    <row r="163" spans="1:14" x14ac:dyDescent="0.25">
      <c r="A163" s="188" t="s">
        <v>530</v>
      </c>
      <c r="B163" s="188" t="s">
        <v>531</v>
      </c>
      <c r="C163" s="188" t="s">
        <v>532</v>
      </c>
      <c r="D163" s="560">
        <v>71360</v>
      </c>
      <c r="E163" s="188" t="s">
        <v>98</v>
      </c>
      <c r="F163" s="561">
        <v>1</v>
      </c>
      <c r="G163" s="188" t="s">
        <v>13</v>
      </c>
      <c r="H163" s="188" t="s">
        <v>534</v>
      </c>
      <c r="I163" s="562">
        <v>43909</v>
      </c>
      <c r="J163" s="562">
        <v>43921</v>
      </c>
      <c r="K163" s="6" t="str">
        <f t="shared" si="7"/>
        <v>PP RAFFIA</v>
      </c>
      <c r="L163" s="14">
        <f>VLOOKUP(J163,'USD to INR'!$B$2:$G$560,6,TRUE)</f>
        <v>76.241</v>
      </c>
      <c r="M163" s="216">
        <f t="shared" si="8"/>
        <v>935.97932870765078</v>
      </c>
      <c r="N163" s="563">
        <f t="shared" si="6"/>
        <v>43921</v>
      </c>
    </row>
    <row r="164" spans="1:14" x14ac:dyDescent="0.25">
      <c r="A164" s="188" t="s">
        <v>530</v>
      </c>
      <c r="B164" s="188" t="s">
        <v>531</v>
      </c>
      <c r="C164" s="188" t="s">
        <v>532</v>
      </c>
      <c r="D164" s="560">
        <v>68600</v>
      </c>
      <c r="E164" s="188" t="s">
        <v>98</v>
      </c>
      <c r="F164" s="561">
        <v>1</v>
      </c>
      <c r="G164" s="188" t="s">
        <v>13</v>
      </c>
      <c r="H164" s="188" t="s">
        <v>534</v>
      </c>
      <c r="I164" s="562">
        <v>43922</v>
      </c>
      <c r="J164" s="562">
        <v>43930</v>
      </c>
      <c r="K164" s="6" t="str">
        <f t="shared" si="7"/>
        <v>PP RAFFIA</v>
      </c>
      <c r="L164" s="14">
        <f>VLOOKUP(J164,'USD to INR'!$B$2:$G$560,6,TRUE)</f>
        <v>75.879000000000005</v>
      </c>
      <c r="M164" s="216">
        <f t="shared" si="8"/>
        <v>904.07095507320855</v>
      </c>
      <c r="N164" s="563">
        <f t="shared" si="6"/>
        <v>43930</v>
      </c>
    </row>
    <row r="165" spans="1:14" x14ac:dyDescent="0.25">
      <c r="A165" s="188" t="s">
        <v>530</v>
      </c>
      <c r="B165" s="188" t="s">
        <v>531</v>
      </c>
      <c r="C165" s="188" t="s">
        <v>532</v>
      </c>
      <c r="D165" s="560">
        <v>65830</v>
      </c>
      <c r="E165" s="188" t="s">
        <v>98</v>
      </c>
      <c r="F165" s="561">
        <v>1</v>
      </c>
      <c r="G165" s="188" t="s">
        <v>13</v>
      </c>
      <c r="H165" s="188" t="s">
        <v>534</v>
      </c>
      <c r="I165" s="562">
        <v>43931</v>
      </c>
      <c r="J165" s="562">
        <v>43951</v>
      </c>
      <c r="K165" s="6" t="str">
        <f t="shared" si="7"/>
        <v>PP RAFFIA</v>
      </c>
      <c r="L165" s="14">
        <f>VLOOKUP(J165,'USD to INR'!$B$2:$G$560,6,TRUE)</f>
        <v>75.748999999999995</v>
      </c>
      <c r="M165" s="216">
        <f t="shared" si="8"/>
        <v>869.05437695547141</v>
      </c>
      <c r="N165" s="563">
        <f t="shared" si="6"/>
        <v>43951</v>
      </c>
    </row>
    <row r="166" spans="1:14" x14ac:dyDescent="0.25">
      <c r="A166" s="188" t="s">
        <v>530</v>
      </c>
      <c r="B166" s="188" t="s">
        <v>531</v>
      </c>
      <c r="C166" s="188" t="s">
        <v>532</v>
      </c>
      <c r="D166" s="560">
        <v>65830</v>
      </c>
      <c r="E166" s="188" t="s">
        <v>98</v>
      </c>
      <c r="F166" s="561">
        <v>1</v>
      </c>
      <c r="G166" s="188" t="s">
        <v>13</v>
      </c>
      <c r="H166" s="188" t="s">
        <v>534</v>
      </c>
      <c r="I166" s="562">
        <v>43952</v>
      </c>
      <c r="J166" s="562">
        <v>43964</v>
      </c>
      <c r="K166" s="6" t="str">
        <f t="shared" si="7"/>
        <v>PP RAFFIA</v>
      </c>
      <c r="L166" s="14">
        <f>VLOOKUP(J166,'USD to INR'!$B$2:$G$560,6,TRUE)</f>
        <v>75.83</v>
      </c>
      <c r="M166" s="216">
        <f t="shared" si="8"/>
        <v>868.12607147566928</v>
      </c>
      <c r="N166" s="563">
        <f t="shared" si="6"/>
        <v>43964</v>
      </c>
    </row>
    <row r="167" spans="1:14" x14ac:dyDescent="0.25">
      <c r="A167" s="188" t="s">
        <v>530</v>
      </c>
      <c r="B167" s="188" t="s">
        <v>531</v>
      </c>
      <c r="C167" s="188" t="s">
        <v>532</v>
      </c>
      <c r="D167" s="560">
        <v>66760</v>
      </c>
      <c r="E167" s="188" t="s">
        <v>98</v>
      </c>
      <c r="F167" s="561">
        <v>1</v>
      </c>
      <c r="G167" s="188" t="s">
        <v>13</v>
      </c>
      <c r="H167" s="188" t="s">
        <v>534</v>
      </c>
      <c r="I167" s="562">
        <v>43965</v>
      </c>
      <c r="J167" s="562">
        <v>43982</v>
      </c>
      <c r="K167" s="6" t="str">
        <f t="shared" si="7"/>
        <v>PP RAFFIA</v>
      </c>
      <c r="L167" s="14">
        <f>VLOOKUP(J167,'USD to INR'!$B$2:$G$560,6,TRUE)</f>
        <v>75.56</v>
      </c>
      <c r="M167" s="216">
        <f t="shared" si="8"/>
        <v>883.53626257278984</v>
      </c>
      <c r="N167" s="563">
        <f t="shared" si="6"/>
        <v>43982</v>
      </c>
    </row>
    <row r="168" spans="1:14" x14ac:dyDescent="0.25">
      <c r="A168" s="188" t="s">
        <v>530</v>
      </c>
      <c r="B168" s="188" t="s">
        <v>531</v>
      </c>
      <c r="C168" s="188" t="s">
        <v>532</v>
      </c>
      <c r="D168" s="560">
        <v>69340</v>
      </c>
      <c r="E168" s="188" t="s">
        <v>98</v>
      </c>
      <c r="F168" s="561">
        <v>1</v>
      </c>
      <c r="G168" s="188" t="s">
        <v>13</v>
      </c>
      <c r="H168" s="188" t="s">
        <v>534</v>
      </c>
      <c r="I168" s="562">
        <v>43983</v>
      </c>
      <c r="J168" s="562">
        <v>43992</v>
      </c>
      <c r="K168" s="6" t="str">
        <f t="shared" si="7"/>
        <v>PP RAFFIA</v>
      </c>
      <c r="L168" s="14">
        <f>VLOOKUP(J168,'USD to INR'!$B$2:$G$560,6,TRUE)</f>
        <v>76.05</v>
      </c>
      <c r="M168" s="216">
        <f t="shared" si="8"/>
        <v>911.7685733070349</v>
      </c>
      <c r="N168" s="563">
        <f t="shared" si="6"/>
        <v>43992</v>
      </c>
    </row>
    <row r="169" spans="1:14" x14ac:dyDescent="0.25">
      <c r="A169" s="188" t="s">
        <v>530</v>
      </c>
      <c r="B169" s="188" t="s">
        <v>531</v>
      </c>
      <c r="C169" s="188" t="s">
        <v>532</v>
      </c>
      <c r="D169" s="560">
        <v>71190</v>
      </c>
      <c r="E169" s="188" t="s">
        <v>98</v>
      </c>
      <c r="F169" s="561">
        <v>1</v>
      </c>
      <c r="G169" s="188" t="s">
        <v>13</v>
      </c>
      <c r="H169" s="188" t="s">
        <v>534</v>
      </c>
      <c r="I169" s="562">
        <v>43993</v>
      </c>
      <c r="J169" s="562">
        <v>44012</v>
      </c>
      <c r="K169" s="6" t="str">
        <f t="shared" si="7"/>
        <v>PP RAFFIA</v>
      </c>
      <c r="L169" s="14">
        <f>VLOOKUP(J169,'USD to INR'!$B$2:$G$560,6,TRUE)</f>
        <v>74.635999999999996</v>
      </c>
      <c r="M169" s="216">
        <f t="shared" si="8"/>
        <v>953.82925129964099</v>
      </c>
      <c r="N169" s="563">
        <f t="shared" si="6"/>
        <v>44012</v>
      </c>
    </row>
    <row r="170" spans="1:14" x14ac:dyDescent="0.25">
      <c r="A170" s="188" t="s">
        <v>530</v>
      </c>
      <c r="B170" s="188" t="s">
        <v>531</v>
      </c>
      <c r="C170" s="188" t="s">
        <v>532</v>
      </c>
      <c r="D170" s="560">
        <v>73010</v>
      </c>
      <c r="E170" s="188" t="s">
        <v>98</v>
      </c>
      <c r="F170" s="561">
        <v>1</v>
      </c>
      <c r="G170" s="188" t="s">
        <v>13</v>
      </c>
      <c r="H170" s="188" t="s">
        <v>534</v>
      </c>
      <c r="I170" s="562">
        <v>44013</v>
      </c>
      <c r="J170" s="562">
        <v>44027</v>
      </c>
      <c r="K170" s="6" t="str">
        <f t="shared" si="7"/>
        <v>PP RAFFIA</v>
      </c>
      <c r="L170" s="14">
        <f>VLOOKUP(J170,'USD to INR'!$B$2:$G$560,6,TRUE)</f>
        <v>74.897000000000006</v>
      </c>
      <c r="M170" s="216">
        <f t="shared" si="8"/>
        <v>974.8053994151968</v>
      </c>
      <c r="N170" s="563">
        <f t="shared" si="6"/>
        <v>44027</v>
      </c>
    </row>
    <row r="171" spans="1:14" x14ac:dyDescent="0.25">
      <c r="A171" s="188" t="s">
        <v>530</v>
      </c>
      <c r="B171" s="188" t="s">
        <v>531</v>
      </c>
      <c r="C171" s="188" t="s">
        <v>532</v>
      </c>
      <c r="D171" s="560">
        <v>74400</v>
      </c>
      <c r="E171" s="188" t="s">
        <v>98</v>
      </c>
      <c r="F171" s="561">
        <v>1</v>
      </c>
      <c r="G171" s="188" t="s">
        <v>13</v>
      </c>
      <c r="H171" s="188" t="s">
        <v>534</v>
      </c>
      <c r="I171" s="562">
        <v>44028</v>
      </c>
      <c r="J171" s="562">
        <v>44043</v>
      </c>
      <c r="K171" s="6" t="str">
        <f t="shared" si="7"/>
        <v>PP RAFFIA</v>
      </c>
      <c r="L171" s="14">
        <f>VLOOKUP(J171,'USD to INR'!$B$2:$G$560,6,TRUE)</f>
        <v>74.915999999999997</v>
      </c>
      <c r="M171" s="216">
        <f t="shared" si="8"/>
        <v>993.11228576005135</v>
      </c>
      <c r="N171" s="563">
        <f t="shared" si="6"/>
        <v>44043</v>
      </c>
    </row>
    <row r="172" spans="1:14" x14ac:dyDescent="0.25">
      <c r="A172" s="188" t="s">
        <v>530</v>
      </c>
      <c r="B172" s="188" t="s">
        <v>531</v>
      </c>
      <c r="C172" s="188" t="s">
        <v>532</v>
      </c>
      <c r="D172" s="560">
        <v>73470</v>
      </c>
      <c r="E172" s="188" t="s">
        <v>98</v>
      </c>
      <c r="F172" s="561">
        <v>1</v>
      </c>
      <c r="G172" s="188" t="s">
        <v>13</v>
      </c>
      <c r="H172" s="188" t="s">
        <v>534</v>
      </c>
      <c r="I172" s="562">
        <v>44044</v>
      </c>
      <c r="J172" s="562">
        <v>44055</v>
      </c>
      <c r="K172" s="6" t="str">
        <f t="shared" si="7"/>
        <v>PP RAFFIA</v>
      </c>
      <c r="L172" s="14">
        <f>VLOOKUP(J172,'USD to INR'!$B$2:$G$560,6,TRUE)</f>
        <v>74.873999999999995</v>
      </c>
      <c r="M172" s="216">
        <f t="shared" si="8"/>
        <v>981.24849747575934</v>
      </c>
      <c r="N172" s="563">
        <f t="shared" si="6"/>
        <v>44055</v>
      </c>
    </row>
    <row r="173" spans="1:14" x14ac:dyDescent="0.25">
      <c r="A173" s="188" t="s">
        <v>530</v>
      </c>
      <c r="B173" s="188" t="s">
        <v>531</v>
      </c>
      <c r="C173" s="188" t="s">
        <v>532</v>
      </c>
      <c r="D173" s="560">
        <v>72550</v>
      </c>
      <c r="E173" s="188" t="s">
        <v>98</v>
      </c>
      <c r="F173" s="561">
        <v>1</v>
      </c>
      <c r="G173" s="188" t="s">
        <v>13</v>
      </c>
      <c r="H173" s="188" t="s">
        <v>534</v>
      </c>
      <c r="I173" s="562">
        <v>44056</v>
      </c>
      <c r="J173" s="562">
        <v>44074</v>
      </c>
      <c r="K173" s="6" t="str">
        <f t="shared" si="7"/>
        <v>PP RAFFIA</v>
      </c>
      <c r="L173" s="14">
        <f>VLOOKUP(J173,'USD to INR'!$B$2:$G$560,6,TRUE)</f>
        <v>73.289000000000001</v>
      </c>
      <c r="M173" s="216">
        <f t="shared" si="8"/>
        <v>989.91663141808453</v>
      </c>
      <c r="N173" s="563">
        <f t="shared" si="6"/>
        <v>44074</v>
      </c>
    </row>
    <row r="174" spans="1:14" x14ac:dyDescent="0.25">
      <c r="A174" s="188" t="s">
        <v>530</v>
      </c>
      <c r="B174" s="188" t="s">
        <v>531</v>
      </c>
      <c r="C174" s="188" t="s">
        <v>532</v>
      </c>
      <c r="D174" s="560">
        <v>72550</v>
      </c>
      <c r="E174" s="188" t="s">
        <v>98</v>
      </c>
      <c r="F174" s="561">
        <v>1</v>
      </c>
      <c r="G174" s="188" t="s">
        <v>13</v>
      </c>
      <c r="H174" s="188" t="s">
        <v>534</v>
      </c>
      <c r="I174" s="562">
        <v>44075</v>
      </c>
      <c r="J174" s="562">
        <v>44090</v>
      </c>
      <c r="K174" s="6" t="str">
        <f t="shared" si="7"/>
        <v>PP RAFFIA</v>
      </c>
      <c r="L174" s="14">
        <f>VLOOKUP(J174,'USD to INR'!$B$2:$G$560,6,TRUE)</f>
        <v>73.537999999999997</v>
      </c>
      <c r="M174" s="216">
        <f t="shared" si="8"/>
        <v>986.56476923495336</v>
      </c>
      <c r="N174" s="563">
        <f t="shared" si="6"/>
        <v>44090</v>
      </c>
    </row>
    <row r="175" spans="1:14" x14ac:dyDescent="0.25">
      <c r="A175" s="188" t="s">
        <v>530</v>
      </c>
      <c r="B175" s="188" t="s">
        <v>531</v>
      </c>
      <c r="C175" s="188" t="s">
        <v>532</v>
      </c>
      <c r="D175" s="560">
        <v>73480</v>
      </c>
      <c r="E175" s="188" t="s">
        <v>98</v>
      </c>
      <c r="F175" s="561">
        <v>1</v>
      </c>
      <c r="G175" s="188" t="s">
        <v>13</v>
      </c>
      <c r="H175" s="188" t="s">
        <v>534</v>
      </c>
      <c r="I175" s="562">
        <v>44091</v>
      </c>
      <c r="J175" s="562">
        <v>44104</v>
      </c>
      <c r="K175" s="6" t="str">
        <f t="shared" si="7"/>
        <v>PP RAFFIA</v>
      </c>
      <c r="L175" s="14">
        <f>VLOOKUP(J175,'USD to INR'!$B$2:$G$560,6,TRUE)</f>
        <v>73.290000000000006</v>
      </c>
      <c r="M175" s="216">
        <f t="shared" si="8"/>
        <v>1002.5924409878563</v>
      </c>
      <c r="N175" s="563">
        <f t="shared" si="6"/>
        <v>44104</v>
      </c>
    </row>
    <row r="176" spans="1:14" x14ac:dyDescent="0.25">
      <c r="A176" s="188" t="s">
        <v>530</v>
      </c>
      <c r="B176" s="188" t="s">
        <v>531</v>
      </c>
      <c r="C176" s="188" t="s">
        <v>532</v>
      </c>
      <c r="D176" s="560">
        <v>74420</v>
      </c>
      <c r="E176" s="188" t="s">
        <v>98</v>
      </c>
      <c r="F176" s="561">
        <v>1</v>
      </c>
      <c r="G176" s="188" t="s">
        <v>13</v>
      </c>
      <c r="H176" s="188" t="s">
        <v>534</v>
      </c>
      <c r="I176" s="562">
        <v>44105</v>
      </c>
      <c r="J176" s="562">
        <v>44118</v>
      </c>
      <c r="K176" s="6" t="str">
        <f t="shared" si="7"/>
        <v>PP RAFFIA</v>
      </c>
      <c r="L176" s="14">
        <f>VLOOKUP(J176,'USD to INR'!$B$2:$G$560,6,TRUE)</f>
        <v>73.441999999999993</v>
      </c>
      <c r="M176" s="216">
        <f t="shared" si="8"/>
        <v>1013.3166308107079</v>
      </c>
      <c r="N176" s="563">
        <f t="shared" si="6"/>
        <v>44118</v>
      </c>
    </row>
    <row r="177" spans="1:14" x14ac:dyDescent="0.25">
      <c r="A177" s="188" t="s">
        <v>530</v>
      </c>
      <c r="B177" s="188" t="s">
        <v>531</v>
      </c>
      <c r="C177" s="188" t="s">
        <v>532</v>
      </c>
      <c r="D177" s="560">
        <v>76730</v>
      </c>
      <c r="E177" s="188" t="s">
        <v>98</v>
      </c>
      <c r="F177" s="561">
        <v>1</v>
      </c>
      <c r="G177" s="188" t="s">
        <v>13</v>
      </c>
      <c r="H177" s="188" t="s">
        <v>534</v>
      </c>
      <c r="I177" s="562">
        <v>44119</v>
      </c>
      <c r="J177" s="562">
        <v>44125</v>
      </c>
      <c r="K177" s="6" t="str">
        <f t="shared" si="7"/>
        <v>PP RAFFIA</v>
      </c>
      <c r="L177" s="14">
        <f>VLOOKUP(J177,'USD to INR'!$B$2:$G$560,6,TRUE)</f>
        <v>73.828999999999994</v>
      </c>
      <c r="M177" s="216">
        <f t="shared" si="8"/>
        <v>1039.2935025531974</v>
      </c>
      <c r="N177" s="563">
        <f t="shared" si="6"/>
        <v>44125</v>
      </c>
    </row>
    <row r="178" spans="1:14" x14ac:dyDescent="0.25">
      <c r="A178" s="188" t="s">
        <v>530</v>
      </c>
      <c r="B178" s="188" t="s">
        <v>531</v>
      </c>
      <c r="C178" s="188" t="s">
        <v>532</v>
      </c>
      <c r="D178" s="560">
        <v>78120</v>
      </c>
      <c r="E178" s="188" t="s">
        <v>98</v>
      </c>
      <c r="F178" s="561">
        <v>1</v>
      </c>
      <c r="G178" s="188" t="s">
        <v>13</v>
      </c>
      <c r="H178" s="188" t="s">
        <v>534</v>
      </c>
      <c r="I178" s="562">
        <v>44126</v>
      </c>
      <c r="J178" s="562">
        <v>44135</v>
      </c>
      <c r="K178" s="6" t="str">
        <f t="shared" si="7"/>
        <v>PP RAFFIA</v>
      </c>
      <c r="L178" s="14">
        <f>VLOOKUP(J178,'USD to INR'!$B$2:$G$560,6,TRUE)</f>
        <v>74.554000000000002</v>
      </c>
      <c r="M178" s="216">
        <f t="shared" si="8"/>
        <v>1047.8311022882742</v>
      </c>
      <c r="N178" s="563">
        <f t="shared" si="6"/>
        <v>44135</v>
      </c>
    </row>
    <row r="179" spans="1:14" x14ac:dyDescent="0.25">
      <c r="A179" s="188" t="s">
        <v>530</v>
      </c>
      <c r="B179" s="188" t="s">
        <v>531</v>
      </c>
      <c r="C179" s="188" t="s">
        <v>532</v>
      </c>
      <c r="D179" s="560">
        <v>79510</v>
      </c>
      <c r="E179" s="188" t="s">
        <v>98</v>
      </c>
      <c r="F179" s="561">
        <v>1</v>
      </c>
      <c r="G179" s="188" t="s">
        <v>13</v>
      </c>
      <c r="H179" s="188" t="s">
        <v>534</v>
      </c>
      <c r="I179" s="562">
        <v>44136</v>
      </c>
      <c r="J179" s="562">
        <v>44153</v>
      </c>
      <c r="K179" s="6" t="str">
        <f t="shared" si="7"/>
        <v>PP RAFFIA</v>
      </c>
      <c r="L179" s="14">
        <f>VLOOKUP(J179,'USD to INR'!$B$2:$G$560,6,TRUE)</f>
        <v>74.11</v>
      </c>
      <c r="M179" s="216">
        <f t="shared" si="8"/>
        <v>1072.8646606395898</v>
      </c>
      <c r="N179" s="563">
        <f t="shared" si="6"/>
        <v>44153</v>
      </c>
    </row>
    <row r="180" spans="1:14" x14ac:dyDescent="0.25">
      <c r="A180" s="188" t="s">
        <v>530</v>
      </c>
      <c r="B180" s="188" t="s">
        <v>531</v>
      </c>
      <c r="C180" s="188" t="s">
        <v>532</v>
      </c>
      <c r="D180" s="560">
        <v>82290</v>
      </c>
      <c r="E180" s="188" t="s">
        <v>98</v>
      </c>
      <c r="F180" s="561">
        <v>1</v>
      </c>
      <c r="G180" s="188" t="s">
        <v>13</v>
      </c>
      <c r="H180" s="188" t="s">
        <v>534</v>
      </c>
      <c r="I180" s="562">
        <v>44154</v>
      </c>
      <c r="J180" s="562">
        <v>44160</v>
      </c>
      <c r="K180" s="6" t="str">
        <f t="shared" si="7"/>
        <v>PP RAFFIA</v>
      </c>
      <c r="L180" s="14">
        <f>VLOOKUP(J180,'USD to INR'!$B$2:$G$560,6,TRUE)</f>
        <v>73.933000000000007</v>
      </c>
      <c r="M180" s="216">
        <f t="shared" si="8"/>
        <v>1113.0347747284702</v>
      </c>
      <c r="N180" s="563">
        <f t="shared" si="6"/>
        <v>44160</v>
      </c>
    </row>
    <row r="181" spans="1:14" x14ac:dyDescent="0.25">
      <c r="A181" s="188" t="s">
        <v>530</v>
      </c>
      <c r="B181" s="188" t="s">
        <v>531</v>
      </c>
      <c r="C181" s="188" t="s">
        <v>532</v>
      </c>
      <c r="D181" s="560">
        <v>84140</v>
      </c>
      <c r="E181" s="188" t="s">
        <v>98</v>
      </c>
      <c r="F181" s="561">
        <v>1</v>
      </c>
      <c r="G181" s="188" t="s">
        <v>13</v>
      </c>
      <c r="H181" s="188" t="s">
        <v>534</v>
      </c>
      <c r="I181" s="562">
        <v>44161</v>
      </c>
      <c r="J181" s="562">
        <v>44165</v>
      </c>
      <c r="K181" s="6" t="str">
        <f t="shared" si="7"/>
        <v>PP RAFFIA</v>
      </c>
      <c r="L181" s="14">
        <f>VLOOKUP(J181,'USD to INR'!$B$2:$G$560,6,TRUE)</f>
        <v>73.757000000000005</v>
      </c>
      <c r="M181" s="216">
        <f t="shared" si="8"/>
        <v>1140.7730791653673</v>
      </c>
      <c r="N181" s="563">
        <f t="shared" si="6"/>
        <v>44165</v>
      </c>
    </row>
    <row r="182" spans="1:14" x14ac:dyDescent="0.25">
      <c r="A182" s="188" t="s">
        <v>530</v>
      </c>
      <c r="B182" s="188" t="s">
        <v>531</v>
      </c>
      <c r="C182" s="188" t="s">
        <v>532</v>
      </c>
      <c r="D182" s="560">
        <v>87840</v>
      </c>
      <c r="E182" s="188" t="s">
        <v>98</v>
      </c>
      <c r="F182" s="561">
        <v>1</v>
      </c>
      <c r="G182" s="188" t="s">
        <v>13</v>
      </c>
      <c r="H182" s="188" t="s">
        <v>534</v>
      </c>
      <c r="I182" s="562">
        <v>44166</v>
      </c>
      <c r="J182" s="562">
        <v>44174</v>
      </c>
      <c r="K182" s="6" t="str">
        <f t="shared" si="7"/>
        <v>PP RAFFIA</v>
      </c>
      <c r="L182" s="14">
        <f>VLOOKUP(J182,'USD to INR'!$B$2:$G$560,6,TRUE)</f>
        <v>73.736000000000004</v>
      </c>
      <c r="M182" s="216">
        <f t="shared" si="8"/>
        <v>1191.2769881740262</v>
      </c>
      <c r="N182" s="563">
        <f t="shared" si="6"/>
        <v>44174</v>
      </c>
    </row>
    <row r="183" spans="1:14" x14ac:dyDescent="0.25">
      <c r="A183" s="188" t="s">
        <v>530</v>
      </c>
      <c r="B183" s="188" t="s">
        <v>531</v>
      </c>
      <c r="C183" s="188" t="s">
        <v>532</v>
      </c>
      <c r="D183" s="560">
        <v>92460</v>
      </c>
      <c r="E183" s="188" t="s">
        <v>98</v>
      </c>
      <c r="F183" s="561">
        <v>1</v>
      </c>
      <c r="G183" s="188" t="s">
        <v>13</v>
      </c>
      <c r="H183" s="188" t="s">
        <v>534</v>
      </c>
      <c r="I183" s="562">
        <v>44175</v>
      </c>
      <c r="J183" s="562">
        <v>44196</v>
      </c>
      <c r="K183" s="6" t="str">
        <f t="shared" si="7"/>
        <v>PP RAFFIA</v>
      </c>
      <c r="L183" s="14">
        <f>VLOOKUP(J183,'USD to INR'!$B$2:$G$560,6,TRUE)</f>
        <v>73.12</v>
      </c>
      <c r="M183" s="216">
        <f t="shared" si="8"/>
        <v>1264.4967177242888</v>
      </c>
      <c r="N183" s="563">
        <f t="shared" si="6"/>
        <v>44196</v>
      </c>
    </row>
    <row r="184" spans="1:14" x14ac:dyDescent="0.25">
      <c r="A184" s="188" t="s">
        <v>530</v>
      </c>
      <c r="B184" s="188" t="s">
        <v>531</v>
      </c>
      <c r="C184" s="188" t="s">
        <v>532</v>
      </c>
      <c r="D184" s="560">
        <v>92460</v>
      </c>
      <c r="E184" s="188" t="s">
        <v>98</v>
      </c>
      <c r="F184" s="561">
        <v>1</v>
      </c>
      <c r="G184" s="188" t="s">
        <v>13</v>
      </c>
      <c r="H184" s="188" t="s">
        <v>534</v>
      </c>
      <c r="I184" s="562">
        <v>44197</v>
      </c>
      <c r="J184" s="562">
        <v>44202</v>
      </c>
      <c r="K184" s="6" t="str">
        <f t="shared" si="7"/>
        <v>PP RAFFIA</v>
      </c>
      <c r="L184" s="14">
        <f>VLOOKUP(J184,'USD to INR'!$B$2:$G$560,6,TRUE)</f>
        <v>73.33</v>
      </c>
      <c r="M184" s="216">
        <f t="shared" si="8"/>
        <v>1260.8754943406518</v>
      </c>
      <c r="N184" s="563">
        <f t="shared" si="6"/>
        <v>44202</v>
      </c>
    </row>
    <row r="185" spans="1:14" x14ac:dyDescent="0.25">
      <c r="A185" s="188" t="s">
        <v>530</v>
      </c>
      <c r="B185" s="188" t="s">
        <v>531</v>
      </c>
      <c r="C185" s="188" t="s">
        <v>532</v>
      </c>
      <c r="D185" s="560">
        <v>93480</v>
      </c>
      <c r="E185" s="188" t="s">
        <v>98</v>
      </c>
      <c r="F185" s="561">
        <v>1</v>
      </c>
      <c r="G185" s="188" t="s">
        <v>13</v>
      </c>
      <c r="H185" s="188" t="s">
        <v>534</v>
      </c>
      <c r="I185" s="562">
        <v>44203</v>
      </c>
      <c r="J185" s="562">
        <v>44227</v>
      </c>
      <c r="K185" s="6" t="str">
        <f t="shared" si="7"/>
        <v>PP RAFFIA</v>
      </c>
      <c r="L185" s="14">
        <f>VLOOKUP(J185,'USD to INR'!$B$2:$G$560,6,TRUE)</f>
        <v>72.81</v>
      </c>
      <c r="M185" s="216">
        <f t="shared" si="8"/>
        <v>1283.8895756077461</v>
      </c>
      <c r="N185" s="563">
        <f t="shared" si="6"/>
        <v>44227</v>
      </c>
    </row>
    <row r="186" spans="1:14" x14ac:dyDescent="0.25">
      <c r="A186" s="188" t="s">
        <v>530</v>
      </c>
      <c r="B186" s="188" t="s">
        <v>531</v>
      </c>
      <c r="C186" s="188" t="s">
        <v>532</v>
      </c>
      <c r="D186" s="560">
        <v>95420</v>
      </c>
      <c r="E186" s="188" t="s">
        <v>98</v>
      </c>
      <c r="F186" s="561">
        <v>1</v>
      </c>
      <c r="G186" s="188" t="s">
        <v>13</v>
      </c>
      <c r="H186" s="188" t="s">
        <v>534</v>
      </c>
      <c r="I186" s="562">
        <v>44228</v>
      </c>
      <c r="J186" s="562">
        <v>44230</v>
      </c>
      <c r="K186" s="6" t="str">
        <f t="shared" si="7"/>
        <v>PP RAFFIA</v>
      </c>
      <c r="L186" s="14">
        <f>VLOOKUP(J186,'USD to INR'!$B$2:$G$560,6,TRUE)</f>
        <v>72.81</v>
      </c>
      <c r="M186" s="216">
        <f t="shared" si="8"/>
        <v>1310.5342672709792</v>
      </c>
      <c r="N186" s="563">
        <f t="shared" si="6"/>
        <v>44230</v>
      </c>
    </row>
    <row r="187" spans="1:14" x14ac:dyDescent="0.25">
      <c r="A187" s="188" t="s">
        <v>530</v>
      </c>
      <c r="B187" s="188" t="s">
        <v>531</v>
      </c>
      <c r="C187" s="188" t="s">
        <v>532</v>
      </c>
      <c r="D187" s="560">
        <v>95420</v>
      </c>
      <c r="E187" s="188" t="s">
        <v>98</v>
      </c>
      <c r="F187" s="561">
        <v>1</v>
      </c>
      <c r="G187" s="188" t="s">
        <v>13</v>
      </c>
      <c r="H187" s="188" t="s">
        <v>534</v>
      </c>
      <c r="I187" s="562">
        <v>44231</v>
      </c>
      <c r="J187" s="562">
        <v>44238</v>
      </c>
      <c r="K187" s="6" t="str">
        <f t="shared" si="7"/>
        <v>PP RAFFIA</v>
      </c>
      <c r="L187" s="14">
        <f>VLOOKUP(J187,'USD to INR'!$B$2:$G$560,6,TRUE)</f>
        <v>72.58</v>
      </c>
      <c r="M187" s="216">
        <f t="shared" si="8"/>
        <v>1314.6872416643703</v>
      </c>
      <c r="N187" s="563">
        <f t="shared" si="6"/>
        <v>44238</v>
      </c>
    </row>
    <row r="188" spans="1:14" x14ac:dyDescent="0.25">
      <c r="A188" s="188" t="s">
        <v>530</v>
      </c>
      <c r="B188" s="188" t="s">
        <v>531</v>
      </c>
      <c r="C188" s="188" t="s">
        <v>532</v>
      </c>
      <c r="D188" s="560">
        <v>97270</v>
      </c>
      <c r="E188" s="188" t="s">
        <v>98</v>
      </c>
      <c r="F188" s="561">
        <v>1</v>
      </c>
      <c r="G188" s="188" t="s">
        <v>13</v>
      </c>
      <c r="H188" s="188" t="s">
        <v>534</v>
      </c>
      <c r="I188" s="562">
        <v>44239</v>
      </c>
      <c r="J188" s="562">
        <v>44244</v>
      </c>
      <c r="K188" s="6" t="str">
        <f t="shared" si="7"/>
        <v>PP RAFFIA</v>
      </c>
      <c r="L188" s="14">
        <f>VLOOKUP(J188,'USD to INR'!$B$2:$G$560,6,TRUE)</f>
        <v>72.55</v>
      </c>
      <c r="M188" s="216">
        <f t="shared" si="8"/>
        <v>1340.7305306685046</v>
      </c>
      <c r="N188" s="563">
        <f t="shared" si="6"/>
        <v>44244</v>
      </c>
    </row>
    <row r="189" spans="1:14" x14ac:dyDescent="0.25">
      <c r="A189" s="188" t="s">
        <v>530</v>
      </c>
      <c r="B189" s="188" t="s">
        <v>531</v>
      </c>
      <c r="C189" s="188" t="s">
        <v>532</v>
      </c>
      <c r="D189" s="560">
        <v>100090</v>
      </c>
      <c r="E189" s="188" t="s">
        <v>98</v>
      </c>
      <c r="F189" s="561">
        <v>1</v>
      </c>
      <c r="G189" s="188" t="s">
        <v>13</v>
      </c>
      <c r="H189" s="188" t="s">
        <v>534</v>
      </c>
      <c r="I189" s="562">
        <v>44245</v>
      </c>
      <c r="J189" s="562">
        <v>44251</v>
      </c>
      <c r="K189" s="6" t="str">
        <f t="shared" si="7"/>
        <v>PP RAFFIA</v>
      </c>
      <c r="L189" s="14">
        <f>VLOOKUP(J189,'USD to INR'!$B$2:$G$560,6,TRUE)</f>
        <v>73.92</v>
      </c>
      <c r="M189" s="216">
        <f t="shared" si="8"/>
        <v>1354.0313852813852</v>
      </c>
      <c r="N189" s="563">
        <f t="shared" si="6"/>
        <v>44251</v>
      </c>
    </row>
    <row r="190" spans="1:14" x14ac:dyDescent="0.25">
      <c r="A190" s="188" t="s">
        <v>530</v>
      </c>
      <c r="B190" s="188" t="s">
        <v>531</v>
      </c>
      <c r="C190" s="188" t="s">
        <v>532</v>
      </c>
      <c r="D190" s="560">
        <v>104710</v>
      </c>
      <c r="E190" s="188" t="s">
        <v>98</v>
      </c>
      <c r="F190" s="561">
        <v>1</v>
      </c>
      <c r="G190" s="188" t="s">
        <v>13</v>
      </c>
      <c r="H190" s="188" t="s">
        <v>534</v>
      </c>
      <c r="I190" s="562">
        <v>44252</v>
      </c>
      <c r="J190" s="562">
        <v>44255</v>
      </c>
      <c r="K190" s="6" t="str">
        <f t="shared" si="7"/>
        <v>PP RAFFIA</v>
      </c>
      <c r="L190" s="14">
        <f>VLOOKUP(J190,'USD to INR'!$B$2:$G$560,6,TRUE)</f>
        <v>73.180000000000007</v>
      </c>
      <c r="M190" s="216">
        <f t="shared" si="8"/>
        <v>1430.8554249795025</v>
      </c>
      <c r="N190" s="563">
        <f t="shared" si="6"/>
        <v>44255</v>
      </c>
    </row>
    <row r="191" spans="1:14" x14ac:dyDescent="0.25">
      <c r="A191" s="188" t="s">
        <v>530</v>
      </c>
      <c r="B191" s="188" t="s">
        <v>531</v>
      </c>
      <c r="C191" s="188" t="s">
        <v>532</v>
      </c>
      <c r="D191" s="560">
        <v>111210</v>
      </c>
      <c r="E191" s="188" t="s">
        <v>98</v>
      </c>
      <c r="F191" s="561">
        <v>1</v>
      </c>
      <c r="G191" s="188" t="s">
        <v>13</v>
      </c>
      <c r="H191" s="188" t="s">
        <v>534</v>
      </c>
      <c r="I191" s="562">
        <v>44256</v>
      </c>
      <c r="J191" s="562">
        <v>44265</v>
      </c>
      <c r="K191" s="6" t="str">
        <f t="shared" si="7"/>
        <v>PP RAFFIA</v>
      </c>
      <c r="L191" s="14">
        <f>VLOOKUP(J191,'USD to INR'!$B$2:$G$560,6,TRUE)</f>
        <v>72.680000000000007</v>
      </c>
      <c r="M191" s="216">
        <f t="shared" si="8"/>
        <v>1530.1320858558061</v>
      </c>
      <c r="N191" s="563">
        <f t="shared" si="6"/>
        <v>44265</v>
      </c>
    </row>
    <row r="192" spans="1:14" x14ac:dyDescent="0.25">
      <c r="A192" s="188" t="s">
        <v>530</v>
      </c>
      <c r="B192" s="188" t="s">
        <v>531</v>
      </c>
      <c r="C192" s="188" t="s">
        <v>532</v>
      </c>
      <c r="D192" s="560">
        <v>113990</v>
      </c>
      <c r="E192" s="188" t="s">
        <v>98</v>
      </c>
      <c r="F192" s="561">
        <v>1</v>
      </c>
      <c r="G192" s="188" t="s">
        <v>13</v>
      </c>
      <c r="H192" s="188" t="s">
        <v>534</v>
      </c>
      <c r="I192" s="562">
        <v>44266</v>
      </c>
      <c r="J192" s="562">
        <v>44286</v>
      </c>
      <c r="K192" s="6" t="str">
        <f t="shared" si="7"/>
        <v>PP RAFFIA</v>
      </c>
      <c r="L192" s="14">
        <f>VLOOKUP(J192,'USD to INR'!$B$2:$G$560,6,TRUE)</f>
        <v>73.37</v>
      </c>
      <c r="M192" s="216">
        <f t="shared" si="8"/>
        <v>1553.6322747717049</v>
      </c>
      <c r="N192" s="563">
        <f t="shared" si="6"/>
        <v>44286</v>
      </c>
    </row>
    <row r="193" spans="1:14" x14ac:dyDescent="0.25">
      <c r="A193" s="188" t="s">
        <v>530</v>
      </c>
      <c r="B193" s="188" t="s">
        <v>531</v>
      </c>
      <c r="C193" s="188" t="s">
        <v>532</v>
      </c>
      <c r="D193" s="560">
        <v>113900</v>
      </c>
      <c r="E193" s="188" t="s">
        <v>98</v>
      </c>
      <c r="F193" s="561">
        <v>1</v>
      </c>
      <c r="G193" s="188" t="s">
        <v>13</v>
      </c>
      <c r="H193" s="188" t="s">
        <v>534</v>
      </c>
      <c r="I193" s="562">
        <v>44287</v>
      </c>
      <c r="J193" s="562">
        <v>44307</v>
      </c>
      <c r="K193" s="6" t="str">
        <f t="shared" si="7"/>
        <v>PP RAFFIA</v>
      </c>
      <c r="L193" s="14">
        <f>VLOOKUP(J193,'USD to INR'!$B$2:$G$560,6,TRUE)</f>
        <v>74.92</v>
      </c>
      <c r="M193" s="216">
        <f t="shared" si="8"/>
        <v>1520.2883075280299</v>
      </c>
      <c r="N193" s="563">
        <f t="shared" si="6"/>
        <v>44307</v>
      </c>
    </row>
    <row r="194" spans="1:14" x14ac:dyDescent="0.25">
      <c r="A194" s="188" t="s">
        <v>530</v>
      </c>
      <c r="B194" s="188" t="s">
        <v>531</v>
      </c>
      <c r="C194" s="188" t="s">
        <v>532</v>
      </c>
      <c r="D194" s="560">
        <v>111130</v>
      </c>
      <c r="E194" s="188" t="s">
        <v>98</v>
      </c>
      <c r="F194" s="561">
        <v>1</v>
      </c>
      <c r="G194" s="188" t="s">
        <v>13</v>
      </c>
      <c r="H194" s="188" t="s">
        <v>534</v>
      </c>
      <c r="I194" s="562">
        <v>44308</v>
      </c>
      <c r="J194" s="562">
        <v>44316</v>
      </c>
      <c r="K194" s="6" t="str">
        <f t="shared" si="7"/>
        <v>PP RAFFIA</v>
      </c>
      <c r="L194" s="14">
        <f>VLOOKUP(J194,'USD to INR'!$B$2:$G$560,6,TRUE)</f>
        <v>74.05</v>
      </c>
      <c r="M194" s="216">
        <f t="shared" si="8"/>
        <v>1500.742741390952</v>
      </c>
      <c r="N194" s="563">
        <f t="shared" ref="N194:N257" si="9">J194</f>
        <v>44316</v>
      </c>
    </row>
    <row r="195" spans="1:14" x14ac:dyDescent="0.25">
      <c r="A195" s="188" t="s">
        <v>530</v>
      </c>
      <c r="B195" s="188" t="s">
        <v>531</v>
      </c>
      <c r="C195" s="188" t="s">
        <v>532</v>
      </c>
      <c r="D195" s="560">
        <v>109290</v>
      </c>
      <c r="E195" s="188" t="s">
        <v>98</v>
      </c>
      <c r="F195" s="561">
        <v>1</v>
      </c>
      <c r="G195" s="188" t="s">
        <v>13</v>
      </c>
      <c r="H195" s="188" t="s">
        <v>534</v>
      </c>
      <c r="I195" s="562">
        <v>44317</v>
      </c>
      <c r="J195" s="562">
        <v>44321</v>
      </c>
      <c r="K195" s="6" t="str">
        <f t="shared" ref="K195:K258" si="10">VLOOKUP(H195,$V$2:$W$10,2,TRUE)</f>
        <v>PP RAFFIA</v>
      </c>
      <c r="L195" s="14">
        <f>VLOOKUP(J195,'USD to INR'!$B$2:$G$560,6,TRUE)</f>
        <v>73.251999999999995</v>
      </c>
      <c r="M195" s="216">
        <f t="shared" ref="M195:M258" si="11">D195/L195</f>
        <v>1491.9729154152787</v>
      </c>
      <c r="N195" s="563">
        <f t="shared" si="9"/>
        <v>44321</v>
      </c>
    </row>
    <row r="196" spans="1:14" x14ac:dyDescent="0.25">
      <c r="A196" s="188" t="s">
        <v>530</v>
      </c>
      <c r="B196" s="188" t="s">
        <v>531</v>
      </c>
      <c r="C196" s="188" t="s">
        <v>532</v>
      </c>
      <c r="D196" s="560">
        <v>106060</v>
      </c>
      <c r="E196" s="188" t="s">
        <v>98</v>
      </c>
      <c r="F196" s="561">
        <v>1</v>
      </c>
      <c r="G196" s="188" t="s">
        <v>13</v>
      </c>
      <c r="H196" s="188" t="s">
        <v>534</v>
      </c>
      <c r="I196" s="562">
        <v>44322</v>
      </c>
      <c r="J196" s="562">
        <v>44335</v>
      </c>
      <c r="K196" s="6" t="str">
        <f t="shared" si="10"/>
        <v>PP RAFFIA</v>
      </c>
      <c r="L196" s="14">
        <f>VLOOKUP(J196,'USD to INR'!$B$2:$G$560,6,TRUE)</f>
        <v>72.816999999999993</v>
      </c>
      <c r="M196" s="216">
        <f t="shared" si="11"/>
        <v>1456.5280085694276</v>
      </c>
      <c r="N196" s="563">
        <f t="shared" si="9"/>
        <v>44335</v>
      </c>
    </row>
    <row r="197" spans="1:14" x14ac:dyDescent="0.25">
      <c r="A197" s="188" t="s">
        <v>530</v>
      </c>
      <c r="B197" s="188" t="s">
        <v>531</v>
      </c>
      <c r="C197" s="188" t="s">
        <v>532</v>
      </c>
      <c r="D197" s="560">
        <v>103290</v>
      </c>
      <c r="E197" s="188" t="s">
        <v>98</v>
      </c>
      <c r="F197" s="561">
        <v>1</v>
      </c>
      <c r="G197" s="188" t="s">
        <v>13</v>
      </c>
      <c r="H197" s="188" t="s">
        <v>534</v>
      </c>
      <c r="I197" s="562">
        <v>44336</v>
      </c>
      <c r="J197" s="562">
        <v>44347</v>
      </c>
      <c r="K197" s="6" t="str">
        <f t="shared" si="10"/>
        <v>PP RAFFIA</v>
      </c>
      <c r="L197" s="14">
        <f>VLOOKUP(J197,'USD to INR'!$B$2:$G$560,6,TRUE)</f>
        <v>72.86</v>
      </c>
      <c r="M197" s="216">
        <f t="shared" si="11"/>
        <v>1417.6502882239913</v>
      </c>
      <c r="N197" s="563">
        <f t="shared" si="9"/>
        <v>44347</v>
      </c>
    </row>
    <row r="198" spans="1:14" x14ac:dyDescent="0.25">
      <c r="A198" s="188" t="s">
        <v>530</v>
      </c>
      <c r="B198" s="188" t="s">
        <v>531</v>
      </c>
      <c r="C198" s="188" t="s">
        <v>532</v>
      </c>
      <c r="D198" s="560">
        <v>100510</v>
      </c>
      <c r="E198" s="188" t="s">
        <v>98</v>
      </c>
      <c r="F198" s="561">
        <v>1</v>
      </c>
      <c r="G198" s="188" t="s">
        <v>13</v>
      </c>
      <c r="H198" s="188" t="s">
        <v>534</v>
      </c>
      <c r="I198" s="562">
        <v>44348</v>
      </c>
      <c r="J198" s="562">
        <v>44356</v>
      </c>
      <c r="K198" s="6" t="str">
        <f t="shared" si="10"/>
        <v>PP RAFFIA</v>
      </c>
      <c r="L198" s="14">
        <f>VLOOKUP(J198,'USD to INR'!$B$2:$G$560,6,TRUE)</f>
        <v>73.239999999999995</v>
      </c>
      <c r="M198" s="216">
        <f t="shared" si="11"/>
        <v>1372.3375204806118</v>
      </c>
      <c r="N198" s="563">
        <f t="shared" si="9"/>
        <v>44356</v>
      </c>
    </row>
    <row r="199" spans="1:14" x14ac:dyDescent="0.25">
      <c r="A199" s="188" t="s">
        <v>530</v>
      </c>
      <c r="B199" s="188" t="s">
        <v>531</v>
      </c>
      <c r="C199" s="188" t="s">
        <v>532</v>
      </c>
      <c r="D199" s="560">
        <v>98670</v>
      </c>
      <c r="E199" s="188" t="s">
        <v>98</v>
      </c>
      <c r="F199" s="561">
        <v>1</v>
      </c>
      <c r="G199" s="188" t="s">
        <v>13</v>
      </c>
      <c r="H199" s="188" t="s">
        <v>534</v>
      </c>
      <c r="I199" s="562">
        <v>44357</v>
      </c>
      <c r="J199" s="562">
        <v>44363</v>
      </c>
      <c r="K199" s="6" t="str">
        <f t="shared" si="10"/>
        <v>PP RAFFIA</v>
      </c>
      <c r="L199" s="14">
        <f>VLOOKUP(J199,'USD to INR'!$B$2:$G$560,6,TRUE)</f>
        <v>74.099999999999994</v>
      </c>
      <c r="M199" s="216">
        <f t="shared" si="11"/>
        <v>1331.5789473684213</v>
      </c>
      <c r="N199" s="563">
        <f t="shared" si="9"/>
        <v>44363</v>
      </c>
    </row>
    <row r="200" spans="1:14" x14ac:dyDescent="0.25">
      <c r="A200" s="188" t="s">
        <v>530</v>
      </c>
      <c r="B200" s="188" t="s">
        <v>531</v>
      </c>
      <c r="C200" s="188" t="s">
        <v>532</v>
      </c>
      <c r="D200" s="560">
        <v>97750</v>
      </c>
      <c r="E200" s="188" t="s">
        <v>98</v>
      </c>
      <c r="F200" s="561">
        <v>1</v>
      </c>
      <c r="G200" s="188" t="s">
        <v>13</v>
      </c>
      <c r="H200" s="188" t="s">
        <v>534</v>
      </c>
      <c r="I200" s="562">
        <v>44364</v>
      </c>
      <c r="J200" s="562">
        <v>44377</v>
      </c>
      <c r="K200" s="6" t="str">
        <f t="shared" si="10"/>
        <v>PP RAFFIA</v>
      </c>
      <c r="L200" s="14">
        <f>VLOOKUP(J200,'USD to INR'!$B$2:$G$560,6,TRUE)</f>
        <v>74.512</v>
      </c>
      <c r="M200" s="216">
        <f t="shared" si="11"/>
        <v>1311.8692291174575</v>
      </c>
      <c r="N200" s="563">
        <f t="shared" si="9"/>
        <v>44377</v>
      </c>
    </row>
    <row r="201" spans="1:14" x14ac:dyDescent="0.25">
      <c r="A201" s="188" t="s">
        <v>530</v>
      </c>
      <c r="B201" s="188" t="s">
        <v>531</v>
      </c>
      <c r="C201" s="188" t="s">
        <v>532</v>
      </c>
      <c r="D201" s="560">
        <v>97740</v>
      </c>
      <c r="E201" s="188" t="s">
        <v>98</v>
      </c>
      <c r="F201" s="561">
        <v>1</v>
      </c>
      <c r="G201" s="188" t="s">
        <v>13</v>
      </c>
      <c r="H201" s="188" t="s">
        <v>534</v>
      </c>
      <c r="I201" s="562">
        <v>44378</v>
      </c>
      <c r="J201" s="562">
        <v>44384</v>
      </c>
      <c r="K201" s="6" t="str">
        <f t="shared" si="10"/>
        <v>PP RAFFIA</v>
      </c>
      <c r="L201" s="14">
        <f>VLOOKUP(J201,'USD to INR'!$B$2:$G$560,6,TRUE)</f>
        <v>74.484999999999999</v>
      </c>
      <c r="M201" s="216">
        <f t="shared" si="11"/>
        <v>1312.2105121836612</v>
      </c>
      <c r="N201" s="563">
        <f t="shared" si="9"/>
        <v>44384</v>
      </c>
    </row>
    <row r="202" spans="1:14" x14ac:dyDescent="0.25">
      <c r="A202" s="188" t="s">
        <v>530</v>
      </c>
      <c r="B202" s="188" t="s">
        <v>531</v>
      </c>
      <c r="C202" s="188" t="s">
        <v>532</v>
      </c>
      <c r="D202" s="560">
        <v>99590</v>
      </c>
      <c r="E202" s="188" t="s">
        <v>98</v>
      </c>
      <c r="F202" s="561">
        <v>1</v>
      </c>
      <c r="G202" s="188" t="s">
        <v>13</v>
      </c>
      <c r="H202" s="188" t="s">
        <v>534</v>
      </c>
      <c r="I202" s="562">
        <v>44385</v>
      </c>
      <c r="J202" s="562">
        <v>44398</v>
      </c>
      <c r="K202" s="6" t="str">
        <f t="shared" si="10"/>
        <v>PP RAFFIA</v>
      </c>
      <c r="L202" s="14">
        <f>VLOOKUP(J202,'USD to INR'!$B$2:$G$560,6,TRUE)</f>
        <v>74.424999999999997</v>
      </c>
      <c r="M202" s="216">
        <f t="shared" si="11"/>
        <v>1338.1256298286867</v>
      </c>
      <c r="N202" s="563">
        <f t="shared" si="9"/>
        <v>44398</v>
      </c>
    </row>
    <row r="203" spans="1:14" x14ac:dyDescent="0.25">
      <c r="A203" s="188" t="s">
        <v>530</v>
      </c>
      <c r="B203" s="188" t="s">
        <v>531</v>
      </c>
      <c r="C203" s="188" t="s">
        <v>532</v>
      </c>
      <c r="D203" s="560">
        <v>100980</v>
      </c>
      <c r="E203" s="188" t="s">
        <v>98</v>
      </c>
      <c r="F203" s="561">
        <v>1</v>
      </c>
      <c r="G203" s="188" t="s">
        <v>13</v>
      </c>
      <c r="H203" s="188" t="s">
        <v>534</v>
      </c>
      <c r="I203" s="562">
        <v>44399</v>
      </c>
      <c r="J203" s="562">
        <v>44408</v>
      </c>
      <c r="K203" s="6" t="str">
        <f t="shared" si="10"/>
        <v>PP RAFFIA</v>
      </c>
      <c r="L203" s="14">
        <f>VLOOKUP(J203,'USD to INR'!$B$2:$G$560,6,TRUE)</f>
        <v>74.337000000000003</v>
      </c>
      <c r="M203" s="216">
        <f t="shared" si="11"/>
        <v>1358.4083296339643</v>
      </c>
      <c r="N203" s="563">
        <f t="shared" si="9"/>
        <v>44408</v>
      </c>
    </row>
    <row r="204" spans="1:14" x14ac:dyDescent="0.25">
      <c r="A204" s="188" t="s">
        <v>530</v>
      </c>
      <c r="B204" s="188" t="s">
        <v>531</v>
      </c>
      <c r="C204" s="188" t="s">
        <v>532</v>
      </c>
      <c r="D204" s="560">
        <v>102830</v>
      </c>
      <c r="E204" s="188" t="s">
        <v>98</v>
      </c>
      <c r="F204" s="561">
        <v>1</v>
      </c>
      <c r="G204" s="188" t="s">
        <v>13</v>
      </c>
      <c r="H204" s="188" t="s">
        <v>534</v>
      </c>
      <c r="I204" s="562">
        <v>44409</v>
      </c>
      <c r="J204" s="562">
        <v>44419</v>
      </c>
      <c r="K204" s="6" t="str">
        <f t="shared" si="10"/>
        <v>PP RAFFIA</v>
      </c>
      <c r="L204" s="14">
        <f>VLOOKUP(J204,'USD to INR'!$B$2:$G$560,6,TRUE)</f>
        <v>74.239000000000004</v>
      </c>
      <c r="M204" s="216">
        <f t="shared" si="11"/>
        <v>1385.1210280310886</v>
      </c>
      <c r="N204" s="563">
        <f t="shared" si="9"/>
        <v>44419</v>
      </c>
    </row>
    <row r="205" spans="1:14" x14ac:dyDescent="0.25">
      <c r="A205" s="188" t="s">
        <v>530</v>
      </c>
      <c r="B205" s="188" t="s">
        <v>531</v>
      </c>
      <c r="C205" s="188" t="s">
        <v>532</v>
      </c>
      <c r="D205" s="560">
        <v>104680</v>
      </c>
      <c r="E205" s="188" t="s">
        <v>98</v>
      </c>
      <c r="F205" s="561">
        <v>1</v>
      </c>
      <c r="G205" s="188" t="s">
        <v>13</v>
      </c>
      <c r="H205" s="188" t="s">
        <v>534</v>
      </c>
      <c r="I205" s="562">
        <v>44420</v>
      </c>
      <c r="J205" s="562">
        <v>44439</v>
      </c>
      <c r="K205" s="6" t="str">
        <f t="shared" si="10"/>
        <v>PP RAFFIA</v>
      </c>
      <c r="L205" s="14">
        <f>VLOOKUP(J205,'USD to INR'!$B$2:$G$560,6,TRUE)</f>
        <v>72.981999999999999</v>
      </c>
      <c r="M205" s="216">
        <f t="shared" si="11"/>
        <v>1434.3262722315092</v>
      </c>
      <c r="N205" s="563">
        <f t="shared" si="9"/>
        <v>44439</v>
      </c>
    </row>
    <row r="206" spans="1:14" x14ac:dyDescent="0.25">
      <c r="A206" s="188" t="s">
        <v>530</v>
      </c>
      <c r="B206" s="188" t="s">
        <v>531</v>
      </c>
      <c r="C206" s="188" t="s">
        <v>532</v>
      </c>
      <c r="D206" s="560">
        <v>104690</v>
      </c>
      <c r="E206" s="188" t="s">
        <v>98</v>
      </c>
      <c r="F206" s="561">
        <v>1</v>
      </c>
      <c r="G206" s="188" t="s">
        <v>13</v>
      </c>
      <c r="H206" s="188" t="s">
        <v>534</v>
      </c>
      <c r="I206" s="562">
        <v>44440</v>
      </c>
      <c r="J206" s="562">
        <v>44461</v>
      </c>
      <c r="K206" s="6" t="str">
        <f t="shared" si="10"/>
        <v>PP RAFFIA</v>
      </c>
      <c r="L206" s="14">
        <f>VLOOKUP(J206,'USD to INR'!$B$2:$G$560,6,TRUE)</f>
        <v>73.813000000000002</v>
      </c>
      <c r="M206" s="216">
        <f t="shared" si="11"/>
        <v>1418.3138471542952</v>
      </c>
      <c r="N206" s="563">
        <f t="shared" si="9"/>
        <v>44461</v>
      </c>
    </row>
    <row r="207" spans="1:14" x14ac:dyDescent="0.25">
      <c r="A207" s="188" t="s">
        <v>530</v>
      </c>
      <c r="B207" s="188" t="s">
        <v>531</v>
      </c>
      <c r="C207" s="188" t="s">
        <v>532</v>
      </c>
      <c r="D207" s="560">
        <v>105620</v>
      </c>
      <c r="E207" s="188" t="s">
        <v>98</v>
      </c>
      <c r="F207" s="561">
        <v>1</v>
      </c>
      <c r="G207" s="188" t="s">
        <v>13</v>
      </c>
      <c r="H207" s="188" t="s">
        <v>534</v>
      </c>
      <c r="I207" s="562">
        <v>44462</v>
      </c>
      <c r="J207" s="562">
        <v>44469</v>
      </c>
      <c r="K207" s="6" t="str">
        <f t="shared" si="10"/>
        <v>PP RAFFIA</v>
      </c>
      <c r="L207" s="14">
        <f>VLOOKUP(J207,'USD to INR'!$B$2:$G$560,6,TRUE)</f>
        <v>74.131</v>
      </c>
      <c r="M207" s="216">
        <f t="shared" si="11"/>
        <v>1424.7750603661086</v>
      </c>
      <c r="N207" s="563">
        <f t="shared" si="9"/>
        <v>44469</v>
      </c>
    </row>
    <row r="208" spans="1:14" x14ac:dyDescent="0.25">
      <c r="A208" s="188" t="s">
        <v>530</v>
      </c>
      <c r="B208" s="188" t="s">
        <v>531</v>
      </c>
      <c r="C208" s="188" t="s">
        <v>532</v>
      </c>
      <c r="D208" s="560">
        <v>107930</v>
      </c>
      <c r="E208" s="188" t="s">
        <v>98</v>
      </c>
      <c r="F208" s="561">
        <v>1</v>
      </c>
      <c r="G208" s="188" t="s">
        <v>13</v>
      </c>
      <c r="H208" s="188" t="s">
        <v>534</v>
      </c>
      <c r="I208" s="562">
        <v>44470</v>
      </c>
      <c r="J208" s="562">
        <v>44475</v>
      </c>
      <c r="K208" s="6" t="str">
        <f t="shared" si="10"/>
        <v>PP RAFFIA</v>
      </c>
      <c r="L208" s="14">
        <f>VLOOKUP(J208,'USD to INR'!$B$2:$G$560,6,TRUE)</f>
        <v>75.111999999999995</v>
      </c>
      <c r="M208" s="216">
        <f t="shared" si="11"/>
        <v>1436.9208648418362</v>
      </c>
      <c r="N208" s="563">
        <f t="shared" si="9"/>
        <v>44475</v>
      </c>
    </row>
    <row r="209" spans="1:14" x14ac:dyDescent="0.25">
      <c r="A209" s="188" t="s">
        <v>530</v>
      </c>
      <c r="B209" s="188" t="s">
        <v>531</v>
      </c>
      <c r="C209" s="188" t="s">
        <v>532</v>
      </c>
      <c r="D209" s="560">
        <v>109780</v>
      </c>
      <c r="E209" s="188" t="s">
        <v>98</v>
      </c>
      <c r="F209" s="561">
        <v>1</v>
      </c>
      <c r="G209" s="188" t="s">
        <v>13</v>
      </c>
      <c r="H209" s="188" t="s">
        <v>534</v>
      </c>
      <c r="I209" s="562">
        <v>44476</v>
      </c>
      <c r="J209" s="562">
        <v>44482</v>
      </c>
      <c r="K209" s="6" t="str">
        <f t="shared" si="10"/>
        <v>PP RAFFIA</v>
      </c>
      <c r="L209" s="14">
        <f>VLOOKUP(J209,'USD to INR'!$B$2:$G$560,6,TRUE)</f>
        <v>75.013000000000005</v>
      </c>
      <c r="M209" s="216">
        <f t="shared" si="11"/>
        <v>1463.4796635249888</v>
      </c>
      <c r="N209" s="563">
        <f t="shared" si="9"/>
        <v>44482</v>
      </c>
    </row>
    <row r="210" spans="1:14" x14ac:dyDescent="0.25">
      <c r="A210" s="188" t="s">
        <v>530</v>
      </c>
      <c r="B210" s="188" t="s">
        <v>531</v>
      </c>
      <c r="C210" s="188" t="s">
        <v>532</v>
      </c>
      <c r="D210" s="560">
        <v>115330</v>
      </c>
      <c r="E210" s="188" t="s">
        <v>98</v>
      </c>
      <c r="F210" s="561">
        <v>1</v>
      </c>
      <c r="G210" s="188" t="s">
        <v>13</v>
      </c>
      <c r="H210" s="188" t="s">
        <v>534</v>
      </c>
      <c r="I210" s="562">
        <v>44483</v>
      </c>
      <c r="J210" s="562">
        <v>44500</v>
      </c>
      <c r="K210" s="6" t="str">
        <f t="shared" si="10"/>
        <v>PP RAFFIA</v>
      </c>
      <c r="L210" s="14">
        <f>VLOOKUP(J210,'USD to INR'!$B$2:$G$560,6,TRUE)</f>
        <v>75.313000000000002</v>
      </c>
      <c r="M210" s="216">
        <f t="shared" si="11"/>
        <v>1531.3425305060214</v>
      </c>
      <c r="N210" s="563">
        <f t="shared" si="9"/>
        <v>44500</v>
      </c>
    </row>
    <row r="211" spans="1:14" x14ac:dyDescent="0.25">
      <c r="A211" s="188" t="s">
        <v>530</v>
      </c>
      <c r="B211" s="188" t="s">
        <v>531</v>
      </c>
      <c r="C211" s="188" t="s">
        <v>532</v>
      </c>
      <c r="D211" s="560">
        <v>117160</v>
      </c>
      <c r="E211" s="188" t="s">
        <v>98</v>
      </c>
      <c r="F211" s="561">
        <v>1</v>
      </c>
      <c r="G211" s="188" t="s">
        <v>13</v>
      </c>
      <c r="H211" s="188" t="s">
        <v>534</v>
      </c>
      <c r="I211" s="562">
        <v>44501</v>
      </c>
      <c r="J211" s="562">
        <v>44517</v>
      </c>
      <c r="K211" s="6" t="str">
        <f t="shared" si="10"/>
        <v>PP RAFFIA</v>
      </c>
      <c r="L211" s="14">
        <f>VLOOKUP(J211,'USD to INR'!$B$2:$G$560,6,TRUE)</f>
        <v>75.313000000000002</v>
      </c>
      <c r="M211" s="216">
        <f t="shared" si="11"/>
        <v>1555.641124374278</v>
      </c>
      <c r="N211" s="563">
        <f t="shared" si="9"/>
        <v>44517</v>
      </c>
    </row>
    <row r="212" spans="1:14" x14ac:dyDescent="0.25">
      <c r="A212" s="188" t="s">
        <v>530</v>
      </c>
      <c r="B212" s="188" t="s">
        <v>531</v>
      </c>
      <c r="C212" s="188" t="s">
        <v>532</v>
      </c>
      <c r="D212" s="560">
        <v>115320</v>
      </c>
      <c r="E212" s="188" t="s">
        <v>98</v>
      </c>
      <c r="F212" s="561">
        <v>1</v>
      </c>
      <c r="G212" s="188" t="s">
        <v>13</v>
      </c>
      <c r="H212" s="188" t="s">
        <v>534</v>
      </c>
      <c r="I212" s="562">
        <v>44518</v>
      </c>
      <c r="J212" s="562">
        <v>44530</v>
      </c>
      <c r="K212" s="6" t="str">
        <f t="shared" si="10"/>
        <v>PP RAFFIA</v>
      </c>
      <c r="L212" s="14">
        <f>VLOOKUP(J212,'USD to INR'!$B$2:$G$560,6,TRUE)</f>
        <v>75.313000000000002</v>
      </c>
      <c r="M212" s="216">
        <f t="shared" si="11"/>
        <v>1531.2097513045555</v>
      </c>
      <c r="N212" s="563">
        <f t="shared" si="9"/>
        <v>44530</v>
      </c>
    </row>
    <row r="213" spans="1:14" x14ac:dyDescent="0.25">
      <c r="A213" s="188" t="s">
        <v>530</v>
      </c>
      <c r="B213" s="188" t="s">
        <v>531</v>
      </c>
      <c r="C213" s="188" t="s">
        <v>532</v>
      </c>
      <c r="D213" s="560">
        <v>111670</v>
      </c>
      <c r="E213" s="188" t="s">
        <v>98</v>
      </c>
      <c r="F213" s="561">
        <v>1</v>
      </c>
      <c r="G213" s="188" t="s">
        <v>13</v>
      </c>
      <c r="H213" s="188" t="s">
        <v>534</v>
      </c>
      <c r="I213" s="562">
        <v>44531</v>
      </c>
      <c r="J213" s="562">
        <v>44538</v>
      </c>
      <c r="K213" s="6" t="str">
        <f t="shared" si="10"/>
        <v>PP RAFFIA</v>
      </c>
      <c r="L213" s="14">
        <f>VLOOKUP(J213,'USD to INR'!$B$2:$G$560,6,TRUE)</f>
        <v>75.313000000000002</v>
      </c>
      <c r="M213" s="216">
        <f t="shared" si="11"/>
        <v>1482.7453427695086</v>
      </c>
      <c r="N213" s="563">
        <f t="shared" si="9"/>
        <v>44538</v>
      </c>
    </row>
    <row r="214" spans="1:14" x14ac:dyDescent="0.25">
      <c r="A214" s="188" t="s">
        <v>530</v>
      </c>
      <c r="B214" s="188" t="s">
        <v>531</v>
      </c>
      <c r="C214" s="188" t="s">
        <v>532</v>
      </c>
      <c r="D214" s="560">
        <v>107060</v>
      </c>
      <c r="E214" s="188" t="s">
        <v>98</v>
      </c>
      <c r="F214" s="561">
        <v>1</v>
      </c>
      <c r="G214" s="188" t="s">
        <v>13</v>
      </c>
      <c r="H214" s="188" t="s">
        <v>534</v>
      </c>
      <c r="I214" s="562">
        <v>44539</v>
      </c>
      <c r="J214" s="562">
        <v>44545</v>
      </c>
      <c r="K214" s="6" t="str">
        <f t="shared" si="10"/>
        <v>PP RAFFIA</v>
      </c>
      <c r="L214" s="14">
        <f>VLOOKUP(J214,'USD to INR'!$B$2:$G$560,6,TRUE)</f>
        <v>75.313000000000002</v>
      </c>
      <c r="M214" s="216">
        <f t="shared" si="11"/>
        <v>1421.5341308937368</v>
      </c>
      <c r="N214" s="563">
        <f t="shared" si="9"/>
        <v>44545</v>
      </c>
    </row>
    <row r="215" spans="1:14" x14ac:dyDescent="0.25">
      <c r="A215" s="188" t="s">
        <v>530</v>
      </c>
      <c r="B215" s="188" t="s">
        <v>531</v>
      </c>
      <c r="C215" s="188" t="s">
        <v>532</v>
      </c>
      <c r="D215" s="560">
        <v>104290</v>
      </c>
      <c r="E215" s="188" t="s">
        <v>98</v>
      </c>
      <c r="F215" s="561">
        <v>1</v>
      </c>
      <c r="G215" s="188" t="s">
        <v>13</v>
      </c>
      <c r="H215" s="188" t="s">
        <v>534</v>
      </c>
      <c r="I215" s="562">
        <v>44546</v>
      </c>
      <c r="J215" s="562">
        <v>44561</v>
      </c>
      <c r="K215" s="6" t="str">
        <f t="shared" si="10"/>
        <v>PP RAFFIA</v>
      </c>
      <c r="L215" s="14">
        <f>VLOOKUP(J215,'USD to INR'!$B$2:$G$560,6,TRUE)</f>
        <v>75.313000000000002</v>
      </c>
      <c r="M215" s="216">
        <f t="shared" si="11"/>
        <v>1384.7542920876874</v>
      </c>
      <c r="N215" s="563">
        <f t="shared" si="9"/>
        <v>44561</v>
      </c>
    </row>
    <row r="216" spans="1:14" x14ac:dyDescent="0.25">
      <c r="A216" s="188" t="s">
        <v>530</v>
      </c>
      <c r="B216" s="188" t="s">
        <v>531</v>
      </c>
      <c r="C216" s="188" t="s">
        <v>532</v>
      </c>
      <c r="D216" s="560">
        <v>83160</v>
      </c>
      <c r="E216" s="188" t="s">
        <v>98</v>
      </c>
      <c r="F216" s="561">
        <v>1</v>
      </c>
      <c r="G216" s="188" t="s">
        <v>13</v>
      </c>
      <c r="H216" s="188" t="s">
        <v>535</v>
      </c>
      <c r="I216" s="562">
        <v>43101</v>
      </c>
      <c r="J216" s="562">
        <v>43117</v>
      </c>
      <c r="K216" s="6" t="str">
        <f t="shared" si="10"/>
        <v>PP TQ</v>
      </c>
      <c r="L216" s="14">
        <f>VLOOKUP(J216,'USD to INR'!$B$2:$G$560,6,TRUE)</f>
        <v>63.83</v>
      </c>
      <c r="M216" s="216">
        <f t="shared" si="11"/>
        <v>1302.835657214476</v>
      </c>
      <c r="N216" s="563">
        <f t="shared" si="9"/>
        <v>43117</v>
      </c>
    </row>
    <row r="217" spans="1:14" x14ac:dyDescent="0.25">
      <c r="A217" s="188" t="s">
        <v>530</v>
      </c>
      <c r="B217" s="188" t="s">
        <v>531</v>
      </c>
      <c r="C217" s="188" t="s">
        <v>532</v>
      </c>
      <c r="D217" s="560">
        <v>84560</v>
      </c>
      <c r="E217" s="188" t="s">
        <v>98</v>
      </c>
      <c r="F217" s="561">
        <v>1</v>
      </c>
      <c r="G217" s="188" t="s">
        <v>13</v>
      </c>
      <c r="H217" s="188" t="s">
        <v>535</v>
      </c>
      <c r="I217" s="562">
        <v>43118</v>
      </c>
      <c r="J217" s="562">
        <v>43124</v>
      </c>
      <c r="K217" s="6" t="str">
        <f t="shared" si="10"/>
        <v>PP TQ</v>
      </c>
      <c r="L217" s="14">
        <f>VLOOKUP(J217,'USD to INR'!$B$2:$G$560,6,TRUE)</f>
        <v>63.59</v>
      </c>
      <c r="M217" s="216">
        <f t="shared" si="11"/>
        <v>1329.7688315772918</v>
      </c>
      <c r="N217" s="563">
        <f t="shared" si="9"/>
        <v>43124</v>
      </c>
    </row>
    <row r="218" spans="1:14" x14ac:dyDescent="0.25">
      <c r="A218" s="188" t="s">
        <v>530</v>
      </c>
      <c r="B218" s="188" t="s">
        <v>531</v>
      </c>
      <c r="C218" s="188" t="s">
        <v>532</v>
      </c>
      <c r="D218" s="560">
        <v>85950</v>
      </c>
      <c r="E218" s="188" t="s">
        <v>98</v>
      </c>
      <c r="F218" s="561">
        <v>1</v>
      </c>
      <c r="G218" s="188" t="s">
        <v>13</v>
      </c>
      <c r="H218" s="188" t="s">
        <v>535</v>
      </c>
      <c r="I218" s="562">
        <v>43125</v>
      </c>
      <c r="J218" s="562">
        <v>43131</v>
      </c>
      <c r="K218" s="6" t="str">
        <f t="shared" si="10"/>
        <v>PP TQ</v>
      </c>
      <c r="L218" s="14">
        <f>VLOOKUP(J218,'USD to INR'!$B$2:$G$560,6,TRUE)</f>
        <v>64.13</v>
      </c>
      <c r="M218" s="216">
        <f t="shared" si="11"/>
        <v>1340.246374551692</v>
      </c>
      <c r="N218" s="563">
        <f t="shared" si="9"/>
        <v>43131</v>
      </c>
    </row>
    <row r="219" spans="1:14" x14ac:dyDescent="0.25">
      <c r="A219" s="188" t="s">
        <v>530</v>
      </c>
      <c r="B219" s="188" t="s">
        <v>531</v>
      </c>
      <c r="C219" s="188" t="s">
        <v>532</v>
      </c>
      <c r="D219" s="560">
        <v>88250</v>
      </c>
      <c r="E219" s="188" t="s">
        <v>98</v>
      </c>
      <c r="F219" s="561">
        <v>1</v>
      </c>
      <c r="G219" s="188" t="s">
        <v>13</v>
      </c>
      <c r="H219" s="188" t="s">
        <v>535</v>
      </c>
      <c r="I219" s="562">
        <v>43132</v>
      </c>
      <c r="J219" s="562">
        <v>43145</v>
      </c>
      <c r="K219" s="6" t="str">
        <f t="shared" si="10"/>
        <v>PP TQ</v>
      </c>
      <c r="L219" s="14">
        <f>VLOOKUP(J219,'USD to INR'!$B$2:$G$560,6,TRUE)</f>
        <v>64.215000000000003</v>
      </c>
      <c r="M219" s="216">
        <f t="shared" si="11"/>
        <v>1374.2894962236237</v>
      </c>
      <c r="N219" s="563">
        <f t="shared" si="9"/>
        <v>43145</v>
      </c>
    </row>
    <row r="220" spans="1:14" x14ac:dyDescent="0.25">
      <c r="A220" s="188" t="s">
        <v>530</v>
      </c>
      <c r="B220" s="188" t="s">
        <v>531</v>
      </c>
      <c r="C220" s="188" t="s">
        <v>532</v>
      </c>
      <c r="D220" s="560">
        <v>89570</v>
      </c>
      <c r="E220" s="188" t="s">
        <v>98</v>
      </c>
      <c r="F220" s="561">
        <v>1</v>
      </c>
      <c r="G220" s="188" t="s">
        <v>13</v>
      </c>
      <c r="H220" s="188" t="s">
        <v>535</v>
      </c>
      <c r="I220" s="562">
        <v>43146</v>
      </c>
      <c r="J220" s="562">
        <v>43159</v>
      </c>
      <c r="K220" s="6" t="str">
        <f t="shared" si="10"/>
        <v>PP TQ</v>
      </c>
      <c r="L220" s="14">
        <f>VLOOKUP(J220,'USD to INR'!$B$2:$G$560,6,TRUE)</f>
        <v>65.22</v>
      </c>
      <c r="M220" s="216">
        <f t="shared" si="11"/>
        <v>1373.3517325973628</v>
      </c>
      <c r="N220" s="563">
        <f t="shared" si="9"/>
        <v>43159</v>
      </c>
    </row>
    <row r="221" spans="1:14" x14ac:dyDescent="0.25">
      <c r="A221" s="188" t="s">
        <v>530</v>
      </c>
      <c r="B221" s="188" t="s">
        <v>531</v>
      </c>
      <c r="C221" s="188" t="s">
        <v>532</v>
      </c>
      <c r="D221" s="560">
        <v>89580</v>
      </c>
      <c r="E221" s="188" t="s">
        <v>98</v>
      </c>
      <c r="F221" s="561">
        <v>1</v>
      </c>
      <c r="G221" s="188" t="s">
        <v>13</v>
      </c>
      <c r="H221" s="188" t="s">
        <v>535</v>
      </c>
      <c r="I221" s="562">
        <v>43160</v>
      </c>
      <c r="J221" s="562">
        <v>43190</v>
      </c>
      <c r="K221" s="6" t="str">
        <f t="shared" si="10"/>
        <v>PP TQ</v>
      </c>
      <c r="L221" s="14">
        <f>VLOOKUP(J221,'USD to INR'!$B$2:$G$560,6,TRUE)</f>
        <v>65.114999999999995</v>
      </c>
      <c r="M221" s="216">
        <f t="shared" si="11"/>
        <v>1375.7198802119328</v>
      </c>
      <c r="N221" s="563">
        <f t="shared" si="9"/>
        <v>43190</v>
      </c>
    </row>
    <row r="222" spans="1:14" x14ac:dyDescent="0.25">
      <c r="A222" s="188" t="s">
        <v>530</v>
      </c>
      <c r="B222" s="188" t="s">
        <v>531</v>
      </c>
      <c r="C222" s="188" t="s">
        <v>532</v>
      </c>
      <c r="D222" s="560">
        <v>88100</v>
      </c>
      <c r="E222" s="188" t="s">
        <v>98</v>
      </c>
      <c r="F222" s="561">
        <v>1</v>
      </c>
      <c r="G222" s="188" t="s">
        <v>13</v>
      </c>
      <c r="H222" s="188" t="s">
        <v>535</v>
      </c>
      <c r="I222" s="562">
        <v>43191</v>
      </c>
      <c r="J222" s="562">
        <v>43208</v>
      </c>
      <c r="K222" s="6" t="str">
        <f t="shared" si="10"/>
        <v>PP TQ</v>
      </c>
      <c r="L222" s="14">
        <f>VLOOKUP(J222,'USD to INR'!$B$2:$G$560,6,TRUE)</f>
        <v>66.209999999999994</v>
      </c>
      <c r="M222" s="216">
        <f t="shared" si="11"/>
        <v>1330.6147107687661</v>
      </c>
      <c r="N222" s="563">
        <f t="shared" si="9"/>
        <v>43208</v>
      </c>
    </row>
    <row r="223" spans="1:14" x14ac:dyDescent="0.25">
      <c r="A223" s="188" t="s">
        <v>530</v>
      </c>
      <c r="B223" s="188" t="s">
        <v>531</v>
      </c>
      <c r="C223" s="188" t="s">
        <v>532</v>
      </c>
      <c r="D223" s="560">
        <v>88100</v>
      </c>
      <c r="E223" s="188" t="s">
        <v>98</v>
      </c>
      <c r="F223" s="561">
        <v>1</v>
      </c>
      <c r="G223" s="188" t="s">
        <v>13</v>
      </c>
      <c r="H223" s="188" t="s">
        <v>535</v>
      </c>
      <c r="I223" s="562">
        <v>43209</v>
      </c>
      <c r="J223" s="562">
        <v>43220</v>
      </c>
      <c r="K223" s="6" t="str">
        <f t="shared" si="10"/>
        <v>PP TQ</v>
      </c>
      <c r="L223" s="14">
        <f>VLOOKUP(J223,'USD to INR'!$B$2:$G$560,6,TRUE)</f>
        <v>66.819999999999993</v>
      </c>
      <c r="M223" s="216">
        <f t="shared" si="11"/>
        <v>1318.4675246932059</v>
      </c>
      <c r="N223" s="563">
        <f t="shared" si="9"/>
        <v>43220</v>
      </c>
    </row>
    <row r="224" spans="1:14" x14ac:dyDescent="0.25">
      <c r="A224" s="188" t="s">
        <v>530</v>
      </c>
      <c r="B224" s="188" t="s">
        <v>531</v>
      </c>
      <c r="C224" s="188" t="s">
        <v>532</v>
      </c>
      <c r="D224" s="560">
        <v>89250</v>
      </c>
      <c r="E224" s="188" t="s">
        <v>98</v>
      </c>
      <c r="F224" s="561">
        <v>1</v>
      </c>
      <c r="G224" s="188" t="s">
        <v>13</v>
      </c>
      <c r="H224" s="188" t="s">
        <v>535</v>
      </c>
      <c r="I224" s="562">
        <v>43221</v>
      </c>
      <c r="J224" s="562">
        <v>43236</v>
      </c>
      <c r="K224" s="6" t="str">
        <f t="shared" si="10"/>
        <v>PP TQ</v>
      </c>
      <c r="L224" s="14">
        <f>VLOOKUP(J224,'USD to INR'!$B$2:$G$560,6,TRUE)</f>
        <v>67.989999999999995</v>
      </c>
      <c r="M224" s="216">
        <f t="shared" si="11"/>
        <v>1312.6930430945729</v>
      </c>
      <c r="N224" s="563">
        <f t="shared" si="9"/>
        <v>43236</v>
      </c>
    </row>
    <row r="225" spans="1:14" x14ac:dyDescent="0.25">
      <c r="A225" s="188" t="s">
        <v>530</v>
      </c>
      <c r="B225" s="188" t="s">
        <v>531</v>
      </c>
      <c r="C225" s="188" t="s">
        <v>532</v>
      </c>
      <c r="D225" s="560">
        <v>92020</v>
      </c>
      <c r="E225" s="188" t="s">
        <v>98</v>
      </c>
      <c r="F225" s="561">
        <v>1</v>
      </c>
      <c r="G225" s="188" t="s">
        <v>13</v>
      </c>
      <c r="H225" s="188" t="s">
        <v>535</v>
      </c>
      <c r="I225" s="562">
        <v>43237</v>
      </c>
      <c r="J225" s="562">
        <v>43251</v>
      </c>
      <c r="K225" s="6" t="str">
        <f t="shared" si="10"/>
        <v>PP TQ</v>
      </c>
      <c r="L225" s="14">
        <f>VLOOKUP(J225,'USD to INR'!$B$2:$G$560,6,TRUE)</f>
        <v>66.995000000000005</v>
      </c>
      <c r="M225" s="216">
        <f t="shared" si="11"/>
        <v>1373.5353384580937</v>
      </c>
      <c r="N225" s="563">
        <f t="shared" si="9"/>
        <v>43251</v>
      </c>
    </row>
    <row r="226" spans="1:14" x14ac:dyDescent="0.25">
      <c r="A226" s="188" t="s">
        <v>530</v>
      </c>
      <c r="B226" s="188" t="s">
        <v>531</v>
      </c>
      <c r="C226" s="188" t="s">
        <v>532</v>
      </c>
      <c r="D226" s="560">
        <v>93400</v>
      </c>
      <c r="E226" s="188" t="s">
        <v>98</v>
      </c>
      <c r="F226" s="561">
        <v>1</v>
      </c>
      <c r="G226" s="188" t="s">
        <v>13</v>
      </c>
      <c r="H226" s="188" t="s">
        <v>535</v>
      </c>
      <c r="I226" s="562">
        <v>43252</v>
      </c>
      <c r="J226" s="562">
        <v>43281</v>
      </c>
      <c r="K226" s="6" t="str">
        <f t="shared" si="10"/>
        <v>PP TQ</v>
      </c>
      <c r="L226" s="14">
        <f>VLOOKUP(J226,'USD to INR'!$B$2:$G$560,6,TRUE)</f>
        <v>68.459999999999994</v>
      </c>
      <c r="M226" s="216">
        <f t="shared" si="11"/>
        <v>1364.3003213555362</v>
      </c>
      <c r="N226" s="563">
        <f t="shared" si="9"/>
        <v>43281</v>
      </c>
    </row>
    <row r="227" spans="1:14" x14ac:dyDescent="0.25">
      <c r="A227" s="188" t="s">
        <v>530</v>
      </c>
      <c r="B227" s="188" t="s">
        <v>531</v>
      </c>
      <c r="C227" s="188" t="s">
        <v>532</v>
      </c>
      <c r="D227" s="560">
        <v>93400</v>
      </c>
      <c r="E227" s="188" t="s">
        <v>98</v>
      </c>
      <c r="F227" s="561">
        <v>1</v>
      </c>
      <c r="G227" s="188" t="s">
        <v>13</v>
      </c>
      <c r="H227" s="188" t="s">
        <v>535</v>
      </c>
      <c r="I227" s="562">
        <v>43282</v>
      </c>
      <c r="J227" s="562">
        <v>43292</v>
      </c>
      <c r="K227" s="6" t="str">
        <f t="shared" si="10"/>
        <v>PP TQ</v>
      </c>
      <c r="L227" s="14">
        <f>VLOOKUP(J227,'USD to INR'!$B$2:$G$560,6,TRUE)</f>
        <v>68.5</v>
      </c>
      <c r="M227" s="216">
        <f t="shared" si="11"/>
        <v>1363.5036496350365</v>
      </c>
      <c r="N227" s="563">
        <f t="shared" si="9"/>
        <v>43292</v>
      </c>
    </row>
    <row r="228" spans="1:14" x14ac:dyDescent="0.25">
      <c r="A228" s="188" t="s">
        <v>530</v>
      </c>
      <c r="B228" s="188" t="s">
        <v>531</v>
      </c>
      <c r="C228" s="188" t="s">
        <v>532</v>
      </c>
      <c r="D228" s="560">
        <v>92020</v>
      </c>
      <c r="E228" s="188" t="s">
        <v>98</v>
      </c>
      <c r="F228" s="561">
        <v>1</v>
      </c>
      <c r="G228" s="188" t="s">
        <v>13</v>
      </c>
      <c r="H228" s="188" t="s">
        <v>535</v>
      </c>
      <c r="I228" s="562">
        <v>43293</v>
      </c>
      <c r="J228" s="562">
        <v>43312</v>
      </c>
      <c r="K228" s="6" t="str">
        <f t="shared" si="10"/>
        <v>PP TQ</v>
      </c>
      <c r="L228" s="14">
        <f>VLOOKUP(J228,'USD to INR'!$B$2:$G$560,6,TRUE)</f>
        <v>68.545000000000002</v>
      </c>
      <c r="M228" s="216">
        <f t="shared" si="11"/>
        <v>1342.4757458603838</v>
      </c>
      <c r="N228" s="563">
        <f t="shared" si="9"/>
        <v>43312</v>
      </c>
    </row>
    <row r="229" spans="1:14" x14ac:dyDescent="0.25">
      <c r="A229" s="188" t="s">
        <v>530</v>
      </c>
      <c r="B229" s="188" t="s">
        <v>531</v>
      </c>
      <c r="C229" s="188" t="s">
        <v>532</v>
      </c>
      <c r="D229" s="560">
        <v>90170</v>
      </c>
      <c r="E229" s="188" t="s">
        <v>98</v>
      </c>
      <c r="F229" s="561">
        <v>1</v>
      </c>
      <c r="G229" s="188" t="s">
        <v>13</v>
      </c>
      <c r="H229" s="188" t="s">
        <v>535</v>
      </c>
      <c r="I229" s="562">
        <v>43313</v>
      </c>
      <c r="J229" s="562">
        <v>43343</v>
      </c>
      <c r="K229" s="6" t="str">
        <f t="shared" si="10"/>
        <v>PP TQ</v>
      </c>
      <c r="L229" s="14">
        <f>VLOOKUP(J229,'USD to INR'!$B$2:$G$560,6,TRUE)</f>
        <v>71.004999999999995</v>
      </c>
      <c r="M229" s="216">
        <f t="shared" si="11"/>
        <v>1269.9105696781917</v>
      </c>
      <c r="N229" s="563">
        <f t="shared" si="9"/>
        <v>43343</v>
      </c>
    </row>
    <row r="230" spans="1:14" x14ac:dyDescent="0.25">
      <c r="A230" s="188" t="s">
        <v>530</v>
      </c>
      <c r="B230" s="188" t="s">
        <v>531</v>
      </c>
      <c r="C230" s="188" t="s">
        <v>532</v>
      </c>
      <c r="D230" s="560">
        <v>92010</v>
      </c>
      <c r="E230" s="188" t="s">
        <v>98</v>
      </c>
      <c r="F230" s="561">
        <v>1</v>
      </c>
      <c r="G230" s="188" t="s">
        <v>13</v>
      </c>
      <c r="H230" s="188" t="s">
        <v>535</v>
      </c>
      <c r="I230" s="562">
        <v>43344</v>
      </c>
      <c r="J230" s="562">
        <v>43373</v>
      </c>
      <c r="K230" s="6" t="str">
        <f t="shared" si="10"/>
        <v>PP TQ</v>
      </c>
      <c r="L230" s="14">
        <f>VLOOKUP(J230,'USD to INR'!$B$2:$G$560,6,TRUE)</f>
        <v>73.77</v>
      </c>
      <c r="M230" s="216">
        <f t="shared" si="11"/>
        <v>1247.254981699878</v>
      </c>
      <c r="N230" s="563">
        <f t="shared" si="9"/>
        <v>43373</v>
      </c>
    </row>
    <row r="231" spans="1:14" x14ac:dyDescent="0.25">
      <c r="A231" s="188" t="s">
        <v>530</v>
      </c>
      <c r="B231" s="188" t="s">
        <v>531</v>
      </c>
      <c r="C231" s="188" t="s">
        <v>532</v>
      </c>
      <c r="D231" s="560">
        <v>93890</v>
      </c>
      <c r="E231" s="188" t="s">
        <v>98</v>
      </c>
      <c r="F231" s="561">
        <v>1</v>
      </c>
      <c r="G231" s="188" t="s">
        <v>13</v>
      </c>
      <c r="H231" s="188" t="s">
        <v>535</v>
      </c>
      <c r="I231" s="562">
        <v>43374</v>
      </c>
      <c r="J231" s="562">
        <v>43383</v>
      </c>
      <c r="K231" s="6" t="str">
        <f t="shared" si="10"/>
        <v>PP TQ</v>
      </c>
      <c r="L231" s="14">
        <f>VLOOKUP(J231,'USD to INR'!$B$2:$G$560,6,TRUE)</f>
        <v>73.61</v>
      </c>
      <c r="M231" s="216">
        <f t="shared" si="11"/>
        <v>1275.5060453742699</v>
      </c>
      <c r="N231" s="563">
        <f t="shared" si="9"/>
        <v>43383</v>
      </c>
    </row>
    <row r="232" spans="1:14" x14ac:dyDescent="0.25">
      <c r="A232" s="188" t="s">
        <v>530</v>
      </c>
      <c r="B232" s="188" t="s">
        <v>531</v>
      </c>
      <c r="C232" s="188" t="s">
        <v>532</v>
      </c>
      <c r="D232" s="560">
        <v>95280</v>
      </c>
      <c r="E232" s="188" t="s">
        <v>98</v>
      </c>
      <c r="F232" s="561">
        <v>1</v>
      </c>
      <c r="G232" s="188" t="s">
        <v>13</v>
      </c>
      <c r="H232" s="188" t="s">
        <v>535</v>
      </c>
      <c r="I232" s="562">
        <v>43384</v>
      </c>
      <c r="J232" s="562">
        <v>43404</v>
      </c>
      <c r="K232" s="6" t="str">
        <f t="shared" si="10"/>
        <v>PP TQ</v>
      </c>
      <c r="L232" s="14">
        <f>VLOOKUP(J232,'USD to INR'!$B$2:$G$560,6,TRUE)</f>
        <v>72.44</v>
      </c>
      <c r="M232" s="216">
        <f t="shared" si="11"/>
        <v>1315.2954168967422</v>
      </c>
      <c r="N232" s="563">
        <f t="shared" si="9"/>
        <v>43404</v>
      </c>
    </row>
    <row r="233" spans="1:14" x14ac:dyDescent="0.25">
      <c r="A233" s="188" t="s">
        <v>530</v>
      </c>
      <c r="B233" s="188" t="s">
        <v>531</v>
      </c>
      <c r="C233" s="188" t="s">
        <v>532</v>
      </c>
      <c r="D233" s="560">
        <v>95280</v>
      </c>
      <c r="E233" s="188" t="s">
        <v>98</v>
      </c>
      <c r="F233" s="561">
        <v>1</v>
      </c>
      <c r="G233" s="188" t="s">
        <v>13</v>
      </c>
      <c r="H233" s="188" t="s">
        <v>535</v>
      </c>
      <c r="I233" s="562">
        <v>43405</v>
      </c>
      <c r="J233" s="562">
        <v>43418</v>
      </c>
      <c r="K233" s="6" t="str">
        <f t="shared" si="10"/>
        <v>PP TQ</v>
      </c>
      <c r="L233" s="14">
        <f>VLOOKUP(J233,'USD to INR'!$B$2:$G$560,6,TRUE)</f>
        <v>71.98</v>
      </c>
      <c r="M233" s="216">
        <f t="shared" si="11"/>
        <v>1323.7010280633508</v>
      </c>
      <c r="N233" s="563">
        <f t="shared" si="9"/>
        <v>43418</v>
      </c>
    </row>
    <row r="234" spans="1:14" x14ac:dyDescent="0.25">
      <c r="A234" s="188" t="s">
        <v>530</v>
      </c>
      <c r="B234" s="188" t="s">
        <v>531</v>
      </c>
      <c r="C234" s="188" t="s">
        <v>532</v>
      </c>
      <c r="D234" s="560">
        <v>92510</v>
      </c>
      <c r="E234" s="188" t="s">
        <v>98</v>
      </c>
      <c r="F234" s="561">
        <v>1</v>
      </c>
      <c r="G234" s="188" t="s">
        <v>13</v>
      </c>
      <c r="H234" s="188" t="s">
        <v>535</v>
      </c>
      <c r="I234" s="562">
        <v>43419</v>
      </c>
      <c r="J234" s="562">
        <v>43425</v>
      </c>
      <c r="K234" s="6" t="str">
        <f t="shared" si="10"/>
        <v>PP TQ</v>
      </c>
      <c r="L234" s="14">
        <f>VLOOKUP(J234,'USD to INR'!$B$2:$G$560,6,TRUE)</f>
        <v>70.655000000000001</v>
      </c>
      <c r="M234" s="216">
        <f t="shared" si="11"/>
        <v>1309.319934894912</v>
      </c>
      <c r="N234" s="563">
        <f t="shared" si="9"/>
        <v>43425</v>
      </c>
    </row>
    <row r="235" spans="1:14" x14ac:dyDescent="0.25">
      <c r="A235" s="188" t="s">
        <v>530</v>
      </c>
      <c r="B235" s="188" t="s">
        <v>531</v>
      </c>
      <c r="C235" s="188" t="s">
        <v>532</v>
      </c>
      <c r="D235" s="560">
        <v>86970</v>
      </c>
      <c r="E235" s="188" t="s">
        <v>98</v>
      </c>
      <c r="F235" s="561">
        <v>1</v>
      </c>
      <c r="G235" s="188" t="s">
        <v>13</v>
      </c>
      <c r="H235" s="188" t="s">
        <v>535</v>
      </c>
      <c r="I235" s="562">
        <v>43426</v>
      </c>
      <c r="J235" s="562">
        <v>43434</v>
      </c>
      <c r="K235" s="6" t="str">
        <f t="shared" si="10"/>
        <v>PP TQ</v>
      </c>
      <c r="L235" s="14">
        <f>VLOOKUP(J235,'USD to INR'!$B$2:$G$560,6,TRUE)</f>
        <v>69.650000000000006</v>
      </c>
      <c r="M235" s="216">
        <f t="shared" si="11"/>
        <v>1248.6719310839912</v>
      </c>
      <c r="N235" s="563">
        <f t="shared" si="9"/>
        <v>43434</v>
      </c>
    </row>
    <row r="236" spans="1:14" x14ac:dyDescent="0.25">
      <c r="A236" s="188" t="s">
        <v>530</v>
      </c>
      <c r="B236" s="188" t="s">
        <v>531</v>
      </c>
      <c r="C236" s="188" t="s">
        <v>532</v>
      </c>
      <c r="D236" s="560">
        <v>79560</v>
      </c>
      <c r="E236" s="188" t="s">
        <v>98</v>
      </c>
      <c r="F236" s="561">
        <v>1</v>
      </c>
      <c r="G236" s="188" t="s">
        <v>13</v>
      </c>
      <c r="H236" s="188" t="s">
        <v>535</v>
      </c>
      <c r="I236" s="562">
        <v>43435</v>
      </c>
      <c r="J236" s="562">
        <v>43465</v>
      </c>
      <c r="K236" s="6" t="str">
        <f t="shared" si="10"/>
        <v>PP TQ</v>
      </c>
      <c r="L236" s="14">
        <f>VLOOKUP(J236,'USD to INR'!$B$2:$G$560,6,TRUE)</f>
        <v>69.55</v>
      </c>
      <c r="M236" s="216">
        <f t="shared" si="11"/>
        <v>1143.9252336448599</v>
      </c>
      <c r="N236" s="563">
        <f t="shared" si="9"/>
        <v>43465</v>
      </c>
    </row>
    <row r="237" spans="1:14" x14ac:dyDescent="0.25">
      <c r="A237" s="188" t="s">
        <v>530</v>
      </c>
      <c r="B237" s="188" t="s">
        <v>531</v>
      </c>
      <c r="C237" s="188" t="s">
        <v>532</v>
      </c>
      <c r="D237" s="560">
        <v>79685</v>
      </c>
      <c r="E237" s="188" t="s">
        <v>98</v>
      </c>
      <c r="F237" s="561">
        <v>1</v>
      </c>
      <c r="G237" s="188" t="s">
        <v>13</v>
      </c>
      <c r="H237" s="188" t="s">
        <v>535</v>
      </c>
      <c r="I237" s="562">
        <v>43466</v>
      </c>
      <c r="J237" s="562">
        <v>43474</v>
      </c>
      <c r="K237" s="6" t="str">
        <f t="shared" si="10"/>
        <v>PP TQ</v>
      </c>
      <c r="L237" s="14">
        <f>VLOOKUP(J237,'USD to INR'!$B$2:$G$560,6,TRUE)</f>
        <v>70.399000000000001</v>
      </c>
      <c r="M237" s="216">
        <f t="shared" si="11"/>
        <v>1131.9052827454934</v>
      </c>
      <c r="N237" s="563">
        <f t="shared" si="9"/>
        <v>43474</v>
      </c>
    </row>
    <row r="238" spans="1:14" x14ac:dyDescent="0.25">
      <c r="A238" s="188" t="s">
        <v>530</v>
      </c>
      <c r="B238" s="188" t="s">
        <v>531</v>
      </c>
      <c r="C238" s="188" t="s">
        <v>532</v>
      </c>
      <c r="D238" s="560">
        <v>79685</v>
      </c>
      <c r="E238" s="188" t="s">
        <v>98</v>
      </c>
      <c r="F238" s="561">
        <v>1</v>
      </c>
      <c r="G238" s="188" t="s">
        <v>13</v>
      </c>
      <c r="H238" s="188" t="s">
        <v>535</v>
      </c>
      <c r="I238" s="562">
        <v>43475</v>
      </c>
      <c r="J238" s="562">
        <v>43496</v>
      </c>
      <c r="K238" s="6" t="str">
        <f t="shared" si="10"/>
        <v>PP TQ</v>
      </c>
      <c r="L238" s="14">
        <f>VLOOKUP(J238,'USD to INR'!$B$2:$G$560,6,TRUE)</f>
        <v>71.435000000000002</v>
      </c>
      <c r="M238" s="216">
        <f t="shared" si="11"/>
        <v>1115.4896059354658</v>
      </c>
      <c r="N238" s="563">
        <f t="shared" si="9"/>
        <v>43496</v>
      </c>
    </row>
    <row r="239" spans="1:14" x14ac:dyDescent="0.25">
      <c r="A239" s="188" t="s">
        <v>530</v>
      </c>
      <c r="B239" s="188" t="s">
        <v>531</v>
      </c>
      <c r="C239" s="188" t="s">
        <v>532</v>
      </c>
      <c r="D239" s="560">
        <v>81155</v>
      </c>
      <c r="E239" s="188" t="s">
        <v>98</v>
      </c>
      <c r="F239" s="561">
        <v>1</v>
      </c>
      <c r="G239" s="188" t="s">
        <v>13</v>
      </c>
      <c r="H239" s="188" t="s">
        <v>535</v>
      </c>
      <c r="I239" s="562">
        <v>43497</v>
      </c>
      <c r="J239" s="562">
        <v>43516</v>
      </c>
      <c r="K239" s="6" t="str">
        <f t="shared" si="10"/>
        <v>PP TQ</v>
      </c>
      <c r="L239" s="14">
        <f>VLOOKUP(J239,'USD to INR'!$B$2:$G$560,6,TRUE)</f>
        <v>71.034999999999997</v>
      </c>
      <c r="M239" s="216">
        <f t="shared" si="11"/>
        <v>1142.4649820511015</v>
      </c>
      <c r="N239" s="563">
        <f t="shared" si="9"/>
        <v>43516</v>
      </c>
    </row>
    <row r="240" spans="1:14" x14ac:dyDescent="0.25">
      <c r="A240" s="188" t="s">
        <v>530</v>
      </c>
      <c r="B240" s="188" t="s">
        <v>531</v>
      </c>
      <c r="C240" s="188" t="s">
        <v>532</v>
      </c>
      <c r="D240" s="560">
        <v>82545</v>
      </c>
      <c r="E240" s="188" t="s">
        <v>98</v>
      </c>
      <c r="F240" s="561">
        <v>1</v>
      </c>
      <c r="G240" s="188" t="s">
        <v>13</v>
      </c>
      <c r="H240" s="188" t="s">
        <v>535</v>
      </c>
      <c r="I240" s="562">
        <v>43517</v>
      </c>
      <c r="J240" s="562">
        <v>43524</v>
      </c>
      <c r="K240" s="6" t="str">
        <f t="shared" si="10"/>
        <v>PP TQ</v>
      </c>
      <c r="L240" s="14">
        <f>VLOOKUP(J240,'USD to INR'!$B$2:$G$560,6,TRUE)</f>
        <v>71</v>
      </c>
      <c r="M240" s="216">
        <f t="shared" si="11"/>
        <v>1162.605633802817</v>
      </c>
      <c r="N240" s="563">
        <f t="shared" si="9"/>
        <v>43524</v>
      </c>
    </row>
    <row r="241" spans="1:14" x14ac:dyDescent="0.25">
      <c r="A241" s="188" t="s">
        <v>530</v>
      </c>
      <c r="B241" s="188" t="s">
        <v>531</v>
      </c>
      <c r="C241" s="188" t="s">
        <v>532</v>
      </c>
      <c r="D241" s="560">
        <v>83465</v>
      </c>
      <c r="E241" s="188" t="s">
        <v>98</v>
      </c>
      <c r="F241" s="561">
        <v>1</v>
      </c>
      <c r="G241" s="188" t="s">
        <v>13</v>
      </c>
      <c r="H241" s="188" t="s">
        <v>535</v>
      </c>
      <c r="I241" s="562">
        <v>43525</v>
      </c>
      <c r="J241" s="562">
        <v>43555</v>
      </c>
      <c r="K241" s="6" t="str">
        <f t="shared" si="10"/>
        <v>PP TQ</v>
      </c>
      <c r="L241" s="14">
        <f>VLOOKUP(J241,'USD to INR'!$B$2:$G$560,6,TRUE)</f>
        <v>69.17</v>
      </c>
      <c r="M241" s="216">
        <f t="shared" si="11"/>
        <v>1206.6647390487205</v>
      </c>
      <c r="N241" s="563">
        <f t="shared" si="9"/>
        <v>43555</v>
      </c>
    </row>
    <row r="242" spans="1:14" x14ac:dyDescent="0.25">
      <c r="A242" s="188" t="s">
        <v>530</v>
      </c>
      <c r="B242" s="188" t="s">
        <v>531</v>
      </c>
      <c r="C242" s="188" t="s">
        <v>532</v>
      </c>
      <c r="D242" s="560">
        <v>85865</v>
      </c>
      <c r="E242" s="188" t="s">
        <v>98</v>
      </c>
      <c r="F242" s="561">
        <v>1</v>
      </c>
      <c r="G242" s="188" t="s">
        <v>13</v>
      </c>
      <c r="H242" s="188" t="s">
        <v>535</v>
      </c>
      <c r="I242" s="562">
        <v>43556</v>
      </c>
      <c r="J242" s="562">
        <v>43565</v>
      </c>
      <c r="K242" s="6" t="str">
        <f t="shared" si="10"/>
        <v>PP TQ</v>
      </c>
      <c r="L242" s="14">
        <f>VLOOKUP(J242,'USD to INR'!$B$2:$G$560,6,TRUE)</f>
        <v>69.19</v>
      </c>
      <c r="M242" s="216">
        <f t="shared" si="11"/>
        <v>1241.0030351206822</v>
      </c>
      <c r="N242" s="563">
        <f t="shared" si="9"/>
        <v>43565</v>
      </c>
    </row>
    <row r="243" spans="1:14" x14ac:dyDescent="0.25">
      <c r="A243" s="188" t="s">
        <v>530</v>
      </c>
      <c r="B243" s="188" t="s">
        <v>531</v>
      </c>
      <c r="C243" s="188" t="s">
        <v>532</v>
      </c>
      <c r="D243" s="560">
        <v>86695</v>
      </c>
      <c r="E243" s="188" t="s">
        <v>98</v>
      </c>
      <c r="F243" s="561">
        <v>1</v>
      </c>
      <c r="G243" s="188" t="s">
        <v>13</v>
      </c>
      <c r="H243" s="188" t="s">
        <v>535</v>
      </c>
      <c r="I243" s="562">
        <v>43566</v>
      </c>
      <c r="J243" s="562">
        <v>43572</v>
      </c>
      <c r="K243" s="6" t="str">
        <f t="shared" si="10"/>
        <v>PP TQ</v>
      </c>
      <c r="L243" s="14">
        <f>VLOOKUP(J243,'USD to INR'!$B$2:$G$560,6,TRUE)</f>
        <v>69.406999999999996</v>
      </c>
      <c r="M243" s="216">
        <f t="shared" si="11"/>
        <v>1249.0815047473598</v>
      </c>
      <c r="N243" s="563">
        <f t="shared" si="9"/>
        <v>43572</v>
      </c>
    </row>
    <row r="244" spans="1:14" x14ac:dyDescent="0.25">
      <c r="A244" s="188" t="s">
        <v>530</v>
      </c>
      <c r="B244" s="188" t="s">
        <v>531</v>
      </c>
      <c r="C244" s="188" t="s">
        <v>532</v>
      </c>
      <c r="D244" s="560">
        <v>87615</v>
      </c>
      <c r="E244" s="188" t="s">
        <v>98</v>
      </c>
      <c r="F244" s="561">
        <v>1</v>
      </c>
      <c r="G244" s="188" t="s">
        <v>13</v>
      </c>
      <c r="H244" s="188" t="s">
        <v>535</v>
      </c>
      <c r="I244" s="562">
        <v>43573</v>
      </c>
      <c r="J244" s="562">
        <v>43579</v>
      </c>
      <c r="K244" s="6" t="str">
        <f t="shared" si="10"/>
        <v>PP TQ</v>
      </c>
      <c r="L244" s="14">
        <f>VLOOKUP(J244,'USD to INR'!$B$2:$G$560,6,TRUE)</f>
        <v>69.849999999999994</v>
      </c>
      <c r="M244" s="216">
        <f t="shared" si="11"/>
        <v>1254.3307086614175</v>
      </c>
      <c r="N244" s="563">
        <f t="shared" si="9"/>
        <v>43579</v>
      </c>
    </row>
    <row r="245" spans="1:14" x14ac:dyDescent="0.25">
      <c r="A245" s="188" t="s">
        <v>530</v>
      </c>
      <c r="B245" s="188" t="s">
        <v>531</v>
      </c>
      <c r="C245" s="188" t="s">
        <v>532</v>
      </c>
      <c r="D245" s="560">
        <v>89465</v>
      </c>
      <c r="E245" s="188" t="s">
        <v>98</v>
      </c>
      <c r="F245" s="561">
        <v>1</v>
      </c>
      <c r="G245" s="188" t="s">
        <v>13</v>
      </c>
      <c r="H245" s="188" t="s">
        <v>535</v>
      </c>
      <c r="I245" s="562">
        <v>43580</v>
      </c>
      <c r="J245" s="562">
        <v>43585</v>
      </c>
      <c r="K245" s="6" t="str">
        <f t="shared" si="10"/>
        <v>PP TQ</v>
      </c>
      <c r="L245" s="14">
        <f>VLOOKUP(J245,'USD to INR'!$B$2:$G$560,6,TRUE)</f>
        <v>69.094999999999999</v>
      </c>
      <c r="M245" s="216">
        <f t="shared" si="11"/>
        <v>1294.8114914248499</v>
      </c>
      <c r="N245" s="563">
        <f t="shared" si="9"/>
        <v>43585</v>
      </c>
    </row>
    <row r="246" spans="1:14" x14ac:dyDescent="0.25">
      <c r="A246" s="188" t="s">
        <v>530</v>
      </c>
      <c r="B246" s="188" t="s">
        <v>531</v>
      </c>
      <c r="C246" s="188" t="s">
        <v>532</v>
      </c>
      <c r="D246" s="560">
        <v>89365</v>
      </c>
      <c r="E246" s="188" t="s">
        <v>98</v>
      </c>
      <c r="F246" s="561">
        <v>1</v>
      </c>
      <c r="G246" s="188" t="s">
        <v>13</v>
      </c>
      <c r="H246" s="188" t="s">
        <v>535</v>
      </c>
      <c r="I246" s="562">
        <v>43586</v>
      </c>
      <c r="J246" s="562">
        <v>43593</v>
      </c>
      <c r="K246" s="6" t="str">
        <f t="shared" si="10"/>
        <v>PP TQ</v>
      </c>
      <c r="L246" s="14">
        <f>VLOOKUP(J246,'USD to INR'!$B$2:$G$560,6,TRUE)</f>
        <v>70.015000000000001</v>
      </c>
      <c r="M246" s="216">
        <f t="shared" si="11"/>
        <v>1276.3693494251231</v>
      </c>
      <c r="N246" s="563">
        <f t="shared" si="9"/>
        <v>43593</v>
      </c>
    </row>
    <row r="247" spans="1:14" x14ac:dyDescent="0.25">
      <c r="A247" s="188" t="s">
        <v>530</v>
      </c>
      <c r="B247" s="188" t="s">
        <v>531</v>
      </c>
      <c r="C247" s="188" t="s">
        <v>532</v>
      </c>
      <c r="D247" s="560">
        <v>89365</v>
      </c>
      <c r="E247" s="188" t="s">
        <v>98</v>
      </c>
      <c r="F247" s="561">
        <v>1</v>
      </c>
      <c r="G247" s="188" t="s">
        <v>13</v>
      </c>
      <c r="H247" s="188" t="s">
        <v>535</v>
      </c>
      <c r="I247" s="562">
        <v>43594</v>
      </c>
      <c r="J247" s="562">
        <v>43616</v>
      </c>
      <c r="K247" s="6" t="str">
        <f t="shared" si="10"/>
        <v>PP TQ</v>
      </c>
      <c r="L247" s="14">
        <f>VLOOKUP(J247,'USD to INR'!$B$2:$G$560,6,TRUE)</f>
        <v>69.58</v>
      </c>
      <c r="M247" s="216">
        <f t="shared" si="11"/>
        <v>1284.3489508479449</v>
      </c>
      <c r="N247" s="563">
        <f t="shared" si="9"/>
        <v>43616</v>
      </c>
    </row>
    <row r="248" spans="1:14" x14ac:dyDescent="0.25">
      <c r="A248" s="188" t="s">
        <v>530</v>
      </c>
      <c r="B248" s="188" t="s">
        <v>531</v>
      </c>
      <c r="C248" s="188" t="s">
        <v>532</v>
      </c>
      <c r="D248" s="560">
        <v>87517</v>
      </c>
      <c r="E248" s="188" t="s">
        <v>98</v>
      </c>
      <c r="F248" s="561">
        <v>1</v>
      </c>
      <c r="G248" s="188" t="s">
        <v>13</v>
      </c>
      <c r="H248" s="188" t="s">
        <v>535</v>
      </c>
      <c r="I248" s="562">
        <v>43617</v>
      </c>
      <c r="J248" s="562">
        <v>43628</v>
      </c>
      <c r="K248" s="6" t="str">
        <f t="shared" si="10"/>
        <v>PP TQ</v>
      </c>
      <c r="L248" s="14">
        <f>VLOOKUP(J248,'USD to INR'!$B$2:$G$560,6,TRUE)</f>
        <v>69.832999999999998</v>
      </c>
      <c r="M248" s="216">
        <f t="shared" si="11"/>
        <v>1253.2327123279824</v>
      </c>
      <c r="N248" s="563">
        <f t="shared" si="9"/>
        <v>43628</v>
      </c>
    </row>
    <row r="249" spans="1:14" x14ac:dyDescent="0.25">
      <c r="A249" s="188" t="s">
        <v>530</v>
      </c>
      <c r="B249" s="188" t="s">
        <v>531</v>
      </c>
      <c r="C249" s="188" t="s">
        <v>532</v>
      </c>
      <c r="D249" s="560">
        <v>85667</v>
      </c>
      <c r="E249" s="188" t="s">
        <v>98</v>
      </c>
      <c r="F249" s="561">
        <v>1</v>
      </c>
      <c r="G249" s="188" t="s">
        <v>13</v>
      </c>
      <c r="H249" s="188" t="s">
        <v>535</v>
      </c>
      <c r="I249" s="562">
        <v>43629</v>
      </c>
      <c r="J249" s="562">
        <v>43635</v>
      </c>
      <c r="K249" s="6" t="str">
        <f t="shared" si="10"/>
        <v>PP TQ</v>
      </c>
      <c r="L249" s="14">
        <f>VLOOKUP(J249,'USD to INR'!$B$2:$G$560,6,TRUE)</f>
        <v>69.614999999999995</v>
      </c>
      <c r="M249" s="216">
        <f t="shared" si="11"/>
        <v>1230.582489406019</v>
      </c>
      <c r="N249" s="563">
        <f t="shared" si="9"/>
        <v>43635</v>
      </c>
    </row>
    <row r="250" spans="1:14" x14ac:dyDescent="0.25">
      <c r="A250" s="188" t="s">
        <v>530</v>
      </c>
      <c r="B250" s="188" t="s">
        <v>531</v>
      </c>
      <c r="C250" s="188" t="s">
        <v>532</v>
      </c>
      <c r="D250" s="560">
        <v>82900</v>
      </c>
      <c r="E250" s="188" t="s">
        <v>98</v>
      </c>
      <c r="F250" s="561">
        <v>1</v>
      </c>
      <c r="G250" s="188" t="s">
        <v>13</v>
      </c>
      <c r="H250" s="188" t="s">
        <v>535</v>
      </c>
      <c r="I250" s="562">
        <v>43636</v>
      </c>
      <c r="J250" s="562">
        <v>43646</v>
      </c>
      <c r="K250" s="6" t="str">
        <f t="shared" si="10"/>
        <v>PP TQ</v>
      </c>
      <c r="L250" s="14">
        <f>VLOOKUP(J250,'USD to INR'!$B$2:$G$560,6,TRUE)</f>
        <v>68.45</v>
      </c>
      <c r="M250" s="216">
        <f t="shared" si="11"/>
        <v>1211.1029948867786</v>
      </c>
      <c r="N250" s="563">
        <f t="shared" si="9"/>
        <v>43646</v>
      </c>
    </row>
    <row r="251" spans="1:14" x14ac:dyDescent="0.25">
      <c r="A251" s="188" t="s">
        <v>530</v>
      </c>
      <c r="B251" s="188" t="s">
        <v>531</v>
      </c>
      <c r="C251" s="188" t="s">
        <v>532</v>
      </c>
      <c r="D251" s="560">
        <v>82830</v>
      </c>
      <c r="E251" s="188" t="s">
        <v>98</v>
      </c>
      <c r="F251" s="561">
        <v>1</v>
      </c>
      <c r="G251" s="188" t="s">
        <v>13</v>
      </c>
      <c r="H251" s="188" t="s">
        <v>535</v>
      </c>
      <c r="I251" s="562">
        <v>43647</v>
      </c>
      <c r="J251" s="562">
        <v>43656</v>
      </c>
      <c r="K251" s="6" t="str">
        <f t="shared" si="10"/>
        <v>PP TQ</v>
      </c>
      <c r="L251" s="14">
        <f>VLOOKUP(J251,'USD to INR'!$B$2:$G$560,6,TRUE)</f>
        <v>68.56</v>
      </c>
      <c r="M251" s="216">
        <f t="shared" si="11"/>
        <v>1208.1388564760794</v>
      </c>
      <c r="N251" s="563">
        <f t="shared" si="9"/>
        <v>43656</v>
      </c>
    </row>
    <row r="252" spans="1:14" x14ac:dyDescent="0.25">
      <c r="A252" s="188" t="s">
        <v>530</v>
      </c>
      <c r="B252" s="188" t="s">
        <v>531</v>
      </c>
      <c r="C252" s="188" t="s">
        <v>532</v>
      </c>
      <c r="D252" s="560">
        <v>84220</v>
      </c>
      <c r="E252" s="188" t="s">
        <v>98</v>
      </c>
      <c r="F252" s="561">
        <v>1</v>
      </c>
      <c r="G252" s="188" t="s">
        <v>13</v>
      </c>
      <c r="H252" s="188" t="s">
        <v>535</v>
      </c>
      <c r="I252" s="562">
        <v>43657</v>
      </c>
      <c r="J252" s="562">
        <v>43677</v>
      </c>
      <c r="K252" s="6" t="str">
        <f t="shared" si="10"/>
        <v>PP TQ</v>
      </c>
      <c r="L252" s="14">
        <f>VLOOKUP(J252,'USD to INR'!$B$2:$G$560,6,TRUE)</f>
        <v>69.7</v>
      </c>
      <c r="M252" s="216">
        <f t="shared" si="11"/>
        <v>1208.3213773314203</v>
      </c>
      <c r="N252" s="563">
        <f t="shared" si="9"/>
        <v>43677</v>
      </c>
    </row>
    <row r="253" spans="1:14" x14ac:dyDescent="0.25">
      <c r="A253" s="188" t="s">
        <v>530</v>
      </c>
      <c r="B253" s="188" t="s">
        <v>531</v>
      </c>
      <c r="C253" s="188" t="s">
        <v>532</v>
      </c>
      <c r="D253" s="560">
        <v>84210</v>
      </c>
      <c r="E253" s="188" t="s">
        <v>98</v>
      </c>
      <c r="F253" s="561">
        <v>1</v>
      </c>
      <c r="G253" s="188" t="s">
        <v>13</v>
      </c>
      <c r="H253" s="188" t="s">
        <v>535</v>
      </c>
      <c r="I253" s="562">
        <v>43678</v>
      </c>
      <c r="J253" s="562">
        <v>43684</v>
      </c>
      <c r="K253" s="6" t="str">
        <f t="shared" si="10"/>
        <v>PP TQ</v>
      </c>
      <c r="L253" s="14">
        <f>VLOOKUP(J253,'USD to INR'!$B$2:$G$560,6,TRUE)</f>
        <v>70.924000000000007</v>
      </c>
      <c r="M253" s="216">
        <f t="shared" si="11"/>
        <v>1187.3272799052506</v>
      </c>
      <c r="N253" s="563">
        <f t="shared" si="9"/>
        <v>43684</v>
      </c>
    </row>
    <row r="254" spans="1:14" x14ac:dyDescent="0.25">
      <c r="A254" s="188" t="s">
        <v>530</v>
      </c>
      <c r="B254" s="188" t="s">
        <v>531</v>
      </c>
      <c r="C254" s="188" t="s">
        <v>532</v>
      </c>
      <c r="D254" s="560">
        <v>85600</v>
      </c>
      <c r="E254" s="188" t="s">
        <v>98</v>
      </c>
      <c r="F254" s="561">
        <v>1</v>
      </c>
      <c r="G254" s="188" t="s">
        <v>13</v>
      </c>
      <c r="H254" s="188" t="s">
        <v>535</v>
      </c>
      <c r="I254" s="562">
        <v>43685</v>
      </c>
      <c r="J254" s="562">
        <v>43708</v>
      </c>
      <c r="K254" s="6" t="str">
        <f t="shared" si="10"/>
        <v>PP TQ</v>
      </c>
      <c r="L254" s="14">
        <f>VLOOKUP(J254,'USD to INR'!$B$2:$G$560,6,TRUE)</f>
        <v>71.453000000000003</v>
      </c>
      <c r="M254" s="216">
        <f t="shared" si="11"/>
        <v>1197.9902873217359</v>
      </c>
      <c r="N254" s="563">
        <f t="shared" si="9"/>
        <v>43708</v>
      </c>
    </row>
    <row r="255" spans="1:14" x14ac:dyDescent="0.25">
      <c r="A255" s="188" t="s">
        <v>530</v>
      </c>
      <c r="B255" s="188" t="s">
        <v>531</v>
      </c>
      <c r="C255" s="188" t="s">
        <v>532</v>
      </c>
      <c r="D255" s="560">
        <v>86520</v>
      </c>
      <c r="E255" s="188" t="s">
        <v>98</v>
      </c>
      <c r="F255" s="561">
        <v>1</v>
      </c>
      <c r="G255" s="188" t="s">
        <v>13</v>
      </c>
      <c r="H255" s="188" t="s">
        <v>535</v>
      </c>
      <c r="I255" s="562">
        <v>43709</v>
      </c>
      <c r="J255" s="562">
        <v>43726</v>
      </c>
      <c r="K255" s="6" t="str">
        <f t="shared" si="10"/>
        <v>PP TQ</v>
      </c>
      <c r="L255" s="14">
        <f>VLOOKUP(J255,'USD to INR'!$B$2:$G$560,6,TRUE)</f>
        <v>71.075000000000003</v>
      </c>
      <c r="M255" s="216">
        <f t="shared" si="11"/>
        <v>1217.3056630320084</v>
      </c>
      <c r="N255" s="563">
        <f t="shared" si="9"/>
        <v>43726</v>
      </c>
    </row>
    <row r="256" spans="1:14" x14ac:dyDescent="0.25">
      <c r="A256" s="188" t="s">
        <v>530</v>
      </c>
      <c r="B256" s="188" t="s">
        <v>531</v>
      </c>
      <c r="C256" s="188" t="s">
        <v>532</v>
      </c>
      <c r="D256" s="560">
        <v>87450</v>
      </c>
      <c r="E256" s="188" t="s">
        <v>98</v>
      </c>
      <c r="F256" s="561">
        <v>1</v>
      </c>
      <c r="G256" s="188" t="s">
        <v>13</v>
      </c>
      <c r="H256" s="188" t="s">
        <v>535</v>
      </c>
      <c r="I256" s="562">
        <v>43727</v>
      </c>
      <c r="J256" s="562">
        <v>43738</v>
      </c>
      <c r="K256" s="6" t="str">
        <f t="shared" si="10"/>
        <v>PP TQ</v>
      </c>
      <c r="L256" s="14">
        <f>VLOOKUP(J256,'USD to INR'!$B$2:$G$560,6,TRUE)</f>
        <v>70.825000000000003</v>
      </c>
      <c r="M256" s="216">
        <f t="shared" si="11"/>
        <v>1234.7334980585952</v>
      </c>
      <c r="N256" s="563">
        <f t="shared" si="9"/>
        <v>43738</v>
      </c>
    </row>
    <row r="257" spans="1:14" x14ac:dyDescent="0.25">
      <c r="A257" s="188" t="s">
        <v>530</v>
      </c>
      <c r="B257" s="188" t="s">
        <v>531</v>
      </c>
      <c r="C257" s="188" t="s">
        <v>532</v>
      </c>
      <c r="D257" s="560">
        <v>87440</v>
      </c>
      <c r="E257" s="188" t="s">
        <v>98</v>
      </c>
      <c r="F257" s="561">
        <v>1</v>
      </c>
      <c r="G257" s="188" t="s">
        <v>13</v>
      </c>
      <c r="H257" s="188" t="s">
        <v>535</v>
      </c>
      <c r="I257" s="562">
        <v>43739</v>
      </c>
      <c r="J257" s="562">
        <v>43747</v>
      </c>
      <c r="K257" s="6" t="str">
        <f t="shared" si="10"/>
        <v>PP TQ</v>
      </c>
      <c r="L257" s="14">
        <f>VLOOKUP(J257,'USD to INR'!$B$2:$G$560,6,TRUE)</f>
        <v>70.924000000000007</v>
      </c>
      <c r="M257" s="216">
        <f t="shared" si="11"/>
        <v>1232.8689865207828</v>
      </c>
      <c r="N257" s="563">
        <f t="shared" si="9"/>
        <v>43747</v>
      </c>
    </row>
    <row r="258" spans="1:14" x14ac:dyDescent="0.25">
      <c r="A258" s="188" t="s">
        <v>530</v>
      </c>
      <c r="B258" s="188" t="s">
        <v>531</v>
      </c>
      <c r="C258" s="188" t="s">
        <v>532</v>
      </c>
      <c r="D258" s="560">
        <v>84670</v>
      </c>
      <c r="E258" s="188" t="s">
        <v>98</v>
      </c>
      <c r="F258" s="561">
        <v>1</v>
      </c>
      <c r="G258" s="188" t="s">
        <v>13</v>
      </c>
      <c r="H258" s="188" t="s">
        <v>535</v>
      </c>
      <c r="I258" s="562">
        <v>43748</v>
      </c>
      <c r="J258" s="562">
        <v>43754</v>
      </c>
      <c r="K258" s="6" t="str">
        <f t="shared" si="10"/>
        <v>PP TQ</v>
      </c>
      <c r="L258" s="14">
        <f>VLOOKUP(J258,'USD to INR'!$B$2:$G$560,6,TRUE)</f>
        <v>71.09</v>
      </c>
      <c r="M258" s="216">
        <f t="shared" si="11"/>
        <v>1191.0254606836404</v>
      </c>
      <c r="N258" s="563">
        <f t="shared" ref="N258:N321" si="12">J258</f>
        <v>43754</v>
      </c>
    </row>
    <row r="259" spans="1:14" x14ac:dyDescent="0.25">
      <c r="A259" s="188" t="s">
        <v>530</v>
      </c>
      <c r="B259" s="188" t="s">
        <v>531</v>
      </c>
      <c r="C259" s="188" t="s">
        <v>532</v>
      </c>
      <c r="D259" s="560">
        <v>81900</v>
      </c>
      <c r="E259" s="188" t="s">
        <v>98</v>
      </c>
      <c r="F259" s="561">
        <v>1</v>
      </c>
      <c r="G259" s="188" t="s">
        <v>13</v>
      </c>
      <c r="H259" s="188" t="s">
        <v>535</v>
      </c>
      <c r="I259" s="562">
        <v>43755</v>
      </c>
      <c r="J259" s="562">
        <v>43769</v>
      </c>
      <c r="K259" s="6" t="str">
        <f t="shared" ref="K259:K322" si="13">VLOOKUP(H259,$V$2:$W$10,2,TRUE)</f>
        <v>PP TQ</v>
      </c>
      <c r="L259" s="14">
        <f>VLOOKUP(J259,'USD to INR'!$B$2:$G$560,6,TRUE)</f>
        <v>70.760000000000005</v>
      </c>
      <c r="M259" s="216">
        <f t="shared" ref="M259:M322" si="14">D259/L259</f>
        <v>1157.4335782928208</v>
      </c>
      <c r="N259" s="563">
        <f t="shared" si="12"/>
        <v>43769</v>
      </c>
    </row>
    <row r="260" spans="1:14" x14ac:dyDescent="0.25">
      <c r="A260" s="188" t="s">
        <v>530</v>
      </c>
      <c r="B260" s="188" t="s">
        <v>531</v>
      </c>
      <c r="C260" s="188" t="s">
        <v>532</v>
      </c>
      <c r="D260" s="560">
        <v>80980</v>
      </c>
      <c r="E260" s="188" t="s">
        <v>98</v>
      </c>
      <c r="F260" s="561">
        <v>1</v>
      </c>
      <c r="G260" s="188" t="s">
        <v>13</v>
      </c>
      <c r="H260" s="188" t="s">
        <v>535</v>
      </c>
      <c r="I260" s="562">
        <v>43770</v>
      </c>
      <c r="J260" s="562">
        <v>43775</v>
      </c>
      <c r="K260" s="6" t="str">
        <f t="shared" si="13"/>
        <v>PP TQ</v>
      </c>
      <c r="L260" s="14">
        <f>VLOOKUP(J260,'USD to INR'!$B$2:$G$560,6,TRUE)</f>
        <v>71.36</v>
      </c>
      <c r="M260" s="216">
        <f t="shared" si="14"/>
        <v>1134.8094170403588</v>
      </c>
      <c r="N260" s="563">
        <f t="shared" si="12"/>
        <v>43775</v>
      </c>
    </row>
    <row r="261" spans="1:14" x14ac:dyDescent="0.25">
      <c r="A261" s="188" t="s">
        <v>530</v>
      </c>
      <c r="B261" s="188" t="s">
        <v>531</v>
      </c>
      <c r="C261" s="188" t="s">
        <v>532</v>
      </c>
      <c r="D261" s="560">
        <v>79130</v>
      </c>
      <c r="E261" s="188" t="s">
        <v>98</v>
      </c>
      <c r="F261" s="561">
        <v>1</v>
      </c>
      <c r="G261" s="188" t="s">
        <v>13</v>
      </c>
      <c r="H261" s="188" t="s">
        <v>535</v>
      </c>
      <c r="I261" s="562">
        <v>43776</v>
      </c>
      <c r="J261" s="562">
        <v>43789</v>
      </c>
      <c r="K261" s="6" t="str">
        <f t="shared" si="13"/>
        <v>PP TQ</v>
      </c>
      <c r="L261" s="14">
        <f>VLOOKUP(J261,'USD to INR'!$B$2:$G$560,6,TRUE)</f>
        <v>71.792000000000002</v>
      </c>
      <c r="M261" s="216">
        <f t="shared" si="14"/>
        <v>1102.2119456206819</v>
      </c>
      <c r="N261" s="563">
        <f t="shared" si="12"/>
        <v>43789</v>
      </c>
    </row>
    <row r="262" spans="1:14" x14ac:dyDescent="0.25">
      <c r="A262" s="188" t="s">
        <v>530</v>
      </c>
      <c r="B262" s="188" t="s">
        <v>531</v>
      </c>
      <c r="C262" s="188" t="s">
        <v>532</v>
      </c>
      <c r="D262" s="560">
        <v>77750</v>
      </c>
      <c r="E262" s="188" t="s">
        <v>98</v>
      </c>
      <c r="F262" s="561">
        <v>1</v>
      </c>
      <c r="G262" s="188" t="s">
        <v>13</v>
      </c>
      <c r="H262" s="188" t="s">
        <v>535</v>
      </c>
      <c r="I262" s="562">
        <v>43790</v>
      </c>
      <c r="J262" s="562">
        <v>43799</v>
      </c>
      <c r="K262" s="6" t="str">
        <f t="shared" si="13"/>
        <v>PP TQ</v>
      </c>
      <c r="L262" s="14">
        <f>VLOOKUP(J262,'USD to INR'!$B$2:$G$560,6,TRUE)</f>
        <v>71.748999999999995</v>
      </c>
      <c r="M262" s="216">
        <f t="shared" si="14"/>
        <v>1083.6387963595312</v>
      </c>
      <c r="N262" s="563">
        <f t="shared" si="12"/>
        <v>43799</v>
      </c>
    </row>
    <row r="263" spans="1:14" x14ac:dyDescent="0.25">
      <c r="A263" s="188" t="s">
        <v>530</v>
      </c>
      <c r="B263" s="188" t="s">
        <v>531</v>
      </c>
      <c r="C263" s="188" t="s">
        <v>532</v>
      </c>
      <c r="D263" s="560">
        <v>75900</v>
      </c>
      <c r="E263" s="188" t="s">
        <v>98</v>
      </c>
      <c r="F263" s="561">
        <v>1</v>
      </c>
      <c r="G263" s="188" t="s">
        <v>13</v>
      </c>
      <c r="H263" s="188" t="s">
        <v>535</v>
      </c>
      <c r="I263" s="562">
        <v>43800</v>
      </c>
      <c r="J263" s="562">
        <v>43830</v>
      </c>
      <c r="K263" s="6" t="str">
        <f t="shared" si="13"/>
        <v>PP TQ</v>
      </c>
      <c r="L263" s="14">
        <f>VLOOKUP(J263,'USD to INR'!$B$2:$G$560,6,TRUE)</f>
        <v>71.77</v>
      </c>
      <c r="M263" s="216">
        <f t="shared" si="14"/>
        <v>1057.5449352096978</v>
      </c>
      <c r="N263" s="563">
        <f t="shared" si="12"/>
        <v>43830</v>
      </c>
    </row>
    <row r="264" spans="1:14" x14ac:dyDescent="0.25">
      <c r="A264" s="188" t="s">
        <v>530</v>
      </c>
      <c r="B264" s="188" t="s">
        <v>531</v>
      </c>
      <c r="C264" s="188" t="s">
        <v>532</v>
      </c>
      <c r="D264" s="560">
        <v>75900</v>
      </c>
      <c r="E264" s="188" t="s">
        <v>98</v>
      </c>
      <c r="F264" s="561">
        <v>1</v>
      </c>
      <c r="G264" s="188" t="s">
        <v>13</v>
      </c>
      <c r="H264" s="188" t="s">
        <v>535</v>
      </c>
      <c r="I264" s="562">
        <v>43831</v>
      </c>
      <c r="J264" s="562">
        <v>43838</v>
      </c>
      <c r="K264" s="6" t="str">
        <f t="shared" si="13"/>
        <v>PP TQ</v>
      </c>
      <c r="L264" s="14">
        <f>VLOOKUP(J264,'USD to INR'!$B$2:$G$560,6,TRUE)</f>
        <v>70.959999999999994</v>
      </c>
      <c r="M264" s="216">
        <f t="shared" si="14"/>
        <v>1069.6166854565954</v>
      </c>
      <c r="N264" s="563">
        <f t="shared" si="12"/>
        <v>43838</v>
      </c>
    </row>
    <row r="265" spans="1:14" x14ac:dyDescent="0.25">
      <c r="A265" s="188" t="s">
        <v>530</v>
      </c>
      <c r="B265" s="188" t="s">
        <v>531</v>
      </c>
      <c r="C265" s="188" t="s">
        <v>532</v>
      </c>
      <c r="D265" s="560">
        <v>76820</v>
      </c>
      <c r="E265" s="188" t="s">
        <v>98</v>
      </c>
      <c r="F265" s="561">
        <v>1</v>
      </c>
      <c r="G265" s="188" t="s">
        <v>13</v>
      </c>
      <c r="H265" s="188" t="s">
        <v>535</v>
      </c>
      <c r="I265" s="562">
        <v>43839</v>
      </c>
      <c r="J265" s="562">
        <v>43861</v>
      </c>
      <c r="K265" s="6" t="str">
        <f t="shared" si="13"/>
        <v>PP TQ</v>
      </c>
      <c r="L265" s="14">
        <f>VLOOKUP(J265,'USD to INR'!$B$2:$G$560,6,TRUE)</f>
        <v>71.555000000000007</v>
      </c>
      <c r="M265" s="216">
        <f t="shared" si="14"/>
        <v>1073.579763818042</v>
      </c>
      <c r="N265" s="563">
        <f t="shared" si="12"/>
        <v>43861</v>
      </c>
    </row>
    <row r="266" spans="1:14" x14ac:dyDescent="0.25">
      <c r="A266" s="188" t="s">
        <v>530</v>
      </c>
      <c r="B266" s="188" t="s">
        <v>531</v>
      </c>
      <c r="C266" s="188" t="s">
        <v>532</v>
      </c>
      <c r="D266" s="560">
        <v>76820</v>
      </c>
      <c r="E266" s="188" t="s">
        <v>98</v>
      </c>
      <c r="F266" s="561">
        <v>1</v>
      </c>
      <c r="G266" s="188" t="s">
        <v>13</v>
      </c>
      <c r="H266" s="188" t="s">
        <v>535</v>
      </c>
      <c r="I266" s="562">
        <v>43862</v>
      </c>
      <c r="J266" s="562">
        <v>43873</v>
      </c>
      <c r="K266" s="6" t="str">
        <f t="shared" si="13"/>
        <v>PP TQ</v>
      </c>
      <c r="L266" s="14">
        <f>VLOOKUP(J266,'USD to INR'!$B$2:$G$560,6,TRUE)</f>
        <v>71.528000000000006</v>
      </c>
      <c r="M266" s="216">
        <f t="shared" si="14"/>
        <v>1073.9850128620958</v>
      </c>
      <c r="N266" s="563">
        <f t="shared" si="12"/>
        <v>43873</v>
      </c>
    </row>
    <row r="267" spans="1:14" x14ac:dyDescent="0.25">
      <c r="A267" s="188" t="s">
        <v>530</v>
      </c>
      <c r="B267" s="188" t="s">
        <v>531</v>
      </c>
      <c r="C267" s="188" t="s">
        <v>532</v>
      </c>
      <c r="D267" s="560">
        <v>75900</v>
      </c>
      <c r="E267" s="188" t="s">
        <v>98</v>
      </c>
      <c r="F267" s="561">
        <v>1</v>
      </c>
      <c r="G267" s="188" t="s">
        <v>13</v>
      </c>
      <c r="H267" s="188" t="s">
        <v>535</v>
      </c>
      <c r="I267" s="562">
        <v>43874</v>
      </c>
      <c r="J267" s="562">
        <v>43880</v>
      </c>
      <c r="K267" s="6" t="str">
        <f t="shared" si="13"/>
        <v>PP TQ</v>
      </c>
      <c r="L267" s="14">
        <f>VLOOKUP(J267,'USD to INR'!$B$2:$G$560,6,TRUE)</f>
        <v>71.88</v>
      </c>
      <c r="M267" s="216">
        <f t="shared" si="14"/>
        <v>1055.9265442404007</v>
      </c>
      <c r="N267" s="563">
        <f t="shared" si="12"/>
        <v>43880</v>
      </c>
    </row>
    <row r="268" spans="1:14" x14ac:dyDescent="0.25">
      <c r="A268" s="188" t="s">
        <v>530</v>
      </c>
      <c r="B268" s="188" t="s">
        <v>531</v>
      </c>
      <c r="C268" s="188" t="s">
        <v>532</v>
      </c>
      <c r="D268" s="560">
        <v>74520</v>
      </c>
      <c r="E268" s="188" t="s">
        <v>98</v>
      </c>
      <c r="F268" s="561">
        <v>1</v>
      </c>
      <c r="G268" s="188" t="s">
        <v>13</v>
      </c>
      <c r="H268" s="188" t="s">
        <v>535</v>
      </c>
      <c r="I268" s="562">
        <v>43881</v>
      </c>
      <c r="J268" s="562">
        <v>43890</v>
      </c>
      <c r="K268" s="6" t="str">
        <f t="shared" si="13"/>
        <v>PP TQ</v>
      </c>
      <c r="L268" s="14">
        <f>VLOOKUP(J268,'USD to INR'!$B$2:$G$560,6,TRUE)</f>
        <v>72.539000000000001</v>
      </c>
      <c r="M268" s="216">
        <f t="shared" si="14"/>
        <v>1027.3094473317801</v>
      </c>
      <c r="N268" s="563">
        <f t="shared" si="12"/>
        <v>43890</v>
      </c>
    </row>
    <row r="269" spans="1:14" x14ac:dyDescent="0.25">
      <c r="A269" s="188" t="s">
        <v>530</v>
      </c>
      <c r="B269" s="188" t="s">
        <v>531</v>
      </c>
      <c r="C269" s="188" t="s">
        <v>532</v>
      </c>
      <c r="D269" s="560">
        <v>73150</v>
      </c>
      <c r="E269" s="188" t="s">
        <v>98</v>
      </c>
      <c r="F269" s="561">
        <v>1</v>
      </c>
      <c r="G269" s="188" t="s">
        <v>13</v>
      </c>
      <c r="H269" s="188" t="s">
        <v>535</v>
      </c>
      <c r="I269" s="562">
        <v>43891</v>
      </c>
      <c r="J269" s="562">
        <v>43908</v>
      </c>
      <c r="K269" s="6" t="str">
        <f t="shared" si="13"/>
        <v>PP TQ</v>
      </c>
      <c r="L269" s="14">
        <f>VLOOKUP(J269,'USD to INR'!$B$2:$G$560,6,TRUE)</f>
        <v>75.397999999999996</v>
      </c>
      <c r="M269" s="216">
        <f t="shared" si="14"/>
        <v>970.18488554073053</v>
      </c>
      <c r="N269" s="563">
        <f t="shared" si="12"/>
        <v>43908</v>
      </c>
    </row>
    <row r="270" spans="1:14" x14ac:dyDescent="0.25">
      <c r="A270" s="188" t="s">
        <v>530</v>
      </c>
      <c r="B270" s="188" t="s">
        <v>531</v>
      </c>
      <c r="C270" s="188" t="s">
        <v>532</v>
      </c>
      <c r="D270" s="560">
        <v>72230</v>
      </c>
      <c r="E270" s="188" t="s">
        <v>98</v>
      </c>
      <c r="F270" s="561">
        <v>1</v>
      </c>
      <c r="G270" s="188" t="s">
        <v>13</v>
      </c>
      <c r="H270" s="188" t="s">
        <v>535</v>
      </c>
      <c r="I270" s="562">
        <v>43909</v>
      </c>
      <c r="J270" s="562">
        <v>43921</v>
      </c>
      <c r="K270" s="6" t="str">
        <f t="shared" si="13"/>
        <v>PP TQ</v>
      </c>
      <c r="L270" s="14">
        <f>VLOOKUP(J270,'USD to INR'!$B$2:$G$560,6,TRUE)</f>
        <v>76.241</v>
      </c>
      <c r="M270" s="216">
        <f t="shared" si="14"/>
        <v>947.39051166695083</v>
      </c>
      <c r="N270" s="563">
        <f t="shared" si="12"/>
        <v>43921</v>
      </c>
    </row>
    <row r="271" spans="1:14" x14ac:dyDescent="0.25">
      <c r="A271" s="188" t="s">
        <v>530</v>
      </c>
      <c r="B271" s="188" t="s">
        <v>531</v>
      </c>
      <c r="C271" s="188" t="s">
        <v>532</v>
      </c>
      <c r="D271" s="560">
        <v>69470</v>
      </c>
      <c r="E271" s="188" t="s">
        <v>98</v>
      </c>
      <c r="F271" s="561">
        <v>1</v>
      </c>
      <c r="G271" s="188" t="s">
        <v>13</v>
      </c>
      <c r="H271" s="188" t="s">
        <v>535</v>
      </c>
      <c r="I271" s="562">
        <v>43922</v>
      </c>
      <c r="J271" s="562">
        <v>43930</v>
      </c>
      <c r="K271" s="6" t="str">
        <f t="shared" si="13"/>
        <v>PP TQ</v>
      </c>
      <c r="L271" s="14">
        <f>VLOOKUP(J271,'USD to INR'!$B$2:$G$560,6,TRUE)</f>
        <v>75.879000000000005</v>
      </c>
      <c r="M271" s="216">
        <f t="shared" si="14"/>
        <v>915.53657797282506</v>
      </c>
      <c r="N271" s="563">
        <f t="shared" si="12"/>
        <v>43930</v>
      </c>
    </row>
    <row r="272" spans="1:14" x14ac:dyDescent="0.25">
      <c r="A272" s="188" t="s">
        <v>530</v>
      </c>
      <c r="B272" s="188" t="s">
        <v>531</v>
      </c>
      <c r="C272" s="188" t="s">
        <v>532</v>
      </c>
      <c r="D272" s="560">
        <v>66700</v>
      </c>
      <c r="E272" s="188" t="s">
        <v>98</v>
      </c>
      <c r="F272" s="561">
        <v>1</v>
      </c>
      <c r="G272" s="188" t="s">
        <v>13</v>
      </c>
      <c r="H272" s="188" t="s">
        <v>535</v>
      </c>
      <c r="I272" s="562">
        <v>43931</v>
      </c>
      <c r="J272" s="562">
        <v>43951</v>
      </c>
      <c r="K272" s="6" t="str">
        <f t="shared" si="13"/>
        <v>PP TQ</v>
      </c>
      <c r="L272" s="14">
        <f>VLOOKUP(J272,'USD to INR'!$B$2:$G$560,6,TRUE)</f>
        <v>75.748999999999995</v>
      </c>
      <c r="M272" s="216">
        <f t="shared" si="14"/>
        <v>880.53967709144683</v>
      </c>
      <c r="N272" s="563">
        <f t="shared" si="12"/>
        <v>43951</v>
      </c>
    </row>
    <row r="273" spans="1:14" x14ac:dyDescent="0.25">
      <c r="A273" s="188" t="s">
        <v>530</v>
      </c>
      <c r="B273" s="188" t="s">
        <v>531</v>
      </c>
      <c r="C273" s="188" t="s">
        <v>532</v>
      </c>
      <c r="D273" s="560">
        <v>66700</v>
      </c>
      <c r="E273" s="188" t="s">
        <v>98</v>
      </c>
      <c r="F273" s="561">
        <v>1</v>
      </c>
      <c r="G273" s="188" t="s">
        <v>13</v>
      </c>
      <c r="H273" s="188" t="s">
        <v>535</v>
      </c>
      <c r="I273" s="562">
        <v>43952</v>
      </c>
      <c r="J273" s="562">
        <v>43964</v>
      </c>
      <c r="K273" s="6" t="str">
        <f t="shared" si="13"/>
        <v>PP TQ</v>
      </c>
      <c r="L273" s="14">
        <f>VLOOKUP(J273,'USD to INR'!$B$2:$G$560,6,TRUE)</f>
        <v>75.83</v>
      </c>
      <c r="M273" s="216">
        <f t="shared" si="14"/>
        <v>879.59910325728606</v>
      </c>
      <c r="N273" s="563">
        <f t="shared" si="12"/>
        <v>43964</v>
      </c>
    </row>
    <row r="274" spans="1:14" x14ac:dyDescent="0.25">
      <c r="A274" s="188" t="s">
        <v>530</v>
      </c>
      <c r="B274" s="188" t="s">
        <v>531</v>
      </c>
      <c r="C274" s="188" t="s">
        <v>532</v>
      </c>
      <c r="D274" s="560">
        <v>67630</v>
      </c>
      <c r="E274" s="188" t="s">
        <v>98</v>
      </c>
      <c r="F274" s="561">
        <v>1</v>
      </c>
      <c r="G274" s="188" t="s">
        <v>13</v>
      </c>
      <c r="H274" s="188" t="s">
        <v>535</v>
      </c>
      <c r="I274" s="562">
        <v>43965</v>
      </c>
      <c r="J274" s="562">
        <v>43982</v>
      </c>
      <c r="K274" s="6" t="str">
        <f t="shared" si="13"/>
        <v>PP TQ</v>
      </c>
      <c r="L274" s="14">
        <f>VLOOKUP(J274,'USD to INR'!$B$2:$G$560,6,TRUE)</f>
        <v>75.56</v>
      </c>
      <c r="M274" s="216">
        <f t="shared" si="14"/>
        <v>895.05029115934349</v>
      </c>
      <c r="N274" s="563">
        <f t="shared" si="12"/>
        <v>43982</v>
      </c>
    </row>
    <row r="275" spans="1:14" x14ac:dyDescent="0.25">
      <c r="A275" s="188" t="s">
        <v>530</v>
      </c>
      <c r="B275" s="188" t="s">
        <v>531</v>
      </c>
      <c r="C275" s="188" t="s">
        <v>532</v>
      </c>
      <c r="D275" s="560">
        <v>70410</v>
      </c>
      <c r="E275" s="188" t="s">
        <v>98</v>
      </c>
      <c r="F275" s="561">
        <v>1</v>
      </c>
      <c r="G275" s="188" t="s">
        <v>13</v>
      </c>
      <c r="H275" s="188" t="s">
        <v>535</v>
      </c>
      <c r="I275" s="562">
        <v>43983</v>
      </c>
      <c r="J275" s="562">
        <v>43992</v>
      </c>
      <c r="K275" s="6" t="str">
        <f t="shared" si="13"/>
        <v>PP TQ</v>
      </c>
      <c r="L275" s="14">
        <f>VLOOKUP(J275,'USD to INR'!$B$2:$G$560,6,TRUE)</f>
        <v>76.05</v>
      </c>
      <c r="M275" s="216">
        <f t="shared" si="14"/>
        <v>925.83826429980274</v>
      </c>
      <c r="N275" s="563">
        <f t="shared" si="12"/>
        <v>43992</v>
      </c>
    </row>
    <row r="276" spans="1:14" x14ac:dyDescent="0.25">
      <c r="A276" s="188" t="s">
        <v>530</v>
      </c>
      <c r="B276" s="188" t="s">
        <v>531</v>
      </c>
      <c r="C276" s="188" t="s">
        <v>532</v>
      </c>
      <c r="D276" s="560">
        <v>72260</v>
      </c>
      <c r="E276" s="188" t="s">
        <v>98</v>
      </c>
      <c r="F276" s="561">
        <v>1</v>
      </c>
      <c r="G276" s="188" t="s">
        <v>13</v>
      </c>
      <c r="H276" s="188" t="s">
        <v>535</v>
      </c>
      <c r="I276" s="562">
        <v>43993</v>
      </c>
      <c r="J276" s="562">
        <v>44012</v>
      </c>
      <c r="K276" s="6" t="str">
        <f t="shared" si="13"/>
        <v>PP TQ</v>
      </c>
      <c r="L276" s="14">
        <f>VLOOKUP(J276,'USD to INR'!$B$2:$G$560,6,TRUE)</f>
        <v>74.635999999999996</v>
      </c>
      <c r="M276" s="216">
        <f t="shared" si="14"/>
        <v>968.16549654322318</v>
      </c>
      <c r="N276" s="563">
        <f t="shared" si="12"/>
        <v>44012</v>
      </c>
    </row>
    <row r="277" spans="1:14" x14ac:dyDescent="0.25">
      <c r="A277" s="188" t="s">
        <v>530</v>
      </c>
      <c r="B277" s="188" t="s">
        <v>531</v>
      </c>
      <c r="C277" s="188" t="s">
        <v>532</v>
      </c>
      <c r="D277" s="560">
        <v>74080</v>
      </c>
      <c r="E277" s="188" t="s">
        <v>98</v>
      </c>
      <c r="F277" s="561">
        <v>1</v>
      </c>
      <c r="G277" s="188" t="s">
        <v>13</v>
      </c>
      <c r="H277" s="188" t="s">
        <v>535</v>
      </c>
      <c r="I277" s="562">
        <v>44013</v>
      </c>
      <c r="J277" s="562">
        <v>44027</v>
      </c>
      <c r="K277" s="6" t="str">
        <f t="shared" si="13"/>
        <v>PP TQ</v>
      </c>
      <c r="L277" s="14">
        <f>VLOOKUP(J277,'USD to INR'!$B$2:$G$560,6,TRUE)</f>
        <v>74.897000000000006</v>
      </c>
      <c r="M277" s="216">
        <f t="shared" si="14"/>
        <v>989.09168591532364</v>
      </c>
      <c r="N277" s="563">
        <f t="shared" si="12"/>
        <v>44027</v>
      </c>
    </row>
    <row r="278" spans="1:14" x14ac:dyDescent="0.25">
      <c r="A278" s="188" t="s">
        <v>530</v>
      </c>
      <c r="B278" s="188" t="s">
        <v>531</v>
      </c>
      <c r="C278" s="188" t="s">
        <v>532</v>
      </c>
      <c r="D278" s="560">
        <v>75470</v>
      </c>
      <c r="E278" s="188" t="s">
        <v>98</v>
      </c>
      <c r="F278" s="561">
        <v>1</v>
      </c>
      <c r="G278" s="188" t="s">
        <v>13</v>
      </c>
      <c r="H278" s="188" t="s">
        <v>535</v>
      </c>
      <c r="I278" s="562">
        <v>44028</v>
      </c>
      <c r="J278" s="562">
        <v>44043</v>
      </c>
      <c r="K278" s="6" t="str">
        <f t="shared" si="13"/>
        <v>PP TQ</v>
      </c>
      <c r="L278" s="14">
        <f>VLOOKUP(J278,'USD to INR'!$B$2:$G$560,6,TRUE)</f>
        <v>74.915999999999997</v>
      </c>
      <c r="M278" s="216">
        <f t="shared" si="14"/>
        <v>1007.3949490095574</v>
      </c>
      <c r="N278" s="563">
        <f t="shared" si="12"/>
        <v>44043</v>
      </c>
    </row>
    <row r="279" spans="1:14" x14ac:dyDescent="0.25">
      <c r="A279" s="188" t="s">
        <v>530</v>
      </c>
      <c r="B279" s="188" t="s">
        <v>531</v>
      </c>
      <c r="C279" s="188" t="s">
        <v>532</v>
      </c>
      <c r="D279" s="560">
        <v>74360</v>
      </c>
      <c r="E279" s="188" t="s">
        <v>98</v>
      </c>
      <c r="F279" s="561">
        <v>1</v>
      </c>
      <c r="G279" s="188" t="s">
        <v>13</v>
      </c>
      <c r="H279" s="188" t="s">
        <v>535</v>
      </c>
      <c r="I279" s="562">
        <v>44044</v>
      </c>
      <c r="J279" s="562">
        <v>44055</v>
      </c>
      <c r="K279" s="6" t="str">
        <f t="shared" si="13"/>
        <v>PP TQ</v>
      </c>
      <c r="L279" s="14">
        <f>VLOOKUP(J279,'USD to INR'!$B$2:$G$560,6,TRUE)</f>
        <v>74.873999999999995</v>
      </c>
      <c r="M279" s="216">
        <f t="shared" si="14"/>
        <v>993.13513369126804</v>
      </c>
      <c r="N279" s="563">
        <f t="shared" si="12"/>
        <v>44055</v>
      </c>
    </row>
    <row r="280" spans="1:14" x14ac:dyDescent="0.25">
      <c r="A280" s="188" t="s">
        <v>530</v>
      </c>
      <c r="B280" s="188" t="s">
        <v>531</v>
      </c>
      <c r="C280" s="188" t="s">
        <v>532</v>
      </c>
      <c r="D280" s="560">
        <v>73440</v>
      </c>
      <c r="E280" s="188" t="s">
        <v>98</v>
      </c>
      <c r="F280" s="561">
        <v>1</v>
      </c>
      <c r="G280" s="188" t="s">
        <v>13</v>
      </c>
      <c r="H280" s="188" t="s">
        <v>535</v>
      </c>
      <c r="I280" s="562">
        <v>44056</v>
      </c>
      <c r="J280" s="562">
        <v>44074</v>
      </c>
      <c r="K280" s="6" t="str">
        <f t="shared" si="13"/>
        <v>PP TQ</v>
      </c>
      <c r="L280" s="14">
        <f>VLOOKUP(J280,'USD to INR'!$B$2:$G$560,6,TRUE)</f>
        <v>73.289000000000001</v>
      </c>
      <c r="M280" s="216">
        <f t="shared" si="14"/>
        <v>1002.0603364761424</v>
      </c>
      <c r="N280" s="563">
        <f t="shared" si="12"/>
        <v>44074</v>
      </c>
    </row>
    <row r="281" spans="1:14" x14ac:dyDescent="0.25">
      <c r="A281" s="188" t="s">
        <v>530</v>
      </c>
      <c r="B281" s="188" t="s">
        <v>531</v>
      </c>
      <c r="C281" s="188" t="s">
        <v>532</v>
      </c>
      <c r="D281" s="560">
        <v>73440</v>
      </c>
      <c r="E281" s="188" t="s">
        <v>98</v>
      </c>
      <c r="F281" s="561">
        <v>1</v>
      </c>
      <c r="G281" s="188" t="s">
        <v>13</v>
      </c>
      <c r="H281" s="188" t="s">
        <v>535</v>
      </c>
      <c r="I281" s="562">
        <v>44075</v>
      </c>
      <c r="J281" s="562">
        <v>44090</v>
      </c>
      <c r="K281" s="6" t="str">
        <f t="shared" si="13"/>
        <v>PP TQ</v>
      </c>
      <c r="L281" s="14">
        <f>VLOOKUP(J281,'USD to INR'!$B$2:$G$560,6,TRUE)</f>
        <v>73.537999999999997</v>
      </c>
      <c r="M281" s="216">
        <f t="shared" si="14"/>
        <v>998.66735565285978</v>
      </c>
      <c r="N281" s="563">
        <f t="shared" si="12"/>
        <v>44090</v>
      </c>
    </row>
    <row r="282" spans="1:14" x14ac:dyDescent="0.25">
      <c r="A282" s="188" t="s">
        <v>530</v>
      </c>
      <c r="B282" s="188" t="s">
        <v>531</v>
      </c>
      <c r="C282" s="188" t="s">
        <v>532</v>
      </c>
      <c r="D282" s="560">
        <v>74370</v>
      </c>
      <c r="E282" s="188" t="s">
        <v>98</v>
      </c>
      <c r="F282" s="561">
        <v>1</v>
      </c>
      <c r="G282" s="188" t="s">
        <v>13</v>
      </c>
      <c r="H282" s="188" t="s">
        <v>535</v>
      </c>
      <c r="I282" s="562">
        <v>44091</v>
      </c>
      <c r="J282" s="562">
        <v>44104</v>
      </c>
      <c r="K282" s="6" t="str">
        <f t="shared" si="13"/>
        <v>PP TQ</v>
      </c>
      <c r="L282" s="14">
        <f>VLOOKUP(J282,'USD to INR'!$B$2:$G$560,6,TRUE)</f>
        <v>73.290000000000006</v>
      </c>
      <c r="M282" s="216">
        <f t="shared" si="14"/>
        <v>1014.7359803520261</v>
      </c>
      <c r="N282" s="563">
        <f t="shared" si="12"/>
        <v>44104</v>
      </c>
    </row>
    <row r="283" spans="1:14" x14ac:dyDescent="0.25">
      <c r="A283" s="188" t="s">
        <v>530</v>
      </c>
      <c r="B283" s="188" t="s">
        <v>531</v>
      </c>
      <c r="C283" s="188" t="s">
        <v>532</v>
      </c>
      <c r="D283" s="560">
        <v>75310</v>
      </c>
      <c r="E283" s="188" t="s">
        <v>98</v>
      </c>
      <c r="F283" s="561">
        <v>1</v>
      </c>
      <c r="G283" s="188" t="s">
        <v>13</v>
      </c>
      <c r="H283" s="188" t="s">
        <v>535</v>
      </c>
      <c r="I283" s="562">
        <v>44105</v>
      </c>
      <c r="J283" s="562">
        <v>44118</v>
      </c>
      <c r="K283" s="6" t="str">
        <f t="shared" si="13"/>
        <v>PP TQ</v>
      </c>
      <c r="L283" s="14">
        <f>VLOOKUP(J283,'USD to INR'!$B$2:$G$560,6,TRUE)</f>
        <v>73.441999999999993</v>
      </c>
      <c r="M283" s="216">
        <f t="shared" si="14"/>
        <v>1025.4350371721905</v>
      </c>
      <c r="N283" s="563">
        <f t="shared" si="12"/>
        <v>44118</v>
      </c>
    </row>
    <row r="284" spans="1:14" x14ac:dyDescent="0.25">
      <c r="A284" s="188" t="s">
        <v>530</v>
      </c>
      <c r="B284" s="188" t="s">
        <v>531</v>
      </c>
      <c r="C284" s="188" t="s">
        <v>532</v>
      </c>
      <c r="D284" s="560">
        <v>77620</v>
      </c>
      <c r="E284" s="188" t="s">
        <v>98</v>
      </c>
      <c r="F284" s="561">
        <v>1</v>
      </c>
      <c r="G284" s="188" t="s">
        <v>13</v>
      </c>
      <c r="H284" s="188" t="s">
        <v>535</v>
      </c>
      <c r="I284" s="562">
        <v>44119</v>
      </c>
      <c r="J284" s="562">
        <v>44125</v>
      </c>
      <c r="K284" s="6" t="str">
        <f t="shared" si="13"/>
        <v>PP TQ</v>
      </c>
      <c r="L284" s="14">
        <f>VLOOKUP(J284,'USD to INR'!$B$2:$G$560,6,TRUE)</f>
        <v>73.828999999999994</v>
      </c>
      <c r="M284" s="216">
        <f t="shared" si="14"/>
        <v>1051.3483861355294</v>
      </c>
      <c r="N284" s="563">
        <f t="shared" si="12"/>
        <v>44125</v>
      </c>
    </row>
    <row r="285" spans="1:14" x14ac:dyDescent="0.25">
      <c r="A285" s="188" t="s">
        <v>530</v>
      </c>
      <c r="B285" s="188" t="s">
        <v>531</v>
      </c>
      <c r="C285" s="188" t="s">
        <v>532</v>
      </c>
      <c r="D285" s="560">
        <v>79010</v>
      </c>
      <c r="E285" s="188" t="s">
        <v>98</v>
      </c>
      <c r="F285" s="561">
        <v>1</v>
      </c>
      <c r="G285" s="188" t="s">
        <v>13</v>
      </c>
      <c r="H285" s="188" t="s">
        <v>535</v>
      </c>
      <c r="I285" s="562">
        <v>44126</v>
      </c>
      <c r="J285" s="562">
        <v>44135</v>
      </c>
      <c r="K285" s="6" t="str">
        <f t="shared" si="13"/>
        <v>PP TQ</v>
      </c>
      <c r="L285" s="14">
        <f>VLOOKUP(J285,'USD to INR'!$B$2:$G$560,6,TRUE)</f>
        <v>74.554000000000002</v>
      </c>
      <c r="M285" s="216">
        <f t="shared" si="14"/>
        <v>1059.7687582155215</v>
      </c>
      <c r="N285" s="563">
        <f t="shared" si="12"/>
        <v>44135</v>
      </c>
    </row>
    <row r="286" spans="1:14" x14ac:dyDescent="0.25">
      <c r="A286" s="188" t="s">
        <v>530</v>
      </c>
      <c r="B286" s="188" t="s">
        <v>531</v>
      </c>
      <c r="C286" s="188" t="s">
        <v>532</v>
      </c>
      <c r="D286" s="560">
        <v>80400</v>
      </c>
      <c r="E286" s="188" t="s">
        <v>98</v>
      </c>
      <c r="F286" s="561">
        <v>1</v>
      </c>
      <c r="G286" s="188" t="s">
        <v>13</v>
      </c>
      <c r="H286" s="188" t="s">
        <v>535</v>
      </c>
      <c r="I286" s="562">
        <v>44136</v>
      </c>
      <c r="J286" s="562">
        <v>44153</v>
      </c>
      <c r="K286" s="6" t="str">
        <f t="shared" si="13"/>
        <v>PP TQ</v>
      </c>
      <c r="L286" s="14">
        <f>VLOOKUP(J286,'USD to INR'!$B$2:$G$560,6,TRUE)</f>
        <v>74.11</v>
      </c>
      <c r="M286" s="216">
        <f t="shared" si="14"/>
        <v>1084.8738361894482</v>
      </c>
      <c r="N286" s="563">
        <f t="shared" si="12"/>
        <v>44153</v>
      </c>
    </row>
    <row r="287" spans="1:14" x14ac:dyDescent="0.25">
      <c r="A287" s="188" t="s">
        <v>530</v>
      </c>
      <c r="B287" s="188" t="s">
        <v>531</v>
      </c>
      <c r="C287" s="188" t="s">
        <v>532</v>
      </c>
      <c r="D287" s="560">
        <v>83180</v>
      </c>
      <c r="E287" s="188" t="s">
        <v>98</v>
      </c>
      <c r="F287" s="561">
        <v>1</v>
      </c>
      <c r="G287" s="188" t="s">
        <v>13</v>
      </c>
      <c r="H287" s="188" t="s">
        <v>535</v>
      </c>
      <c r="I287" s="562">
        <v>44154</v>
      </c>
      <c r="J287" s="562">
        <v>44160</v>
      </c>
      <c r="K287" s="6" t="str">
        <f t="shared" si="13"/>
        <v>PP TQ</v>
      </c>
      <c r="L287" s="14">
        <f>VLOOKUP(J287,'USD to INR'!$B$2:$G$560,6,TRUE)</f>
        <v>73.933000000000007</v>
      </c>
      <c r="M287" s="216">
        <f t="shared" si="14"/>
        <v>1125.0727009589762</v>
      </c>
      <c r="N287" s="563">
        <f t="shared" si="12"/>
        <v>44160</v>
      </c>
    </row>
    <row r="288" spans="1:14" x14ac:dyDescent="0.25">
      <c r="A288" s="188" t="s">
        <v>530</v>
      </c>
      <c r="B288" s="188" t="s">
        <v>531</v>
      </c>
      <c r="C288" s="188" t="s">
        <v>532</v>
      </c>
      <c r="D288" s="560">
        <v>85030</v>
      </c>
      <c r="E288" s="188" t="s">
        <v>98</v>
      </c>
      <c r="F288" s="561">
        <v>1</v>
      </c>
      <c r="G288" s="188" t="s">
        <v>13</v>
      </c>
      <c r="H288" s="188" t="s">
        <v>535</v>
      </c>
      <c r="I288" s="562">
        <v>44161</v>
      </c>
      <c r="J288" s="562">
        <v>44165</v>
      </c>
      <c r="K288" s="6" t="str">
        <f t="shared" si="13"/>
        <v>PP TQ</v>
      </c>
      <c r="L288" s="14">
        <f>VLOOKUP(J288,'USD to INR'!$B$2:$G$560,6,TRUE)</f>
        <v>73.757000000000005</v>
      </c>
      <c r="M288" s="216">
        <f t="shared" si="14"/>
        <v>1152.8397304662608</v>
      </c>
      <c r="N288" s="563">
        <f t="shared" si="12"/>
        <v>44165</v>
      </c>
    </row>
    <row r="289" spans="1:14" x14ac:dyDescent="0.25">
      <c r="A289" s="188" t="s">
        <v>530</v>
      </c>
      <c r="B289" s="188" t="s">
        <v>531</v>
      </c>
      <c r="C289" s="188" t="s">
        <v>532</v>
      </c>
      <c r="D289" s="560">
        <v>88730</v>
      </c>
      <c r="E289" s="188" t="s">
        <v>98</v>
      </c>
      <c r="F289" s="561">
        <v>1</v>
      </c>
      <c r="G289" s="188" t="s">
        <v>13</v>
      </c>
      <c r="H289" s="188" t="s">
        <v>535</v>
      </c>
      <c r="I289" s="562">
        <v>44166</v>
      </c>
      <c r="J289" s="562">
        <v>44174</v>
      </c>
      <c r="K289" s="6" t="str">
        <f t="shared" si="13"/>
        <v>PP TQ</v>
      </c>
      <c r="L289" s="14">
        <f>VLOOKUP(J289,'USD to INR'!$B$2:$G$560,6,TRUE)</f>
        <v>73.736000000000004</v>
      </c>
      <c r="M289" s="216">
        <f t="shared" si="14"/>
        <v>1203.3470760551154</v>
      </c>
      <c r="N289" s="563">
        <f t="shared" si="12"/>
        <v>44174</v>
      </c>
    </row>
    <row r="290" spans="1:14" x14ac:dyDescent="0.25">
      <c r="A290" s="188" t="s">
        <v>530</v>
      </c>
      <c r="B290" s="188" t="s">
        <v>531</v>
      </c>
      <c r="C290" s="188" t="s">
        <v>532</v>
      </c>
      <c r="D290" s="560">
        <v>93350</v>
      </c>
      <c r="E290" s="188" t="s">
        <v>98</v>
      </c>
      <c r="F290" s="561">
        <v>1</v>
      </c>
      <c r="G290" s="188" t="s">
        <v>13</v>
      </c>
      <c r="H290" s="188" t="s">
        <v>535</v>
      </c>
      <c r="I290" s="562">
        <v>44175</v>
      </c>
      <c r="J290" s="562">
        <v>44196</v>
      </c>
      <c r="K290" s="6" t="str">
        <f t="shared" si="13"/>
        <v>PP TQ</v>
      </c>
      <c r="L290" s="14">
        <f>VLOOKUP(J290,'USD to INR'!$B$2:$G$560,6,TRUE)</f>
        <v>73.12</v>
      </c>
      <c r="M290" s="216">
        <f t="shared" si="14"/>
        <v>1276.6684901531728</v>
      </c>
      <c r="N290" s="563">
        <f t="shared" si="12"/>
        <v>44196</v>
      </c>
    </row>
    <row r="291" spans="1:14" x14ac:dyDescent="0.25">
      <c r="A291" s="188" t="s">
        <v>530</v>
      </c>
      <c r="B291" s="188" t="s">
        <v>531</v>
      </c>
      <c r="C291" s="188" t="s">
        <v>532</v>
      </c>
      <c r="D291" s="560">
        <v>93350</v>
      </c>
      <c r="E291" s="188" t="s">
        <v>98</v>
      </c>
      <c r="F291" s="561">
        <v>1</v>
      </c>
      <c r="G291" s="188" t="s">
        <v>13</v>
      </c>
      <c r="H291" s="188" t="s">
        <v>535</v>
      </c>
      <c r="I291" s="562">
        <v>44197</v>
      </c>
      <c r="J291" s="562">
        <v>44202</v>
      </c>
      <c r="K291" s="6" t="str">
        <f t="shared" si="13"/>
        <v>PP TQ</v>
      </c>
      <c r="L291" s="14">
        <f>VLOOKUP(J291,'USD to INR'!$B$2:$G$560,6,TRUE)</f>
        <v>73.33</v>
      </c>
      <c r="M291" s="216">
        <f t="shared" si="14"/>
        <v>1273.0124096549844</v>
      </c>
      <c r="N291" s="563">
        <f t="shared" si="12"/>
        <v>44202</v>
      </c>
    </row>
    <row r="292" spans="1:14" x14ac:dyDescent="0.25">
      <c r="A292" s="188" t="s">
        <v>530</v>
      </c>
      <c r="B292" s="188" t="s">
        <v>531</v>
      </c>
      <c r="C292" s="188" t="s">
        <v>532</v>
      </c>
      <c r="D292" s="560">
        <v>94280</v>
      </c>
      <c r="E292" s="188" t="s">
        <v>98</v>
      </c>
      <c r="F292" s="561">
        <v>1</v>
      </c>
      <c r="G292" s="188" t="s">
        <v>13</v>
      </c>
      <c r="H292" s="188" t="s">
        <v>535</v>
      </c>
      <c r="I292" s="562">
        <v>44203</v>
      </c>
      <c r="J292" s="562">
        <v>44227</v>
      </c>
      <c r="K292" s="6" t="str">
        <f t="shared" si="13"/>
        <v>PP TQ</v>
      </c>
      <c r="L292" s="14">
        <f>VLOOKUP(J292,'USD to INR'!$B$2:$G$560,6,TRUE)</f>
        <v>72.81</v>
      </c>
      <c r="M292" s="216">
        <f t="shared" si="14"/>
        <v>1294.8770773245433</v>
      </c>
      <c r="N292" s="563">
        <f t="shared" si="12"/>
        <v>44227</v>
      </c>
    </row>
    <row r="293" spans="1:14" x14ac:dyDescent="0.25">
      <c r="A293" s="188" t="s">
        <v>530</v>
      </c>
      <c r="B293" s="188" t="s">
        <v>531</v>
      </c>
      <c r="C293" s="188" t="s">
        <v>532</v>
      </c>
      <c r="D293" s="560">
        <v>96180</v>
      </c>
      <c r="E293" s="188" t="s">
        <v>98</v>
      </c>
      <c r="F293" s="561">
        <v>1</v>
      </c>
      <c r="G293" s="188" t="s">
        <v>13</v>
      </c>
      <c r="H293" s="188" t="s">
        <v>535</v>
      </c>
      <c r="I293" s="562">
        <v>44228</v>
      </c>
      <c r="J293" s="562">
        <v>44230</v>
      </c>
      <c r="K293" s="6" t="str">
        <f t="shared" si="13"/>
        <v>PP TQ</v>
      </c>
      <c r="L293" s="14">
        <f>VLOOKUP(J293,'USD to INR'!$B$2:$G$560,6,TRUE)</f>
        <v>72.81</v>
      </c>
      <c r="M293" s="216">
        <f t="shared" si="14"/>
        <v>1320.9723939019366</v>
      </c>
      <c r="N293" s="563">
        <f t="shared" si="12"/>
        <v>44230</v>
      </c>
    </row>
    <row r="294" spans="1:14" x14ac:dyDescent="0.25">
      <c r="A294" s="188" t="s">
        <v>530</v>
      </c>
      <c r="B294" s="188" t="s">
        <v>531</v>
      </c>
      <c r="C294" s="188" t="s">
        <v>532</v>
      </c>
      <c r="D294" s="560">
        <v>96180</v>
      </c>
      <c r="E294" s="188" t="s">
        <v>98</v>
      </c>
      <c r="F294" s="561">
        <v>1</v>
      </c>
      <c r="G294" s="188" t="s">
        <v>13</v>
      </c>
      <c r="H294" s="188" t="s">
        <v>535</v>
      </c>
      <c r="I294" s="562">
        <v>44231</v>
      </c>
      <c r="J294" s="562">
        <v>44238</v>
      </c>
      <c r="K294" s="6" t="str">
        <f t="shared" si="13"/>
        <v>PP TQ</v>
      </c>
      <c r="L294" s="14">
        <f>VLOOKUP(J294,'USD to INR'!$B$2:$G$560,6,TRUE)</f>
        <v>72.58</v>
      </c>
      <c r="M294" s="216">
        <f t="shared" si="14"/>
        <v>1325.1584458528521</v>
      </c>
      <c r="N294" s="563">
        <f t="shared" si="12"/>
        <v>44238</v>
      </c>
    </row>
    <row r="295" spans="1:14" x14ac:dyDescent="0.25">
      <c r="A295" s="188" t="s">
        <v>530</v>
      </c>
      <c r="B295" s="188" t="s">
        <v>531</v>
      </c>
      <c r="C295" s="188" t="s">
        <v>532</v>
      </c>
      <c r="D295" s="560">
        <v>98030</v>
      </c>
      <c r="E295" s="188" t="s">
        <v>98</v>
      </c>
      <c r="F295" s="561">
        <v>1</v>
      </c>
      <c r="G295" s="188" t="s">
        <v>13</v>
      </c>
      <c r="H295" s="188" t="s">
        <v>535</v>
      </c>
      <c r="I295" s="562">
        <v>44239</v>
      </c>
      <c r="J295" s="562">
        <v>44244</v>
      </c>
      <c r="K295" s="6" t="str">
        <f t="shared" si="13"/>
        <v>PP TQ</v>
      </c>
      <c r="L295" s="14">
        <f>VLOOKUP(J295,'USD to INR'!$B$2:$G$560,6,TRUE)</f>
        <v>72.55</v>
      </c>
      <c r="M295" s="216">
        <f t="shared" si="14"/>
        <v>1351.2060647829085</v>
      </c>
      <c r="N295" s="563">
        <f t="shared" si="12"/>
        <v>44244</v>
      </c>
    </row>
    <row r="296" spans="1:14" x14ac:dyDescent="0.25">
      <c r="A296" s="188" t="s">
        <v>530</v>
      </c>
      <c r="B296" s="188" t="s">
        <v>531</v>
      </c>
      <c r="C296" s="188" t="s">
        <v>532</v>
      </c>
      <c r="D296" s="560">
        <v>100810</v>
      </c>
      <c r="E296" s="188" t="s">
        <v>98</v>
      </c>
      <c r="F296" s="561">
        <v>1</v>
      </c>
      <c r="G296" s="188" t="s">
        <v>13</v>
      </c>
      <c r="H296" s="188" t="s">
        <v>535</v>
      </c>
      <c r="I296" s="562">
        <v>44245</v>
      </c>
      <c r="J296" s="562">
        <v>44251</v>
      </c>
      <c r="K296" s="6" t="str">
        <f t="shared" si="13"/>
        <v>PP TQ</v>
      </c>
      <c r="L296" s="14">
        <f>VLOOKUP(J296,'USD to INR'!$B$2:$G$560,6,TRUE)</f>
        <v>73.92</v>
      </c>
      <c r="M296" s="216">
        <f t="shared" si="14"/>
        <v>1363.7716450216451</v>
      </c>
      <c r="N296" s="563">
        <f t="shared" si="12"/>
        <v>44251</v>
      </c>
    </row>
    <row r="297" spans="1:14" x14ac:dyDescent="0.25">
      <c r="A297" s="188" t="s">
        <v>530</v>
      </c>
      <c r="B297" s="188" t="s">
        <v>531</v>
      </c>
      <c r="C297" s="188" t="s">
        <v>532</v>
      </c>
      <c r="D297" s="560">
        <v>105430</v>
      </c>
      <c r="E297" s="188" t="s">
        <v>98</v>
      </c>
      <c r="F297" s="561">
        <v>1</v>
      </c>
      <c r="G297" s="188" t="s">
        <v>13</v>
      </c>
      <c r="H297" s="188" t="s">
        <v>535</v>
      </c>
      <c r="I297" s="562">
        <v>44252</v>
      </c>
      <c r="J297" s="562">
        <v>44255</v>
      </c>
      <c r="K297" s="6" t="str">
        <f t="shared" si="13"/>
        <v>PP TQ</v>
      </c>
      <c r="L297" s="14">
        <f>VLOOKUP(J297,'USD to INR'!$B$2:$G$560,6,TRUE)</f>
        <v>73.180000000000007</v>
      </c>
      <c r="M297" s="216">
        <f t="shared" si="14"/>
        <v>1440.6941787373598</v>
      </c>
      <c r="N297" s="563">
        <f t="shared" si="12"/>
        <v>44255</v>
      </c>
    </row>
    <row r="298" spans="1:14" x14ac:dyDescent="0.25">
      <c r="A298" s="188" t="s">
        <v>530</v>
      </c>
      <c r="B298" s="188" t="s">
        <v>531</v>
      </c>
      <c r="C298" s="188" t="s">
        <v>532</v>
      </c>
      <c r="D298" s="560">
        <v>111890</v>
      </c>
      <c r="E298" s="188" t="s">
        <v>98</v>
      </c>
      <c r="F298" s="561">
        <v>1</v>
      </c>
      <c r="G298" s="188" t="s">
        <v>13</v>
      </c>
      <c r="H298" s="188" t="s">
        <v>535</v>
      </c>
      <c r="I298" s="562">
        <v>44256</v>
      </c>
      <c r="J298" s="562">
        <v>44265</v>
      </c>
      <c r="K298" s="6" t="str">
        <f t="shared" si="13"/>
        <v>PP TQ</v>
      </c>
      <c r="L298" s="14">
        <f>VLOOKUP(J298,'USD to INR'!$B$2:$G$560,6,TRUE)</f>
        <v>72.680000000000007</v>
      </c>
      <c r="M298" s="216">
        <f t="shared" si="14"/>
        <v>1539.4881673087505</v>
      </c>
      <c r="N298" s="563">
        <f t="shared" si="12"/>
        <v>44265</v>
      </c>
    </row>
    <row r="299" spans="1:14" x14ac:dyDescent="0.25">
      <c r="A299" s="188" t="s">
        <v>530</v>
      </c>
      <c r="B299" s="188" t="s">
        <v>531</v>
      </c>
      <c r="C299" s="188" t="s">
        <v>532</v>
      </c>
      <c r="D299" s="560">
        <v>114670</v>
      </c>
      <c r="E299" s="188" t="s">
        <v>98</v>
      </c>
      <c r="F299" s="561">
        <v>1</v>
      </c>
      <c r="G299" s="188" t="s">
        <v>13</v>
      </c>
      <c r="H299" s="188" t="s">
        <v>535</v>
      </c>
      <c r="I299" s="562">
        <v>44266</v>
      </c>
      <c r="J299" s="562">
        <v>44286</v>
      </c>
      <c r="K299" s="6" t="str">
        <f t="shared" si="13"/>
        <v>PP TQ</v>
      </c>
      <c r="L299" s="14">
        <f>VLOOKUP(J299,'USD to INR'!$B$2:$G$560,6,TRUE)</f>
        <v>73.37</v>
      </c>
      <c r="M299" s="216">
        <f t="shared" si="14"/>
        <v>1562.9003679978191</v>
      </c>
      <c r="N299" s="563">
        <f t="shared" si="12"/>
        <v>44286</v>
      </c>
    </row>
    <row r="300" spans="1:14" x14ac:dyDescent="0.25">
      <c r="A300" s="188" t="s">
        <v>530</v>
      </c>
      <c r="B300" s="188" t="s">
        <v>531</v>
      </c>
      <c r="C300" s="188" t="s">
        <v>532</v>
      </c>
      <c r="D300" s="560">
        <v>114680</v>
      </c>
      <c r="E300" s="188" t="s">
        <v>98</v>
      </c>
      <c r="F300" s="561">
        <v>1</v>
      </c>
      <c r="G300" s="188" t="s">
        <v>13</v>
      </c>
      <c r="H300" s="188" t="s">
        <v>535</v>
      </c>
      <c r="I300" s="562">
        <v>44287</v>
      </c>
      <c r="J300" s="562">
        <v>44307</v>
      </c>
      <c r="K300" s="6" t="str">
        <f t="shared" si="13"/>
        <v>PP TQ</v>
      </c>
      <c r="L300" s="14">
        <f>VLOOKUP(J300,'USD to INR'!$B$2:$G$560,6,TRUE)</f>
        <v>74.92</v>
      </c>
      <c r="M300" s="216">
        <f t="shared" si="14"/>
        <v>1530.6994127068874</v>
      </c>
      <c r="N300" s="563">
        <f t="shared" si="12"/>
        <v>44307</v>
      </c>
    </row>
    <row r="301" spans="1:14" x14ac:dyDescent="0.25">
      <c r="A301" s="188" t="s">
        <v>530</v>
      </c>
      <c r="B301" s="188" t="s">
        <v>531</v>
      </c>
      <c r="C301" s="188" t="s">
        <v>532</v>
      </c>
      <c r="D301" s="560">
        <v>111910</v>
      </c>
      <c r="E301" s="188" t="s">
        <v>98</v>
      </c>
      <c r="F301" s="561">
        <v>1</v>
      </c>
      <c r="G301" s="188" t="s">
        <v>13</v>
      </c>
      <c r="H301" s="188" t="s">
        <v>535</v>
      </c>
      <c r="I301" s="562">
        <v>44308</v>
      </c>
      <c r="J301" s="562">
        <v>44316</v>
      </c>
      <c r="K301" s="6" t="str">
        <f t="shared" si="13"/>
        <v>PP TQ</v>
      </c>
      <c r="L301" s="14">
        <f>VLOOKUP(J301,'USD to INR'!$B$2:$G$560,6,TRUE)</f>
        <v>74.05</v>
      </c>
      <c r="M301" s="216">
        <f t="shared" si="14"/>
        <v>1511.2761647535449</v>
      </c>
      <c r="N301" s="563">
        <f t="shared" si="12"/>
        <v>44316</v>
      </c>
    </row>
    <row r="302" spans="1:14" x14ac:dyDescent="0.25">
      <c r="A302" s="188" t="s">
        <v>530</v>
      </c>
      <c r="B302" s="188" t="s">
        <v>531</v>
      </c>
      <c r="C302" s="188" t="s">
        <v>532</v>
      </c>
      <c r="D302" s="560">
        <v>110070</v>
      </c>
      <c r="E302" s="188" t="s">
        <v>98</v>
      </c>
      <c r="F302" s="561">
        <v>1</v>
      </c>
      <c r="G302" s="188" t="s">
        <v>13</v>
      </c>
      <c r="H302" s="188" t="s">
        <v>535</v>
      </c>
      <c r="I302" s="562">
        <v>44317</v>
      </c>
      <c r="J302" s="562">
        <v>44321</v>
      </c>
      <c r="K302" s="6" t="str">
        <f t="shared" si="13"/>
        <v>PP TQ</v>
      </c>
      <c r="L302" s="14">
        <f>VLOOKUP(J302,'USD to INR'!$B$2:$G$560,6,TRUE)</f>
        <v>73.251999999999995</v>
      </c>
      <c r="M302" s="216">
        <f t="shared" si="14"/>
        <v>1502.6210888439907</v>
      </c>
      <c r="N302" s="563">
        <f t="shared" si="12"/>
        <v>44321</v>
      </c>
    </row>
    <row r="303" spans="1:14" x14ac:dyDescent="0.25">
      <c r="A303" s="188" t="s">
        <v>530</v>
      </c>
      <c r="B303" s="188" t="s">
        <v>531</v>
      </c>
      <c r="C303" s="188" t="s">
        <v>532</v>
      </c>
      <c r="D303" s="560">
        <v>106840</v>
      </c>
      <c r="E303" s="188" t="s">
        <v>98</v>
      </c>
      <c r="F303" s="561">
        <v>1</v>
      </c>
      <c r="G303" s="188" t="s">
        <v>13</v>
      </c>
      <c r="H303" s="188" t="s">
        <v>535</v>
      </c>
      <c r="I303" s="562">
        <v>44322</v>
      </c>
      <c r="J303" s="562">
        <v>44335</v>
      </c>
      <c r="K303" s="6" t="str">
        <f t="shared" si="13"/>
        <v>PP TQ</v>
      </c>
      <c r="L303" s="14">
        <f>VLOOKUP(J303,'USD to INR'!$B$2:$G$560,6,TRUE)</f>
        <v>72.816999999999993</v>
      </c>
      <c r="M303" s="216">
        <f t="shared" si="14"/>
        <v>1467.239792905503</v>
      </c>
      <c r="N303" s="563">
        <f t="shared" si="12"/>
        <v>44335</v>
      </c>
    </row>
    <row r="304" spans="1:14" x14ac:dyDescent="0.25">
      <c r="A304" s="188" t="s">
        <v>530</v>
      </c>
      <c r="B304" s="188" t="s">
        <v>531</v>
      </c>
      <c r="C304" s="188" t="s">
        <v>532</v>
      </c>
      <c r="D304" s="560">
        <v>104070</v>
      </c>
      <c r="E304" s="188" t="s">
        <v>98</v>
      </c>
      <c r="F304" s="561">
        <v>1</v>
      </c>
      <c r="G304" s="188" t="s">
        <v>13</v>
      </c>
      <c r="H304" s="188" t="s">
        <v>535</v>
      </c>
      <c r="I304" s="562">
        <v>44336</v>
      </c>
      <c r="J304" s="562">
        <v>44347</v>
      </c>
      <c r="K304" s="6" t="str">
        <f t="shared" si="13"/>
        <v>PP TQ</v>
      </c>
      <c r="L304" s="14">
        <f>VLOOKUP(J304,'USD to INR'!$B$2:$G$560,6,TRUE)</f>
        <v>72.86</v>
      </c>
      <c r="M304" s="216">
        <f t="shared" si="14"/>
        <v>1428.3557507548724</v>
      </c>
      <c r="N304" s="563">
        <f t="shared" si="12"/>
        <v>44347</v>
      </c>
    </row>
    <row r="305" spans="1:14" x14ac:dyDescent="0.25">
      <c r="A305" s="188" t="s">
        <v>530</v>
      </c>
      <c r="B305" s="188" t="s">
        <v>531</v>
      </c>
      <c r="C305" s="188" t="s">
        <v>532</v>
      </c>
      <c r="D305" s="560">
        <v>101290</v>
      </c>
      <c r="E305" s="188" t="s">
        <v>98</v>
      </c>
      <c r="F305" s="561">
        <v>1</v>
      </c>
      <c r="G305" s="188" t="s">
        <v>13</v>
      </c>
      <c r="H305" s="188" t="s">
        <v>535</v>
      </c>
      <c r="I305" s="562">
        <v>44348</v>
      </c>
      <c r="J305" s="562">
        <v>44356</v>
      </c>
      <c r="K305" s="6" t="str">
        <f t="shared" si="13"/>
        <v>PP TQ</v>
      </c>
      <c r="L305" s="14">
        <f>VLOOKUP(J305,'USD to INR'!$B$2:$G$560,6,TRUE)</f>
        <v>73.239999999999995</v>
      </c>
      <c r="M305" s="216">
        <f t="shared" si="14"/>
        <v>1382.987438558165</v>
      </c>
      <c r="N305" s="563">
        <f t="shared" si="12"/>
        <v>44356</v>
      </c>
    </row>
    <row r="306" spans="1:14" x14ac:dyDescent="0.25">
      <c r="A306" s="188" t="s">
        <v>530</v>
      </c>
      <c r="B306" s="188" t="s">
        <v>531</v>
      </c>
      <c r="C306" s="188" t="s">
        <v>532</v>
      </c>
      <c r="D306" s="560">
        <v>99450</v>
      </c>
      <c r="E306" s="188" t="s">
        <v>98</v>
      </c>
      <c r="F306" s="561">
        <v>1</v>
      </c>
      <c r="G306" s="188" t="s">
        <v>13</v>
      </c>
      <c r="H306" s="188" t="s">
        <v>535</v>
      </c>
      <c r="I306" s="562">
        <v>44357</v>
      </c>
      <c r="J306" s="562">
        <v>44363</v>
      </c>
      <c r="K306" s="6" t="str">
        <f t="shared" si="13"/>
        <v>PP TQ</v>
      </c>
      <c r="L306" s="14">
        <f>VLOOKUP(J306,'USD to INR'!$B$2:$G$560,6,TRUE)</f>
        <v>74.099999999999994</v>
      </c>
      <c r="M306" s="216">
        <f t="shared" si="14"/>
        <v>1342.1052631578948</v>
      </c>
      <c r="N306" s="563">
        <f t="shared" si="12"/>
        <v>44363</v>
      </c>
    </row>
    <row r="307" spans="1:14" x14ac:dyDescent="0.25">
      <c r="A307" s="188" t="s">
        <v>530</v>
      </c>
      <c r="B307" s="188" t="s">
        <v>531</v>
      </c>
      <c r="C307" s="188" t="s">
        <v>532</v>
      </c>
      <c r="D307" s="560">
        <v>98440</v>
      </c>
      <c r="E307" s="188" t="s">
        <v>98</v>
      </c>
      <c r="F307" s="561">
        <v>1</v>
      </c>
      <c r="G307" s="188" t="s">
        <v>13</v>
      </c>
      <c r="H307" s="188" t="s">
        <v>535</v>
      </c>
      <c r="I307" s="562">
        <v>44364</v>
      </c>
      <c r="J307" s="562">
        <v>44377</v>
      </c>
      <c r="K307" s="6" t="str">
        <f t="shared" si="13"/>
        <v>PP TQ</v>
      </c>
      <c r="L307" s="14">
        <f>VLOOKUP(J307,'USD to INR'!$B$2:$G$560,6,TRUE)</f>
        <v>74.512</v>
      </c>
      <c r="M307" s="216">
        <f t="shared" si="14"/>
        <v>1321.1294824994632</v>
      </c>
      <c r="N307" s="563">
        <f t="shared" si="12"/>
        <v>44377</v>
      </c>
    </row>
    <row r="308" spans="1:14" x14ac:dyDescent="0.25">
      <c r="A308" s="188" t="s">
        <v>530</v>
      </c>
      <c r="B308" s="188" t="s">
        <v>531</v>
      </c>
      <c r="C308" s="188" t="s">
        <v>532</v>
      </c>
      <c r="D308" s="560">
        <v>98430</v>
      </c>
      <c r="E308" s="188" t="s">
        <v>98</v>
      </c>
      <c r="F308" s="561">
        <v>1</v>
      </c>
      <c r="G308" s="188" t="s">
        <v>13</v>
      </c>
      <c r="H308" s="188" t="s">
        <v>535</v>
      </c>
      <c r="I308" s="562">
        <v>44378</v>
      </c>
      <c r="J308" s="562">
        <v>44384</v>
      </c>
      <c r="K308" s="6" t="str">
        <f t="shared" si="13"/>
        <v>PP TQ</v>
      </c>
      <c r="L308" s="14">
        <f>VLOOKUP(J308,'USD to INR'!$B$2:$G$560,6,TRUE)</f>
        <v>74.484999999999999</v>
      </c>
      <c r="M308" s="216">
        <f t="shared" si="14"/>
        <v>1321.4741223065046</v>
      </c>
      <c r="N308" s="563">
        <f t="shared" si="12"/>
        <v>44384</v>
      </c>
    </row>
    <row r="309" spans="1:14" x14ac:dyDescent="0.25">
      <c r="A309" s="188" t="s">
        <v>530</v>
      </c>
      <c r="B309" s="188" t="s">
        <v>531</v>
      </c>
      <c r="C309" s="188" t="s">
        <v>532</v>
      </c>
      <c r="D309" s="560">
        <v>100280</v>
      </c>
      <c r="E309" s="188" t="s">
        <v>98</v>
      </c>
      <c r="F309" s="561">
        <v>1</v>
      </c>
      <c r="G309" s="188" t="s">
        <v>13</v>
      </c>
      <c r="H309" s="188" t="s">
        <v>535</v>
      </c>
      <c r="I309" s="562">
        <v>44385</v>
      </c>
      <c r="J309" s="562">
        <v>44398</v>
      </c>
      <c r="K309" s="6" t="str">
        <f t="shared" si="13"/>
        <v>PP TQ</v>
      </c>
      <c r="L309" s="14">
        <f>VLOOKUP(J309,'USD to INR'!$B$2:$G$560,6,TRUE)</f>
        <v>74.424999999999997</v>
      </c>
      <c r="M309" s="216">
        <f t="shared" si="14"/>
        <v>1347.396708095398</v>
      </c>
      <c r="N309" s="563">
        <f t="shared" si="12"/>
        <v>44398</v>
      </c>
    </row>
    <row r="310" spans="1:14" x14ac:dyDescent="0.25">
      <c r="A310" s="188" t="s">
        <v>530</v>
      </c>
      <c r="B310" s="188" t="s">
        <v>531</v>
      </c>
      <c r="C310" s="188" t="s">
        <v>532</v>
      </c>
      <c r="D310" s="560">
        <v>101670</v>
      </c>
      <c r="E310" s="188" t="s">
        <v>98</v>
      </c>
      <c r="F310" s="561">
        <v>1</v>
      </c>
      <c r="G310" s="188" t="s">
        <v>13</v>
      </c>
      <c r="H310" s="188" t="s">
        <v>535</v>
      </c>
      <c r="I310" s="562">
        <v>44399</v>
      </c>
      <c r="J310" s="562">
        <v>44408</v>
      </c>
      <c r="K310" s="6" t="str">
        <f t="shared" si="13"/>
        <v>PP TQ</v>
      </c>
      <c r="L310" s="14">
        <f>VLOOKUP(J310,'USD to INR'!$B$2:$G$560,6,TRUE)</f>
        <v>74.337000000000003</v>
      </c>
      <c r="M310" s="216">
        <f t="shared" si="14"/>
        <v>1367.6903829855926</v>
      </c>
      <c r="N310" s="563">
        <f t="shared" si="12"/>
        <v>44408</v>
      </c>
    </row>
    <row r="311" spans="1:14" x14ac:dyDescent="0.25">
      <c r="A311" s="188" t="s">
        <v>530</v>
      </c>
      <c r="B311" s="188" t="s">
        <v>531</v>
      </c>
      <c r="C311" s="188" t="s">
        <v>532</v>
      </c>
      <c r="D311" s="560">
        <v>103980</v>
      </c>
      <c r="E311" s="188" t="s">
        <v>98</v>
      </c>
      <c r="F311" s="561">
        <v>1</v>
      </c>
      <c r="G311" s="188" t="s">
        <v>13</v>
      </c>
      <c r="H311" s="188" t="s">
        <v>535</v>
      </c>
      <c r="I311" s="562">
        <v>44409</v>
      </c>
      <c r="J311" s="562">
        <v>44419</v>
      </c>
      <c r="K311" s="6" t="str">
        <f t="shared" si="13"/>
        <v>PP TQ</v>
      </c>
      <c r="L311" s="14">
        <f>VLOOKUP(J311,'USD to INR'!$B$2:$G$560,6,TRUE)</f>
        <v>74.239000000000004</v>
      </c>
      <c r="M311" s="216">
        <f t="shared" si="14"/>
        <v>1400.6115384097307</v>
      </c>
      <c r="N311" s="563">
        <f t="shared" si="12"/>
        <v>44419</v>
      </c>
    </row>
    <row r="312" spans="1:14" x14ac:dyDescent="0.25">
      <c r="A312" s="188" t="s">
        <v>530</v>
      </c>
      <c r="B312" s="188" t="s">
        <v>531</v>
      </c>
      <c r="C312" s="188" t="s">
        <v>532</v>
      </c>
      <c r="D312" s="560">
        <v>105830</v>
      </c>
      <c r="E312" s="188" t="s">
        <v>98</v>
      </c>
      <c r="F312" s="561">
        <v>1</v>
      </c>
      <c r="G312" s="188" t="s">
        <v>13</v>
      </c>
      <c r="H312" s="188" t="s">
        <v>535</v>
      </c>
      <c r="I312" s="562">
        <v>44420</v>
      </c>
      <c r="J312" s="562">
        <v>44439</v>
      </c>
      <c r="K312" s="6" t="str">
        <f t="shared" si="13"/>
        <v>PP TQ</v>
      </c>
      <c r="L312" s="14">
        <f>VLOOKUP(J312,'USD to INR'!$B$2:$G$560,6,TRUE)</f>
        <v>72.981999999999999</v>
      </c>
      <c r="M312" s="216">
        <f t="shared" si="14"/>
        <v>1450.0835822531583</v>
      </c>
      <c r="N312" s="563">
        <f t="shared" si="12"/>
        <v>44439</v>
      </c>
    </row>
    <row r="313" spans="1:14" x14ac:dyDescent="0.25">
      <c r="A313" s="188" t="s">
        <v>530</v>
      </c>
      <c r="B313" s="188" t="s">
        <v>531</v>
      </c>
      <c r="C313" s="188" t="s">
        <v>532</v>
      </c>
      <c r="D313" s="560">
        <v>105840</v>
      </c>
      <c r="E313" s="188" t="s">
        <v>98</v>
      </c>
      <c r="F313" s="561">
        <v>1</v>
      </c>
      <c r="G313" s="188" t="s">
        <v>13</v>
      </c>
      <c r="H313" s="188" t="s">
        <v>535</v>
      </c>
      <c r="I313" s="562">
        <v>44440</v>
      </c>
      <c r="J313" s="562">
        <v>44461</v>
      </c>
      <c r="K313" s="6" t="str">
        <f t="shared" si="13"/>
        <v>PP TQ</v>
      </c>
      <c r="L313" s="14">
        <f>VLOOKUP(J313,'USD to INR'!$B$2:$G$560,6,TRUE)</f>
        <v>73.813000000000002</v>
      </c>
      <c r="M313" s="216">
        <f t="shared" si="14"/>
        <v>1433.8937585520166</v>
      </c>
      <c r="N313" s="563">
        <f t="shared" si="12"/>
        <v>44461</v>
      </c>
    </row>
    <row r="314" spans="1:14" x14ac:dyDescent="0.25">
      <c r="A314" s="188" t="s">
        <v>530</v>
      </c>
      <c r="B314" s="188" t="s">
        <v>531</v>
      </c>
      <c r="C314" s="188" t="s">
        <v>532</v>
      </c>
      <c r="D314" s="560">
        <v>106770</v>
      </c>
      <c r="E314" s="188" t="s">
        <v>98</v>
      </c>
      <c r="F314" s="561">
        <v>1</v>
      </c>
      <c r="G314" s="188" t="s">
        <v>13</v>
      </c>
      <c r="H314" s="188" t="s">
        <v>535</v>
      </c>
      <c r="I314" s="562">
        <v>44462</v>
      </c>
      <c r="J314" s="562">
        <v>44469</v>
      </c>
      <c r="K314" s="6" t="str">
        <f t="shared" si="13"/>
        <v>PP TQ</v>
      </c>
      <c r="L314" s="14">
        <f>VLOOKUP(J314,'USD to INR'!$B$2:$G$560,6,TRUE)</f>
        <v>74.131</v>
      </c>
      <c r="M314" s="216">
        <f t="shared" si="14"/>
        <v>1440.2881385655123</v>
      </c>
      <c r="N314" s="563">
        <f t="shared" si="12"/>
        <v>44469</v>
      </c>
    </row>
    <row r="315" spans="1:14" x14ac:dyDescent="0.25">
      <c r="A315" s="188" t="s">
        <v>530</v>
      </c>
      <c r="B315" s="188" t="s">
        <v>531</v>
      </c>
      <c r="C315" s="188" t="s">
        <v>532</v>
      </c>
      <c r="D315" s="560">
        <v>109080</v>
      </c>
      <c r="E315" s="188" t="s">
        <v>98</v>
      </c>
      <c r="F315" s="561">
        <v>1</v>
      </c>
      <c r="G315" s="188" t="s">
        <v>13</v>
      </c>
      <c r="H315" s="188" t="s">
        <v>535</v>
      </c>
      <c r="I315" s="562">
        <v>44470</v>
      </c>
      <c r="J315" s="562">
        <v>44475</v>
      </c>
      <c r="K315" s="6" t="str">
        <f t="shared" si="13"/>
        <v>PP TQ</v>
      </c>
      <c r="L315" s="14">
        <f>VLOOKUP(J315,'USD to INR'!$B$2:$G$560,6,TRUE)</f>
        <v>75.111999999999995</v>
      </c>
      <c r="M315" s="216">
        <f t="shared" si="14"/>
        <v>1452.2313345404198</v>
      </c>
      <c r="N315" s="563">
        <f t="shared" si="12"/>
        <v>44475</v>
      </c>
    </row>
    <row r="316" spans="1:14" x14ac:dyDescent="0.25">
      <c r="A316" s="188" t="s">
        <v>530</v>
      </c>
      <c r="B316" s="188" t="s">
        <v>531</v>
      </c>
      <c r="C316" s="188" t="s">
        <v>532</v>
      </c>
      <c r="D316" s="560">
        <v>110930</v>
      </c>
      <c r="E316" s="188" t="s">
        <v>98</v>
      </c>
      <c r="F316" s="561">
        <v>1</v>
      </c>
      <c r="G316" s="188" t="s">
        <v>13</v>
      </c>
      <c r="H316" s="188" t="s">
        <v>535</v>
      </c>
      <c r="I316" s="562">
        <v>44476</v>
      </c>
      <c r="J316" s="562">
        <v>44482</v>
      </c>
      <c r="K316" s="6" t="str">
        <f t="shared" si="13"/>
        <v>PP TQ</v>
      </c>
      <c r="L316" s="14">
        <f>VLOOKUP(J316,'USD to INR'!$B$2:$G$560,6,TRUE)</f>
        <v>75.013000000000005</v>
      </c>
      <c r="M316" s="216">
        <f t="shared" si="14"/>
        <v>1478.810339541146</v>
      </c>
      <c r="N316" s="563">
        <f t="shared" si="12"/>
        <v>44482</v>
      </c>
    </row>
    <row r="317" spans="1:14" x14ac:dyDescent="0.25">
      <c r="A317" s="188" t="s">
        <v>530</v>
      </c>
      <c r="B317" s="188" t="s">
        <v>531</v>
      </c>
      <c r="C317" s="188" t="s">
        <v>532</v>
      </c>
      <c r="D317" s="560">
        <v>116480</v>
      </c>
      <c r="E317" s="188" t="s">
        <v>98</v>
      </c>
      <c r="F317" s="561">
        <v>1</v>
      </c>
      <c r="G317" s="188" t="s">
        <v>13</v>
      </c>
      <c r="H317" s="188" t="s">
        <v>535</v>
      </c>
      <c r="I317" s="562">
        <v>44483</v>
      </c>
      <c r="J317" s="562">
        <v>44500</v>
      </c>
      <c r="K317" s="6" t="str">
        <f t="shared" si="13"/>
        <v>PP TQ</v>
      </c>
      <c r="L317" s="14">
        <f>VLOOKUP(J317,'USD to INR'!$B$2:$G$560,6,TRUE)</f>
        <v>75.313000000000002</v>
      </c>
      <c r="M317" s="216">
        <f t="shared" si="14"/>
        <v>1546.6121386745979</v>
      </c>
      <c r="N317" s="563">
        <f t="shared" si="12"/>
        <v>44500</v>
      </c>
    </row>
    <row r="318" spans="1:14" x14ac:dyDescent="0.25">
      <c r="A318" s="188" t="s">
        <v>530</v>
      </c>
      <c r="B318" s="188" t="s">
        <v>531</v>
      </c>
      <c r="C318" s="188" t="s">
        <v>532</v>
      </c>
      <c r="D318" s="560">
        <v>118310</v>
      </c>
      <c r="E318" s="188" t="s">
        <v>98</v>
      </c>
      <c r="F318" s="561">
        <v>1</v>
      </c>
      <c r="G318" s="188" t="s">
        <v>13</v>
      </c>
      <c r="H318" s="188" t="s">
        <v>535</v>
      </c>
      <c r="I318" s="562">
        <v>44501</v>
      </c>
      <c r="J318" s="562">
        <v>44517</v>
      </c>
      <c r="K318" s="6" t="str">
        <f t="shared" si="13"/>
        <v>PP TQ</v>
      </c>
      <c r="L318" s="14">
        <f>VLOOKUP(J318,'USD to INR'!$B$2:$G$560,6,TRUE)</f>
        <v>75.313000000000002</v>
      </c>
      <c r="M318" s="216">
        <f t="shared" si="14"/>
        <v>1570.9107325428545</v>
      </c>
      <c r="N318" s="563">
        <f t="shared" si="12"/>
        <v>44517</v>
      </c>
    </row>
    <row r="319" spans="1:14" x14ac:dyDescent="0.25">
      <c r="A319" s="188" t="s">
        <v>530</v>
      </c>
      <c r="B319" s="188" t="s">
        <v>531</v>
      </c>
      <c r="C319" s="188" t="s">
        <v>532</v>
      </c>
      <c r="D319" s="560">
        <v>116470</v>
      </c>
      <c r="E319" s="188" t="s">
        <v>98</v>
      </c>
      <c r="F319" s="561">
        <v>1</v>
      </c>
      <c r="G319" s="188" t="s">
        <v>13</v>
      </c>
      <c r="H319" s="188" t="s">
        <v>535</v>
      </c>
      <c r="I319" s="562">
        <v>44518</v>
      </c>
      <c r="J319" s="562">
        <v>44530</v>
      </c>
      <c r="K319" s="6" t="str">
        <f t="shared" si="13"/>
        <v>PP TQ</v>
      </c>
      <c r="L319" s="14">
        <f>VLOOKUP(J319,'USD to INR'!$B$2:$G$560,6,TRUE)</f>
        <v>75.313000000000002</v>
      </c>
      <c r="M319" s="216">
        <f t="shared" si="14"/>
        <v>1546.479359473132</v>
      </c>
      <c r="N319" s="563">
        <f t="shared" si="12"/>
        <v>44530</v>
      </c>
    </row>
    <row r="320" spans="1:14" x14ac:dyDescent="0.25">
      <c r="A320" s="188" t="s">
        <v>530</v>
      </c>
      <c r="B320" s="188" t="s">
        <v>531</v>
      </c>
      <c r="C320" s="188" t="s">
        <v>532</v>
      </c>
      <c r="D320" s="560">
        <v>112820</v>
      </c>
      <c r="E320" s="188" t="s">
        <v>98</v>
      </c>
      <c r="F320" s="561">
        <v>1</v>
      </c>
      <c r="G320" s="188" t="s">
        <v>13</v>
      </c>
      <c r="H320" s="188" t="s">
        <v>535</v>
      </c>
      <c r="I320" s="562">
        <v>44531</v>
      </c>
      <c r="J320" s="562">
        <v>44538</v>
      </c>
      <c r="K320" s="6" t="str">
        <f t="shared" si="13"/>
        <v>PP TQ</v>
      </c>
      <c r="L320" s="14">
        <f>VLOOKUP(J320,'USD to INR'!$B$2:$G$560,6,TRUE)</f>
        <v>75.313000000000002</v>
      </c>
      <c r="M320" s="216">
        <f t="shared" si="14"/>
        <v>1498.0149509380851</v>
      </c>
      <c r="N320" s="563">
        <f t="shared" si="12"/>
        <v>44538</v>
      </c>
    </row>
    <row r="321" spans="1:14" x14ac:dyDescent="0.25">
      <c r="A321" s="188" t="s">
        <v>530</v>
      </c>
      <c r="B321" s="188" t="s">
        <v>531</v>
      </c>
      <c r="C321" s="188" t="s">
        <v>532</v>
      </c>
      <c r="D321" s="560">
        <v>108210</v>
      </c>
      <c r="E321" s="188" t="s">
        <v>98</v>
      </c>
      <c r="F321" s="561">
        <v>1</v>
      </c>
      <c r="G321" s="188" t="s">
        <v>13</v>
      </c>
      <c r="H321" s="188" t="s">
        <v>535</v>
      </c>
      <c r="I321" s="562">
        <v>44539</v>
      </c>
      <c r="J321" s="562">
        <v>44545</v>
      </c>
      <c r="K321" s="6" t="str">
        <f t="shared" si="13"/>
        <v>PP TQ</v>
      </c>
      <c r="L321" s="14">
        <f>VLOOKUP(J321,'USD to INR'!$B$2:$G$560,6,TRUE)</f>
        <v>75.313000000000002</v>
      </c>
      <c r="M321" s="216">
        <f t="shared" si="14"/>
        <v>1436.8037390623133</v>
      </c>
      <c r="N321" s="563">
        <f t="shared" si="12"/>
        <v>44545</v>
      </c>
    </row>
    <row r="322" spans="1:14" x14ac:dyDescent="0.25">
      <c r="A322" s="188" t="s">
        <v>530</v>
      </c>
      <c r="B322" s="188" t="s">
        <v>531</v>
      </c>
      <c r="C322" s="188" t="s">
        <v>532</v>
      </c>
      <c r="D322" s="560">
        <v>105440</v>
      </c>
      <c r="E322" s="188" t="s">
        <v>98</v>
      </c>
      <c r="F322" s="561">
        <v>1</v>
      </c>
      <c r="G322" s="188" t="s">
        <v>13</v>
      </c>
      <c r="H322" s="188" t="s">
        <v>535</v>
      </c>
      <c r="I322" s="562">
        <v>44546</v>
      </c>
      <c r="J322" s="562">
        <v>44561</v>
      </c>
      <c r="K322" s="6" t="str">
        <f t="shared" si="13"/>
        <v>PP TQ</v>
      </c>
      <c r="L322" s="14">
        <f>VLOOKUP(J322,'USD to INR'!$B$2:$G$560,6,TRUE)</f>
        <v>75.313000000000002</v>
      </c>
      <c r="M322" s="216">
        <f t="shared" si="14"/>
        <v>1400.0239002562639</v>
      </c>
      <c r="N322" s="563">
        <f t="shared" ref="N322:N385" si="15">J322</f>
        <v>44561</v>
      </c>
    </row>
    <row r="323" spans="1:14" x14ac:dyDescent="0.25">
      <c r="A323" s="188" t="s">
        <v>530</v>
      </c>
      <c r="B323" s="188" t="s">
        <v>531</v>
      </c>
      <c r="C323" s="188" t="s">
        <v>532</v>
      </c>
      <c r="D323" s="560">
        <v>80190</v>
      </c>
      <c r="E323" s="188" t="s">
        <v>98</v>
      </c>
      <c r="F323" s="561">
        <v>1</v>
      </c>
      <c r="G323" s="188" t="s">
        <v>13</v>
      </c>
      <c r="H323" s="188" t="s">
        <v>536</v>
      </c>
      <c r="I323" s="562">
        <v>43101</v>
      </c>
      <c r="J323" s="562">
        <v>43117</v>
      </c>
      <c r="K323" s="6" t="str">
        <f t="shared" ref="K323:K386" si="16">VLOOKUP(H323,$V$2:$W$10,2,TRUE)</f>
        <v>PP INJ</v>
      </c>
      <c r="L323" s="14">
        <f>VLOOKUP(J323,'USD to INR'!$B$2:$G$560,6,TRUE)</f>
        <v>63.83</v>
      </c>
      <c r="M323" s="216">
        <f t="shared" ref="M323:M386" si="17">D323/L323</f>
        <v>1256.305812313959</v>
      </c>
      <c r="N323" s="563">
        <f t="shared" si="15"/>
        <v>43117</v>
      </c>
    </row>
    <row r="324" spans="1:14" x14ac:dyDescent="0.25">
      <c r="A324" s="188" t="s">
        <v>530</v>
      </c>
      <c r="B324" s="188" t="s">
        <v>531</v>
      </c>
      <c r="C324" s="188" t="s">
        <v>532</v>
      </c>
      <c r="D324" s="560">
        <v>81580</v>
      </c>
      <c r="E324" s="188" t="s">
        <v>98</v>
      </c>
      <c r="F324" s="561">
        <v>1</v>
      </c>
      <c r="G324" s="188" t="s">
        <v>13</v>
      </c>
      <c r="H324" s="188" t="s">
        <v>536</v>
      </c>
      <c r="I324" s="562">
        <v>43118</v>
      </c>
      <c r="J324" s="562">
        <v>43124</v>
      </c>
      <c r="K324" s="6" t="str">
        <f t="shared" si="16"/>
        <v>PP INJ</v>
      </c>
      <c r="L324" s="14">
        <f>VLOOKUP(J324,'USD to INR'!$B$2:$G$560,6,TRUE)</f>
        <v>63.59</v>
      </c>
      <c r="M324" s="216">
        <f t="shared" si="17"/>
        <v>1282.9061173140431</v>
      </c>
      <c r="N324" s="563">
        <f t="shared" si="15"/>
        <v>43124</v>
      </c>
    </row>
    <row r="325" spans="1:14" x14ac:dyDescent="0.25">
      <c r="A325" s="188" t="s">
        <v>530</v>
      </c>
      <c r="B325" s="188" t="s">
        <v>531</v>
      </c>
      <c r="C325" s="188" t="s">
        <v>532</v>
      </c>
      <c r="D325" s="560">
        <v>82980</v>
      </c>
      <c r="E325" s="188" t="s">
        <v>98</v>
      </c>
      <c r="F325" s="561">
        <v>1</v>
      </c>
      <c r="G325" s="188" t="s">
        <v>13</v>
      </c>
      <c r="H325" s="188" t="s">
        <v>536</v>
      </c>
      <c r="I325" s="562">
        <v>43125</v>
      </c>
      <c r="J325" s="562">
        <v>43131</v>
      </c>
      <c r="K325" s="6" t="str">
        <f t="shared" si="16"/>
        <v>PP INJ</v>
      </c>
      <c r="L325" s="14">
        <f>VLOOKUP(J325,'USD to INR'!$B$2:$G$560,6,TRUE)</f>
        <v>64.13</v>
      </c>
      <c r="M325" s="216">
        <f t="shared" si="17"/>
        <v>1293.9341961640419</v>
      </c>
      <c r="N325" s="563">
        <f t="shared" si="15"/>
        <v>43131</v>
      </c>
    </row>
    <row r="326" spans="1:14" x14ac:dyDescent="0.25">
      <c r="A326" s="188" t="s">
        <v>530</v>
      </c>
      <c r="B326" s="188" t="s">
        <v>531</v>
      </c>
      <c r="C326" s="188" t="s">
        <v>532</v>
      </c>
      <c r="D326" s="560">
        <v>85280</v>
      </c>
      <c r="E326" s="188" t="s">
        <v>98</v>
      </c>
      <c r="F326" s="561">
        <v>1</v>
      </c>
      <c r="G326" s="188" t="s">
        <v>13</v>
      </c>
      <c r="H326" s="188" t="s">
        <v>536</v>
      </c>
      <c r="I326" s="562">
        <v>43132</v>
      </c>
      <c r="J326" s="562">
        <v>43145</v>
      </c>
      <c r="K326" s="6" t="str">
        <f t="shared" si="16"/>
        <v>PP INJ</v>
      </c>
      <c r="L326" s="14">
        <f>VLOOKUP(J326,'USD to INR'!$B$2:$G$560,6,TRUE)</f>
        <v>64.215000000000003</v>
      </c>
      <c r="M326" s="216">
        <f t="shared" si="17"/>
        <v>1328.0386202600637</v>
      </c>
      <c r="N326" s="563">
        <f t="shared" si="15"/>
        <v>43145</v>
      </c>
    </row>
    <row r="327" spans="1:14" x14ac:dyDescent="0.25">
      <c r="A327" s="188" t="s">
        <v>530</v>
      </c>
      <c r="B327" s="188" t="s">
        <v>531</v>
      </c>
      <c r="C327" s="188" t="s">
        <v>532</v>
      </c>
      <c r="D327" s="560">
        <v>87540</v>
      </c>
      <c r="E327" s="188" t="s">
        <v>98</v>
      </c>
      <c r="F327" s="561">
        <v>1</v>
      </c>
      <c r="G327" s="188" t="s">
        <v>13</v>
      </c>
      <c r="H327" s="188" t="s">
        <v>536</v>
      </c>
      <c r="I327" s="562">
        <v>43146</v>
      </c>
      <c r="J327" s="562">
        <v>43159</v>
      </c>
      <c r="K327" s="6" t="str">
        <f t="shared" si="16"/>
        <v>PP INJ</v>
      </c>
      <c r="L327" s="14">
        <f>VLOOKUP(J327,'USD to INR'!$B$2:$G$560,6,TRUE)</f>
        <v>65.22</v>
      </c>
      <c r="M327" s="216">
        <f t="shared" si="17"/>
        <v>1342.2263109475621</v>
      </c>
      <c r="N327" s="563">
        <f t="shared" si="15"/>
        <v>43159</v>
      </c>
    </row>
    <row r="328" spans="1:14" x14ac:dyDescent="0.25">
      <c r="A328" s="188" t="s">
        <v>530</v>
      </c>
      <c r="B328" s="188" t="s">
        <v>531</v>
      </c>
      <c r="C328" s="188" t="s">
        <v>532</v>
      </c>
      <c r="D328" s="560">
        <v>87540</v>
      </c>
      <c r="E328" s="188" t="s">
        <v>98</v>
      </c>
      <c r="F328" s="561">
        <v>1</v>
      </c>
      <c r="G328" s="188" t="s">
        <v>13</v>
      </c>
      <c r="H328" s="188" t="s">
        <v>536</v>
      </c>
      <c r="I328" s="562">
        <v>43160</v>
      </c>
      <c r="J328" s="562">
        <v>43190</v>
      </c>
      <c r="K328" s="6" t="str">
        <f t="shared" si="16"/>
        <v>PP INJ</v>
      </c>
      <c r="L328" s="14">
        <f>VLOOKUP(J328,'USD to INR'!$B$2:$G$560,6,TRUE)</f>
        <v>65.114999999999995</v>
      </c>
      <c r="M328" s="216">
        <f t="shared" si="17"/>
        <v>1344.3906933886203</v>
      </c>
      <c r="N328" s="563">
        <f t="shared" si="15"/>
        <v>43190</v>
      </c>
    </row>
    <row r="329" spans="1:14" x14ac:dyDescent="0.25">
      <c r="A329" s="188" t="s">
        <v>530</v>
      </c>
      <c r="B329" s="188" t="s">
        <v>531</v>
      </c>
      <c r="C329" s="188" t="s">
        <v>532</v>
      </c>
      <c r="D329" s="560">
        <v>87540</v>
      </c>
      <c r="E329" s="188" t="s">
        <v>98</v>
      </c>
      <c r="F329" s="561">
        <v>1</v>
      </c>
      <c r="G329" s="188" t="s">
        <v>13</v>
      </c>
      <c r="H329" s="188" t="s">
        <v>536</v>
      </c>
      <c r="I329" s="562">
        <v>43191</v>
      </c>
      <c r="J329" s="562">
        <v>43208</v>
      </c>
      <c r="K329" s="6" t="str">
        <f t="shared" si="16"/>
        <v>PP INJ</v>
      </c>
      <c r="L329" s="14">
        <f>VLOOKUP(J329,'USD to INR'!$B$2:$G$560,6,TRUE)</f>
        <v>66.209999999999994</v>
      </c>
      <c r="M329" s="216">
        <f t="shared" si="17"/>
        <v>1322.1567739012235</v>
      </c>
      <c r="N329" s="563">
        <f t="shared" si="15"/>
        <v>43208</v>
      </c>
    </row>
    <row r="330" spans="1:14" x14ac:dyDescent="0.25">
      <c r="A330" s="188" t="s">
        <v>530</v>
      </c>
      <c r="B330" s="188" t="s">
        <v>531</v>
      </c>
      <c r="C330" s="188" t="s">
        <v>532</v>
      </c>
      <c r="D330" s="560">
        <v>87540</v>
      </c>
      <c r="E330" s="188" t="s">
        <v>98</v>
      </c>
      <c r="F330" s="561">
        <v>1</v>
      </c>
      <c r="G330" s="188" t="s">
        <v>13</v>
      </c>
      <c r="H330" s="188" t="s">
        <v>536</v>
      </c>
      <c r="I330" s="562">
        <v>43209</v>
      </c>
      <c r="J330" s="562">
        <v>43220</v>
      </c>
      <c r="K330" s="6" t="str">
        <f t="shared" si="16"/>
        <v>PP INJ</v>
      </c>
      <c r="L330" s="14">
        <f>VLOOKUP(J330,'USD to INR'!$B$2:$G$560,6,TRUE)</f>
        <v>66.819999999999993</v>
      </c>
      <c r="M330" s="216">
        <f t="shared" si="17"/>
        <v>1310.086800359174</v>
      </c>
      <c r="N330" s="563">
        <f t="shared" si="15"/>
        <v>43220</v>
      </c>
    </row>
    <row r="331" spans="1:14" x14ac:dyDescent="0.25">
      <c r="A331" s="188" t="s">
        <v>530</v>
      </c>
      <c r="B331" s="188" t="s">
        <v>531</v>
      </c>
      <c r="C331" s="188" t="s">
        <v>532</v>
      </c>
      <c r="D331" s="560">
        <v>88760</v>
      </c>
      <c r="E331" s="188" t="s">
        <v>98</v>
      </c>
      <c r="F331" s="561">
        <v>1</v>
      </c>
      <c r="G331" s="188" t="s">
        <v>13</v>
      </c>
      <c r="H331" s="188" t="s">
        <v>536</v>
      </c>
      <c r="I331" s="562">
        <v>43221</v>
      </c>
      <c r="J331" s="562">
        <v>43236</v>
      </c>
      <c r="K331" s="6" t="str">
        <f t="shared" si="16"/>
        <v>PP INJ</v>
      </c>
      <c r="L331" s="14">
        <f>VLOOKUP(J331,'USD to INR'!$B$2:$G$560,6,TRUE)</f>
        <v>67.989999999999995</v>
      </c>
      <c r="M331" s="216">
        <f t="shared" si="17"/>
        <v>1305.4861008971909</v>
      </c>
      <c r="N331" s="563">
        <f t="shared" si="15"/>
        <v>43236</v>
      </c>
    </row>
    <row r="332" spans="1:14" x14ac:dyDescent="0.25">
      <c r="A332" s="188" t="s">
        <v>530</v>
      </c>
      <c r="B332" s="188" t="s">
        <v>531</v>
      </c>
      <c r="C332" s="188" t="s">
        <v>532</v>
      </c>
      <c r="D332" s="560">
        <v>91530</v>
      </c>
      <c r="E332" s="188" t="s">
        <v>98</v>
      </c>
      <c r="F332" s="561">
        <v>1</v>
      </c>
      <c r="G332" s="188" t="s">
        <v>13</v>
      </c>
      <c r="H332" s="188" t="s">
        <v>536</v>
      </c>
      <c r="I332" s="562">
        <v>43237</v>
      </c>
      <c r="J332" s="562">
        <v>43251</v>
      </c>
      <c r="K332" s="6" t="str">
        <f t="shared" si="16"/>
        <v>PP INJ</v>
      </c>
      <c r="L332" s="14">
        <f>VLOOKUP(J332,'USD to INR'!$B$2:$G$560,6,TRUE)</f>
        <v>66.995000000000005</v>
      </c>
      <c r="M332" s="216">
        <f t="shared" si="17"/>
        <v>1366.2213598029703</v>
      </c>
      <c r="N332" s="563">
        <f t="shared" si="15"/>
        <v>43251</v>
      </c>
    </row>
    <row r="333" spans="1:14" x14ac:dyDescent="0.25">
      <c r="A333" s="188" t="s">
        <v>530</v>
      </c>
      <c r="B333" s="188" t="s">
        <v>531</v>
      </c>
      <c r="C333" s="188" t="s">
        <v>532</v>
      </c>
      <c r="D333" s="560">
        <v>93370</v>
      </c>
      <c r="E333" s="188" t="s">
        <v>98</v>
      </c>
      <c r="F333" s="561">
        <v>1</v>
      </c>
      <c r="G333" s="188" t="s">
        <v>13</v>
      </c>
      <c r="H333" s="188" t="s">
        <v>536</v>
      </c>
      <c r="I333" s="562">
        <v>43252</v>
      </c>
      <c r="J333" s="562">
        <v>43281</v>
      </c>
      <c r="K333" s="6" t="str">
        <f t="shared" si="16"/>
        <v>PP INJ</v>
      </c>
      <c r="L333" s="14">
        <f>VLOOKUP(J333,'USD to INR'!$B$2:$G$560,6,TRUE)</f>
        <v>68.459999999999994</v>
      </c>
      <c r="M333" s="216">
        <f t="shared" si="17"/>
        <v>1363.8621092608823</v>
      </c>
      <c r="N333" s="563">
        <f t="shared" si="15"/>
        <v>43281</v>
      </c>
    </row>
    <row r="334" spans="1:14" x14ac:dyDescent="0.25">
      <c r="A334" s="188" t="s">
        <v>530</v>
      </c>
      <c r="B334" s="188" t="s">
        <v>531</v>
      </c>
      <c r="C334" s="188" t="s">
        <v>532</v>
      </c>
      <c r="D334" s="560">
        <v>93380</v>
      </c>
      <c r="E334" s="188" t="s">
        <v>98</v>
      </c>
      <c r="F334" s="561">
        <v>1</v>
      </c>
      <c r="G334" s="188" t="s">
        <v>13</v>
      </c>
      <c r="H334" s="188" t="s">
        <v>536</v>
      </c>
      <c r="I334" s="562">
        <v>43282</v>
      </c>
      <c r="J334" s="562">
        <v>43292</v>
      </c>
      <c r="K334" s="6" t="str">
        <f t="shared" si="16"/>
        <v>PP INJ</v>
      </c>
      <c r="L334" s="14">
        <f>VLOOKUP(J334,'USD to INR'!$B$2:$G$560,6,TRUE)</f>
        <v>68.5</v>
      </c>
      <c r="M334" s="216">
        <f t="shared" si="17"/>
        <v>1363.2116788321168</v>
      </c>
      <c r="N334" s="563">
        <f t="shared" si="15"/>
        <v>43292</v>
      </c>
    </row>
    <row r="335" spans="1:14" x14ac:dyDescent="0.25">
      <c r="A335" s="188" t="s">
        <v>530</v>
      </c>
      <c r="B335" s="188" t="s">
        <v>531</v>
      </c>
      <c r="C335" s="188" t="s">
        <v>532</v>
      </c>
      <c r="D335" s="560">
        <v>91990</v>
      </c>
      <c r="E335" s="188" t="s">
        <v>98</v>
      </c>
      <c r="F335" s="561">
        <v>1</v>
      </c>
      <c r="G335" s="188" t="s">
        <v>13</v>
      </c>
      <c r="H335" s="188" t="s">
        <v>536</v>
      </c>
      <c r="I335" s="562">
        <v>43293</v>
      </c>
      <c r="J335" s="562">
        <v>43312</v>
      </c>
      <c r="K335" s="6" t="str">
        <f t="shared" si="16"/>
        <v>PP INJ</v>
      </c>
      <c r="L335" s="14">
        <f>VLOOKUP(J335,'USD to INR'!$B$2:$G$560,6,TRUE)</f>
        <v>68.545000000000002</v>
      </c>
      <c r="M335" s="216">
        <f t="shared" si="17"/>
        <v>1342.0380771755781</v>
      </c>
      <c r="N335" s="563">
        <f t="shared" si="15"/>
        <v>43312</v>
      </c>
    </row>
    <row r="336" spans="1:14" x14ac:dyDescent="0.25">
      <c r="A336" s="188" t="s">
        <v>530</v>
      </c>
      <c r="B336" s="188" t="s">
        <v>531</v>
      </c>
      <c r="C336" s="188" t="s">
        <v>532</v>
      </c>
      <c r="D336" s="560">
        <v>90140</v>
      </c>
      <c r="E336" s="188" t="s">
        <v>98</v>
      </c>
      <c r="F336" s="561">
        <v>1</v>
      </c>
      <c r="G336" s="188" t="s">
        <v>13</v>
      </c>
      <c r="H336" s="188" t="s">
        <v>536</v>
      </c>
      <c r="I336" s="562">
        <v>43313</v>
      </c>
      <c r="J336" s="562">
        <v>43343</v>
      </c>
      <c r="K336" s="6" t="str">
        <f t="shared" si="16"/>
        <v>PP INJ</v>
      </c>
      <c r="L336" s="14">
        <f>VLOOKUP(J336,'USD to INR'!$B$2:$G$560,6,TRUE)</f>
        <v>71.004999999999995</v>
      </c>
      <c r="M336" s="216">
        <f t="shared" si="17"/>
        <v>1269.4880642208295</v>
      </c>
      <c r="N336" s="563">
        <f t="shared" si="15"/>
        <v>43343</v>
      </c>
    </row>
    <row r="337" spans="1:14" x14ac:dyDescent="0.25">
      <c r="A337" s="188" t="s">
        <v>530</v>
      </c>
      <c r="B337" s="188" t="s">
        <v>531</v>
      </c>
      <c r="C337" s="188" t="s">
        <v>532</v>
      </c>
      <c r="D337" s="560">
        <v>91980</v>
      </c>
      <c r="E337" s="188" t="s">
        <v>98</v>
      </c>
      <c r="F337" s="561">
        <v>1</v>
      </c>
      <c r="G337" s="188" t="s">
        <v>13</v>
      </c>
      <c r="H337" s="188" t="s">
        <v>536</v>
      </c>
      <c r="I337" s="562">
        <v>43344</v>
      </c>
      <c r="J337" s="562">
        <v>43373</v>
      </c>
      <c r="K337" s="6" t="str">
        <f t="shared" si="16"/>
        <v>PP INJ</v>
      </c>
      <c r="L337" s="14">
        <f>VLOOKUP(J337,'USD to INR'!$B$2:$G$560,6,TRUE)</f>
        <v>73.77</v>
      </c>
      <c r="M337" s="216">
        <f t="shared" si="17"/>
        <v>1246.8483123220822</v>
      </c>
      <c r="N337" s="563">
        <f t="shared" si="15"/>
        <v>43373</v>
      </c>
    </row>
    <row r="338" spans="1:14" x14ac:dyDescent="0.25">
      <c r="A338" s="188" t="s">
        <v>530</v>
      </c>
      <c r="B338" s="188" t="s">
        <v>531</v>
      </c>
      <c r="C338" s="188" t="s">
        <v>532</v>
      </c>
      <c r="D338" s="560">
        <v>93860</v>
      </c>
      <c r="E338" s="188" t="s">
        <v>98</v>
      </c>
      <c r="F338" s="561">
        <v>1</v>
      </c>
      <c r="G338" s="188" t="s">
        <v>13</v>
      </c>
      <c r="H338" s="188" t="s">
        <v>536</v>
      </c>
      <c r="I338" s="562">
        <v>43374</v>
      </c>
      <c r="J338" s="562">
        <v>43383</v>
      </c>
      <c r="K338" s="6" t="str">
        <f t="shared" si="16"/>
        <v>PP INJ</v>
      </c>
      <c r="L338" s="14">
        <f>VLOOKUP(J338,'USD to INR'!$B$2:$G$560,6,TRUE)</f>
        <v>73.61</v>
      </c>
      <c r="M338" s="216">
        <f t="shared" si="17"/>
        <v>1275.0984920527103</v>
      </c>
      <c r="N338" s="563">
        <f t="shared" si="15"/>
        <v>43383</v>
      </c>
    </row>
    <row r="339" spans="1:14" x14ac:dyDescent="0.25">
      <c r="A339" s="188" t="s">
        <v>530</v>
      </c>
      <c r="B339" s="188" t="s">
        <v>531</v>
      </c>
      <c r="C339" s="188" t="s">
        <v>532</v>
      </c>
      <c r="D339" s="560">
        <v>95250</v>
      </c>
      <c r="E339" s="188" t="s">
        <v>98</v>
      </c>
      <c r="F339" s="561">
        <v>1</v>
      </c>
      <c r="G339" s="188" t="s">
        <v>13</v>
      </c>
      <c r="H339" s="188" t="s">
        <v>536</v>
      </c>
      <c r="I339" s="562">
        <v>43384</v>
      </c>
      <c r="J339" s="562">
        <v>43404</v>
      </c>
      <c r="K339" s="6" t="str">
        <f t="shared" si="16"/>
        <v>PP INJ</v>
      </c>
      <c r="L339" s="14">
        <f>VLOOKUP(J339,'USD to INR'!$B$2:$G$560,6,TRUE)</f>
        <v>72.44</v>
      </c>
      <c r="M339" s="216">
        <f t="shared" si="17"/>
        <v>1314.8812810601878</v>
      </c>
      <c r="N339" s="563">
        <f t="shared" si="15"/>
        <v>43404</v>
      </c>
    </row>
    <row r="340" spans="1:14" x14ac:dyDescent="0.25">
      <c r="A340" s="188" t="s">
        <v>530</v>
      </c>
      <c r="B340" s="188" t="s">
        <v>531</v>
      </c>
      <c r="C340" s="188" t="s">
        <v>532</v>
      </c>
      <c r="D340" s="560">
        <v>95250</v>
      </c>
      <c r="E340" s="188" t="s">
        <v>98</v>
      </c>
      <c r="F340" s="561">
        <v>1</v>
      </c>
      <c r="G340" s="188" t="s">
        <v>13</v>
      </c>
      <c r="H340" s="188" t="s">
        <v>536</v>
      </c>
      <c r="I340" s="562">
        <v>43405</v>
      </c>
      <c r="J340" s="562">
        <v>43418</v>
      </c>
      <c r="K340" s="6" t="str">
        <f t="shared" si="16"/>
        <v>PP INJ</v>
      </c>
      <c r="L340" s="14">
        <f>VLOOKUP(J340,'USD to INR'!$B$2:$G$560,6,TRUE)</f>
        <v>71.98</v>
      </c>
      <c r="M340" s="216">
        <f t="shared" si="17"/>
        <v>1323.2842456237843</v>
      </c>
      <c r="N340" s="563">
        <f t="shared" si="15"/>
        <v>43418</v>
      </c>
    </row>
    <row r="341" spans="1:14" x14ac:dyDescent="0.25">
      <c r="A341" s="188" t="s">
        <v>530</v>
      </c>
      <c r="B341" s="188" t="s">
        <v>531</v>
      </c>
      <c r="C341" s="188" t="s">
        <v>532</v>
      </c>
      <c r="D341" s="560">
        <v>92480</v>
      </c>
      <c r="E341" s="188" t="s">
        <v>98</v>
      </c>
      <c r="F341" s="561">
        <v>1</v>
      </c>
      <c r="G341" s="188" t="s">
        <v>13</v>
      </c>
      <c r="H341" s="188" t="s">
        <v>536</v>
      </c>
      <c r="I341" s="562">
        <v>43419</v>
      </c>
      <c r="J341" s="562">
        <v>43425</v>
      </c>
      <c r="K341" s="6" t="str">
        <f t="shared" si="16"/>
        <v>PP INJ</v>
      </c>
      <c r="L341" s="14">
        <f>VLOOKUP(J341,'USD to INR'!$B$2:$G$560,6,TRUE)</f>
        <v>70.655000000000001</v>
      </c>
      <c r="M341" s="216">
        <f t="shared" si="17"/>
        <v>1308.8953364942324</v>
      </c>
      <c r="N341" s="563">
        <f t="shared" si="15"/>
        <v>43425</v>
      </c>
    </row>
    <row r="342" spans="1:14" x14ac:dyDescent="0.25">
      <c r="A342" s="188" t="s">
        <v>530</v>
      </c>
      <c r="B342" s="188" t="s">
        <v>531</v>
      </c>
      <c r="C342" s="188" t="s">
        <v>532</v>
      </c>
      <c r="D342" s="560">
        <v>86940</v>
      </c>
      <c r="E342" s="188" t="s">
        <v>98</v>
      </c>
      <c r="F342" s="561">
        <v>1</v>
      </c>
      <c r="G342" s="188" t="s">
        <v>13</v>
      </c>
      <c r="H342" s="188" t="s">
        <v>536</v>
      </c>
      <c r="I342" s="562">
        <v>43426</v>
      </c>
      <c r="J342" s="562">
        <v>43434</v>
      </c>
      <c r="K342" s="6" t="str">
        <f t="shared" si="16"/>
        <v>PP INJ</v>
      </c>
      <c r="L342" s="14">
        <f>VLOOKUP(J342,'USD to INR'!$B$2:$G$560,6,TRUE)</f>
        <v>69.650000000000006</v>
      </c>
      <c r="M342" s="216">
        <f t="shared" si="17"/>
        <v>1248.2412060301506</v>
      </c>
      <c r="N342" s="563">
        <f t="shared" si="15"/>
        <v>43434</v>
      </c>
    </row>
    <row r="343" spans="1:14" x14ac:dyDescent="0.25">
      <c r="A343" s="188" t="s">
        <v>530</v>
      </c>
      <c r="B343" s="188" t="s">
        <v>531</v>
      </c>
      <c r="C343" s="188" t="s">
        <v>532</v>
      </c>
      <c r="D343" s="560">
        <v>79530</v>
      </c>
      <c r="E343" s="188" t="s">
        <v>98</v>
      </c>
      <c r="F343" s="561">
        <v>1</v>
      </c>
      <c r="G343" s="188" t="s">
        <v>13</v>
      </c>
      <c r="H343" s="188" t="s">
        <v>536</v>
      </c>
      <c r="I343" s="562">
        <v>43435</v>
      </c>
      <c r="J343" s="562">
        <v>43465</v>
      </c>
      <c r="K343" s="6" t="str">
        <f t="shared" si="16"/>
        <v>PP INJ</v>
      </c>
      <c r="L343" s="14">
        <f>VLOOKUP(J343,'USD to INR'!$B$2:$G$560,6,TRUE)</f>
        <v>69.55</v>
      </c>
      <c r="M343" s="216">
        <f t="shared" si="17"/>
        <v>1143.4938892882819</v>
      </c>
      <c r="N343" s="563">
        <f t="shared" si="15"/>
        <v>43465</v>
      </c>
    </row>
    <row r="344" spans="1:14" x14ac:dyDescent="0.25">
      <c r="A344" s="188" t="s">
        <v>530</v>
      </c>
      <c r="B344" s="188" t="s">
        <v>531</v>
      </c>
      <c r="C344" s="188" t="s">
        <v>532</v>
      </c>
      <c r="D344" s="560">
        <v>79655</v>
      </c>
      <c r="E344" s="188" t="s">
        <v>98</v>
      </c>
      <c r="F344" s="561">
        <v>1</v>
      </c>
      <c r="G344" s="188" t="s">
        <v>13</v>
      </c>
      <c r="H344" s="188" t="s">
        <v>536</v>
      </c>
      <c r="I344" s="562">
        <v>43466</v>
      </c>
      <c r="J344" s="562">
        <v>43474</v>
      </c>
      <c r="K344" s="6" t="str">
        <f t="shared" si="16"/>
        <v>PP INJ</v>
      </c>
      <c r="L344" s="14">
        <f>VLOOKUP(J344,'USD to INR'!$B$2:$G$560,6,TRUE)</f>
        <v>70.399000000000001</v>
      </c>
      <c r="M344" s="216">
        <f t="shared" si="17"/>
        <v>1131.4791403286979</v>
      </c>
      <c r="N344" s="563">
        <f t="shared" si="15"/>
        <v>43474</v>
      </c>
    </row>
    <row r="345" spans="1:14" x14ac:dyDescent="0.25">
      <c r="A345" s="188" t="s">
        <v>530</v>
      </c>
      <c r="B345" s="188" t="s">
        <v>531</v>
      </c>
      <c r="C345" s="188" t="s">
        <v>532</v>
      </c>
      <c r="D345" s="560">
        <v>79655</v>
      </c>
      <c r="E345" s="188" t="s">
        <v>98</v>
      </c>
      <c r="F345" s="561">
        <v>1</v>
      </c>
      <c r="G345" s="188" t="s">
        <v>13</v>
      </c>
      <c r="H345" s="188" t="s">
        <v>536</v>
      </c>
      <c r="I345" s="562">
        <v>43475</v>
      </c>
      <c r="J345" s="562">
        <v>43496</v>
      </c>
      <c r="K345" s="6" t="str">
        <f t="shared" si="16"/>
        <v>PP INJ</v>
      </c>
      <c r="L345" s="14">
        <f>VLOOKUP(J345,'USD to INR'!$B$2:$G$560,6,TRUE)</f>
        <v>71.435000000000002</v>
      </c>
      <c r="M345" s="216">
        <f t="shared" si="17"/>
        <v>1115.0696437320642</v>
      </c>
      <c r="N345" s="563">
        <f t="shared" si="15"/>
        <v>43496</v>
      </c>
    </row>
    <row r="346" spans="1:14" x14ac:dyDescent="0.25">
      <c r="A346" s="188" t="s">
        <v>530</v>
      </c>
      <c r="B346" s="188" t="s">
        <v>531</v>
      </c>
      <c r="C346" s="188" t="s">
        <v>532</v>
      </c>
      <c r="D346" s="560">
        <v>81135</v>
      </c>
      <c r="E346" s="188" t="s">
        <v>98</v>
      </c>
      <c r="F346" s="561">
        <v>1</v>
      </c>
      <c r="G346" s="188" t="s">
        <v>13</v>
      </c>
      <c r="H346" s="188" t="s">
        <v>536</v>
      </c>
      <c r="I346" s="562">
        <v>43497</v>
      </c>
      <c r="J346" s="562">
        <v>43516</v>
      </c>
      <c r="K346" s="6" t="str">
        <f t="shared" si="16"/>
        <v>PP INJ</v>
      </c>
      <c r="L346" s="14">
        <f>VLOOKUP(J346,'USD to INR'!$B$2:$G$560,6,TRUE)</f>
        <v>71.034999999999997</v>
      </c>
      <c r="M346" s="216">
        <f t="shared" si="17"/>
        <v>1142.1834307031745</v>
      </c>
      <c r="N346" s="563">
        <f t="shared" si="15"/>
        <v>43516</v>
      </c>
    </row>
    <row r="347" spans="1:14" x14ac:dyDescent="0.25">
      <c r="A347" s="188" t="s">
        <v>530</v>
      </c>
      <c r="B347" s="188" t="s">
        <v>531</v>
      </c>
      <c r="C347" s="188" t="s">
        <v>532</v>
      </c>
      <c r="D347" s="560">
        <v>82515</v>
      </c>
      <c r="E347" s="188" t="s">
        <v>98</v>
      </c>
      <c r="F347" s="561">
        <v>1</v>
      </c>
      <c r="G347" s="188" t="s">
        <v>13</v>
      </c>
      <c r="H347" s="188" t="s">
        <v>536</v>
      </c>
      <c r="I347" s="562">
        <v>43517</v>
      </c>
      <c r="J347" s="562">
        <v>43524</v>
      </c>
      <c r="K347" s="6" t="str">
        <f t="shared" si="16"/>
        <v>PP INJ</v>
      </c>
      <c r="L347" s="14">
        <f>VLOOKUP(J347,'USD to INR'!$B$2:$G$560,6,TRUE)</f>
        <v>71</v>
      </c>
      <c r="M347" s="216">
        <f t="shared" si="17"/>
        <v>1162.1830985915492</v>
      </c>
      <c r="N347" s="563">
        <f t="shared" si="15"/>
        <v>43524</v>
      </c>
    </row>
    <row r="348" spans="1:14" x14ac:dyDescent="0.25">
      <c r="A348" s="188" t="s">
        <v>530</v>
      </c>
      <c r="B348" s="188" t="s">
        <v>531</v>
      </c>
      <c r="C348" s="188" t="s">
        <v>532</v>
      </c>
      <c r="D348" s="560">
        <v>83435</v>
      </c>
      <c r="E348" s="188" t="s">
        <v>98</v>
      </c>
      <c r="F348" s="561">
        <v>1</v>
      </c>
      <c r="G348" s="188" t="s">
        <v>13</v>
      </c>
      <c r="H348" s="188" t="s">
        <v>536</v>
      </c>
      <c r="I348" s="562">
        <v>43525</v>
      </c>
      <c r="J348" s="562">
        <v>43555</v>
      </c>
      <c r="K348" s="6" t="str">
        <f t="shared" si="16"/>
        <v>PP INJ</v>
      </c>
      <c r="L348" s="14">
        <f>VLOOKUP(J348,'USD to INR'!$B$2:$G$560,6,TRUE)</f>
        <v>69.17</v>
      </c>
      <c r="M348" s="216">
        <f t="shared" si="17"/>
        <v>1206.2310250108428</v>
      </c>
      <c r="N348" s="563">
        <f t="shared" si="15"/>
        <v>43555</v>
      </c>
    </row>
    <row r="349" spans="1:14" x14ac:dyDescent="0.25">
      <c r="A349" s="188" t="s">
        <v>530</v>
      </c>
      <c r="B349" s="188" t="s">
        <v>531</v>
      </c>
      <c r="C349" s="188" t="s">
        <v>532</v>
      </c>
      <c r="D349" s="560">
        <v>84365</v>
      </c>
      <c r="E349" s="188" t="s">
        <v>98</v>
      </c>
      <c r="F349" s="561">
        <v>1</v>
      </c>
      <c r="G349" s="188" t="s">
        <v>13</v>
      </c>
      <c r="H349" s="188" t="s">
        <v>536</v>
      </c>
      <c r="I349" s="562">
        <v>43556</v>
      </c>
      <c r="J349" s="562">
        <v>43565</v>
      </c>
      <c r="K349" s="6" t="str">
        <f t="shared" si="16"/>
        <v>PP INJ</v>
      </c>
      <c r="L349" s="14">
        <f>VLOOKUP(J349,'USD to INR'!$B$2:$G$560,6,TRUE)</f>
        <v>69.19</v>
      </c>
      <c r="M349" s="216">
        <f t="shared" si="17"/>
        <v>1219.3236016765429</v>
      </c>
      <c r="N349" s="563">
        <f t="shared" si="15"/>
        <v>43565</v>
      </c>
    </row>
    <row r="350" spans="1:14" x14ac:dyDescent="0.25">
      <c r="A350" s="188" t="s">
        <v>530</v>
      </c>
      <c r="B350" s="188" t="s">
        <v>531</v>
      </c>
      <c r="C350" s="188" t="s">
        <v>532</v>
      </c>
      <c r="D350" s="560">
        <v>85285</v>
      </c>
      <c r="E350" s="188" t="s">
        <v>98</v>
      </c>
      <c r="F350" s="561">
        <v>1</v>
      </c>
      <c r="G350" s="188" t="s">
        <v>13</v>
      </c>
      <c r="H350" s="188" t="s">
        <v>536</v>
      </c>
      <c r="I350" s="562">
        <v>43566</v>
      </c>
      <c r="J350" s="562">
        <v>43572</v>
      </c>
      <c r="K350" s="6" t="str">
        <f t="shared" si="16"/>
        <v>PP INJ</v>
      </c>
      <c r="L350" s="14">
        <f>VLOOKUP(J350,'USD to INR'!$B$2:$G$560,6,TRUE)</f>
        <v>69.406999999999996</v>
      </c>
      <c r="M350" s="216">
        <f t="shared" si="17"/>
        <v>1228.7665509242584</v>
      </c>
      <c r="N350" s="563">
        <f t="shared" si="15"/>
        <v>43572</v>
      </c>
    </row>
    <row r="351" spans="1:14" x14ac:dyDescent="0.25">
      <c r="A351" s="188" t="s">
        <v>530</v>
      </c>
      <c r="B351" s="188" t="s">
        <v>531</v>
      </c>
      <c r="C351" s="188" t="s">
        <v>532</v>
      </c>
      <c r="D351" s="560">
        <v>86215</v>
      </c>
      <c r="E351" s="188" t="s">
        <v>98</v>
      </c>
      <c r="F351" s="561">
        <v>1</v>
      </c>
      <c r="G351" s="188" t="s">
        <v>13</v>
      </c>
      <c r="H351" s="188" t="s">
        <v>536</v>
      </c>
      <c r="I351" s="562">
        <v>43573</v>
      </c>
      <c r="J351" s="562">
        <v>43579</v>
      </c>
      <c r="K351" s="6" t="str">
        <f t="shared" si="16"/>
        <v>PP INJ</v>
      </c>
      <c r="L351" s="14">
        <f>VLOOKUP(J351,'USD to INR'!$B$2:$G$560,6,TRUE)</f>
        <v>69.849999999999994</v>
      </c>
      <c r="M351" s="216">
        <f t="shared" si="17"/>
        <v>1234.28775948461</v>
      </c>
      <c r="N351" s="563">
        <f t="shared" si="15"/>
        <v>43579</v>
      </c>
    </row>
    <row r="352" spans="1:14" x14ac:dyDescent="0.25">
      <c r="A352" s="188" t="s">
        <v>530</v>
      </c>
      <c r="B352" s="188" t="s">
        <v>531</v>
      </c>
      <c r="C352" s="188" t="s">
        <v>532</v>
      </c>
      <c r="D352" s="560">
        <v>88055</v>
      </c>
      <c r="E352" s="188" t="s">
        <v>98</v>
      </c>
      <c r="F352" s="561">
        <v>1</v>
      </c>
      <c r="G352" s="188" t="s">
        <v>13</v>
      </c>
      <c r="H352" s="188" t="s">
        <v>536</v>
      </c>
      <c r="I352" s="562">
        <v>43580</v>
      </c>
      <c r="J352" s="562">
        <v>43585</v>
      </c>
      <c r="K352" s="6" t="str">
        <f t="shared" si="16"/>
        <v>PP INJ</v>
      </c>
      <c r="L352" s="14">
        <f>VLOOKUP(J352,'USD to INR'!$B$2:$G$560,6,TRUE)</f>
        <v>69.094999999999999</v>
      </c>
      <c r="M352" s="216">
        <f t="shared" si="17"/>
        <v>1274.4048049786527</v>
      </c>
      <c r="N352" s="563">
        <f t="shared" si="15"/>
        <v>43585</v>
      </c>
    </row>
    <row r="353" spans="1:14" x14ac:dyDescent="0.25">
      <c r="A353" s="188" t="s">
        <v>530</v>
      </c>
      <c r="B353" s="188" t="s">
        <v>531</v>
      </c>
      <c r="C353" s="188" t="s">
        <v>532</v>
      </c>
      <c r="D353" s="560">
        <v>87955</v>
      </c>
      <c r="E353" s="188" t="s">
        <v>98</v>
      </c>
      <c r="F353" s="561">
        <v>1</v>
      </c>
      <c r="G353" s="188" t="s">
        <v>13</v>
      </c>
      <c r="H353" s="188" t="s">
        <v>536</v>
      </c>
      <c r="I353" s="562">
        <v>43586</v>
      </c>
      <c r="J353" s="562">
        <v>43593</v>
      </c>
      <c r="K353" s="6" t="str">
        <f t="shared" si="16"/>
        <v>PP INJ</v>
      </c>
      <c r="L353" s="14">
        <f>VLOOKUP(J353,'USD to INR'!$B$2:$G$560,6,TRUE)</f>
        <v>70.015000000000001</v>
      </c>
      <c r="M353" s="216">
        <f t="shared" si="17"/>
        <v>1256.2308076840677</v>
      </c>
      <c r="N353" s="563">
        <f t="shared" si="15"/>
        <v>43593</v>
      </c>
    </row>
    <row r="354" spans="1:14" x14ac:dyDescent="0.25">
      <c r="A354" s="188" t="s">
        <v>530</v>
      </c>
      <c r="B354" s="188" t="s">
        <v>531</v>
      </c>
      <c r="C354" s="188" t="s">
        <v>532</v>
      </c>
      <c r="D354" s="560">
        <v>87955</v>
      </c>
      <c r="E354" s="188" t="s">
        <v>98</v>
      </c>
      <c r="F354" s="561">
        <v>1</v>
      </c>
      <c r="G354" s="188" t="s">
        <v>13</v>
      </c>
      <c r="H354" s="188" t="s">
        <v>536</v>
      </c>
      <c r="I354" s="562">
        <v>43594</v>
      </c>
      <c r="J354" s="562">
        <v>43616</v>
      </c>
      <c r="K354" s="6" t="str">
        <f t="shared" si="16"/>
        <v>PP INJ</v>
      </c>
      <c r="L354" s="14">
        <f>VLOOKUP(J354,'USD to INR'!$B$2:$G$560,6,TRUE)</f>
        <v>69.58</v>
      </c>
      <c r="M354" s="216">
        <f t="shared" si="17"/>
        <v>1264.0845070422536</v>
      </c>
      <c r="N354" s="563">
        <f t="shared" si="15"/>
        <v>43616</v>
      </c>
    </row>
    <row r="355" spans="1:14" x14ac:dyDescent="0.25">
      <c r="A355" s="188" t="s">
        <v>530</v>
      </c>
      <c r="B355" s="188" t="s">
        <v>531</v>
      </c>
      <c r="C355" s="188" t="s">
        <v>532</v>
      </c>
      <c r="D355" s="560">
        <v>86107</v>
      </c>
      <c r="E355" s="188" t="s">
        <v>98</v>
      </c>
      <c r="F355" s="561">
        <v>1</v>
      </c>
      <c r="G355" s="188" t="s">
        <v>13</v>
      </c>
      <c r="H355" s="188" t="s">
        <v>536</v>
      </c>
      <c r="I355" s="562">
        <v>43617</v>
      </c>
      <c r="J355" s="562">
        <v>43628</v>
      </c>
      <c r="K355" s="6" t="str">
        <f t="shared" si="16"/>
        <v>PP INJ</v>
      </c>
      <c r="L355" s="14">
        <f>VLOOKUP(J355,'USD to INR'!$B$2:$G$560,6,TRUE)</f>
        <v>69.832999999999998</v>
      </c>
      <c r="M355" s="216">
        <f t="shared" si="17"/>
        <v>1233.0416851631751</v>
      </c>
      <c r="N355" s="563">
        <f t="shared" si="15"/>
        <v>43628</v>
      </c>
    </row>
    <row r="356" spans="1:14" x14ac:dyDescent="0.25">
      <c r="A356" s="188" t="s">
        <v>530</v>
      </c>
      <c r="B356" s="188" t="s">
        <v>531</v>
      </c>
      <c r="C356" s="188" t="s">
        <v>532</v>
      </c>
      <c r="D356" s="560">
        <v>84267</v>
      </c>
      <c r="E356" s="188" t="s">
        <v>98</v>
      </c>
      <c r="F356" s="561">
        <v>1</v>
      </c>
      <c r="G356" s="188" t="s">
        <v>13</v>
      </c>
      <c r="H356" s="188" t="s">
        <v>536</v>
      </c>
      <c r="I356" s="562">
        <v>43629</v>
      </c>
      <c r="J356" s="562">
        <v>43635</v>
      </c>
      <c r="K356" s="6" t="str">
        <f t="shared" si="16"/>
        <v>PP INJ</v>
      </c>
      <c r="L356" s="14">
        <f>VLOOKUP(J356,'USD to INR'!$B$2:$G$560,6,TRUE)</f>
        <v>69.614999999999995</v>
      </c>
      <c r="M356" s="216">
        <f t="shared" si="17"/>
        <v>1210.4718810601164</v>
      </c>
      <c r="N356" s="563">
        <f t="shared" si="15"/>
        <v>43635</v>
      </c>
    </row>
    <row r="357" spans="1:14" x14ac:dyDescent="0.25">
      <c r="A357" s="188" t="s">
        <v>530</v>
      </c>
      <c r="B357" s="188" t="s">
        <v>531</v>
      </c>
      <c r="C357" s="188" t="s">
        <v>532</v>
      </c>
      <c r="D357" s="560">
        <v>81490</v>
      </c>
      <c r="E357" s="188" t="s">
        <v>98</v>
      </c>
      <c r="F357" s="561">
        <v>1</v>
      </c>
      <c r="G357" s="188" t="s">
        <v>13</v>
      </c>
      <c r="H357" s="188" t="s">
        <v>536</v>
      </c>
      <c r="I357" s="562">
        <v>43636</v>
      </c>
      <c r="J357" s="562">
        <v>43646</v>
      </c>
      <c r="K357" s="6" t="str">
        <f t="shared" si="16"/>
        <v>PP INJ</v>
      </c>
      <c r="L357" s="14">
        <f>VLOOKUP(J357,'USD to INR'!$B$2:$G$560,6,TRUE)</f>
        <v>68.45</v>
      </c>
      <c r="M357" s="216">
        <f t="shared" si="17"/>
        <v>1190.5040175310446</v>
      </c>
      <c r="N357" s="563">
        <f t="shared" si="15"/>
        <v>43646</v>
      </c>
    </row>
    <row r="358" spans="1:14" x14ac:dyDescent="0.25">
      <c r="A358" s="188" t="s">
        <v>530</v>
      </c>
      <c r="B358" s="188" t="s">
        <v>531</v>
      </c>
      <c r="C358" s="188" t="s">
        <v>532</v>
      </c>
      <c r="D358" s="560">
        <v>81420</v>
      </c>
      <c r="E358" s="188" t="s">
        <v>98</v>
      </c>
      <c r="F358" s="561">
        <v>1</v>
      </c>
      <c r="G358" s="188" t="s">
        <v>13</v>
      </c>
      <c r="H358" s="188" t="s">
        <v>536</v>
      </c>
      <c r="I358" s="562">
        <v>43647</v>
      </c>
      <c r="J358" s="562">
        <v>43656</v>
      </c>
      <c r="K358" s="6" t="str">
        <f t="shared" si="16"/>
        <v>PP INJ</v>
      </c>
      <c r="L358" s="14">
        <f>VLOOKUP(J358,'USD to INR'!$B$2:$G$560,6,TRUE)</f>
        <v>68.56</v>
      </c>
      <c r="M358" s="216">
        <f t="shared" si="17"/>
        <v>1187.5729288214702</v>
      </c>
      <c r="N358" s="563">
        <f t="shared" si="15"/>
        <v>43656</v>
      </c>
    </row>
    <row r="359" spans="1:14" x14ac:dyDescent="0.25">
      <c r="A359" s="188" t="s">
        <v>530</v>
      </c>
      <c r="B359" s="188" t="s">
        <v>531</v>
      </c>
      <c r="C359" s="188" t="s">
        <v>532</v>
      </c>
      <c r="D359" s="560">
        <v>82810</v>
      </c>
      <c r="E359" s="188" t="s">
        <v>98</v>
      </c>
      <c r="F359" s="561">
        <v>1</v>
      </c>
      <c r="G359" s="188" t="s">
        <v>13</v>
      </c>
      <c r="H359" s="188" t="s">
        <v>536</v>
      </c>
      <c r="I359" s="562">
        <v>43657</v>
      </c>
      <c r="J359" s="562">
        <v>43677</v>
      </c>
      <c r="K359" s="6" t="str">
        <f t="shared" si="16"/>
        <v>PP INJ</v>
      </c>
      <c r="L359" s="14">
        <f>VLOOKUP(J359,'USD to INR'!$B$2:$G$560,6,TRUE)</f>
        <v>69.7</v>
      </c>
      <c r="M359" s="216">
        <f t="shared" si="17"/>
        <v>1188.0918220946915</v>
      </c>
      <c r="N359" s="563">
        <f t="shared" si="15"/>
        <v>43677</v>
      </c>
    </row>
    <row r="360" spans="1:14" x14ac:dyDescent="0.25">
      <c r="A360" s="188" t="s">
        <v>530</v>
      </c>
      <c r="B360" s="188" t="s">
        <v>531</v>
      </c>
      <c r="C360" s="188" t="s">
        <v>532</v>
      </c>
      <c r="D360" s="560">
        <v>82810</v>
      </c>
      <c r="E360" s="188" t="s">
        <v>98</v>
      </c>
      <c r="F360" s="561">
        <v>1</v>
      </c>
      <c r="G360" s="188" t="s">
        <v>13</v>
      </c>
      <c r="H360" s="188" t="s">
        <v>536</v>
      </c>
      <c r="I360" s="562">
        <v>43678</v>
      </c>
      <c r="J360" s="562">
        <v>43684</v>
      </c>
      <c r="K360" s="6" t="str">
        <f t="shared" si="16"/>
        <v>PP INJ</v>
      </c>
      <c r="L360" s="14">
        <f>VLOOKUP(J360,'USD to INR'!$B$2:$G$560,6,TRUE)</f>
        <v>70.924000000000007</v>
      </c>
      <c r="M360" s="216">
        <f t="shared" si="17"/>
        <v>1167.5878405053295</v>
      </c>
      <c r="N360" s="563">
        <f t="shared" si="15"/>
        <v>43684</v>
      </c>
    </row>
    <row r="361" spans="1:14" x14ac:dyDescent="0.25">
      <c r="A361" s="188" t="s">
        <v>530</v>
      </c>
      <c r="B361" s="188" t="s">
        <v>531</v>
      </c>
      <c r="C361" s="188" t="s">
        <v>532</v>
      </c>
      <c r="D361" s="560">
        <v>84190</v>
      </c>
      <c r="E361" s="188" t="s">
        <v>98</v>
      </c>
      <c r="F361" s="561">
        <v>1</v>
      </c>
      <c r="G361" s="188" t="s">
        <v>13</v>
      </c>
      <c r="H361" s="188" t="s">
        <v>536</v>
      </c>
      <c r="I361" s="562">
        <v>43685</v>
      </c>
      <c r="J361" s="562">
        <v>43708</v>
      </c>
      <c r="K361" s="6" t="str">
        <f t="shared" si="16"/>
        <v>PP INJ</v>
      </c>
      <c r="L361" s="14">
        <f>VLOOKUP(J361,'USD to INR'!$B$2:$G$560,6,TRUE)</f>
        <v>71.453000000000003</v>
      </c>
      <c r="M361" s="216">
        <f t="shared" si="17"/>
        <v>1178.2570360936559</v>
      </c>
      <c r="N361" s="563">
        <f t="shared" si="15"/>
        <v>43708</v>
      </c>
    </row>
    <row r="362" spans="1:14" x14ac:dyDescent="0.25">
      <c r="A362" s="188" t="s">
        <v>530</v>
      </c>
      <c r="B362" s="188" t="s">
        <v>531</v>
      </c>
      <c r="C362" s="188" t="s">
        <v>532</v>
      </c>
      <c r="D362" s="560">
        <v>85120</v>
      </c>
      <c r="E362" s="188" t="s">
        <v>98</v>
      </c>
      <c r="F362" s="561">
        <v>1</v>
      </c>
      <c r="G362" s="188" t="s">
        <v>13</v>
      </c>
      <c r="H362" s="188" t="s">
        <v>536</v>
      </c>
      <c r="I362" s="562">
        <v>43709</v>
      </c>
      <c r="J362" s="562">
        <v>43726</v>
      </c>
      <c r="K362" s="6" t="str">
        <f t="shared" si="16"/>
        <v>PP INJ</v>
      </c>
      <c r="L362" s="14">
        <f>VLOOKUP(J362,'USD to INR'!$B$2:$G$560,6,TRUE)</f>
        <v>71.075000000000003</v>
      </c>
      <c r="M362" s="216">
        <f t="shared" si="17"/>
        <v>1197.6081603939499</v>
      </c>
      <c r="N362" s="563">
        <f t="shared" si="15"/>
        <v>43726</v>
      </c>
    </row>
    <row r="363" spans="1:14" x14ac:dyDescent="0.25">
      <c r="A363" s="188" t="s">
        <v>530</v>
      </c>
      <c r="B363" s="188" t="s">
        <v>531</v>
      </c>
      <c r="C363" s="188" t="s">
        <v>532</v>
      </c>
      <c r="D363" s="560">
        <v>86040</v>
      </c>
      <c r="E363" s="188" t="s">
        <v>98</v>
      </c>
      <c r="F363" s="561">
        <v>1</v>
      </c>
      <c r="G363" s="188" t="s">
        <v>13</v>
      </c>
      <c r="H363" s="188" t="s">
        <v>536</v>
      </c>
      <c r="I363" s="562">
        <v>43727</v>
      </c>
      <c r="J363" s="562">
        <v>43738</v>
      </c>
      <c r="K363" s="6" t="str">
        <f t="shared" si="16"/>
        <v>PP INJ</v>
      </c>
      <c r="L363" s="14">
        <f>VLOOKUP(J363,'USD to INR'!$B$2:$G$560,6,TRUE)</f>
        <v>70.825000000000003</v>
      </c>
      <c r="M363" s="216">
        <f t="shared" si="17"/>
        <v>1214.8252735615954</v>
      </c>
      <c r="N363" s="563">
        <f t="shared" si="15"/>
        <v>43738</v>
      </c>
    </row>
    <row r="364" spans="1:14" x14ac:dyDescent="0.25">
      <c r="A364" s="188" t="s">
        <v>530</v>
      </c>
      <c r="B364" s="188" t="s">
        <v>531</v>
      </c>
      <c r="C364" s="188" t="s">
        <v>532</v>
      </c>
      <c r="D364" s="560">
        <v>86040</v>
      </c>
      <c r="E364" s="188" t="s">
        <v>98</v>
      </c>
      <c r="F364" s="561">
        <v>1</v>
      </c>
      <c r="G364" s="188" t="s">
        <v>13</v>
      </c>
      <c r="H364" s="188" t="s">
        <v>536</v>
      </c>
      <c r="I364" s="562">
        <v>43739</v>
      </c>
      <c r="J364" s="562">
        <v>43747</v>
      </c>
      <c r="K364" s="6" t="str">
        <f t="shared" si="16"/>
        <v>PP INJ</v>
      </c>
      <c r="L364" s="14">
        <f>VLOOKUP(J364,'USD to INR'!$B$2:$G$560,6,TRUE)</f>
        <v>70.924000000000007</v>
      </c>
      <c r="M364" s="216">
        <f t="shared" si="17"/>
        <v>1213.1295471208616</v>
      </c>
      <c r="N364" s="563">
        <f t="shared" si="15"/>
        <v>43747</v>
      </c>
    </row>
    <row r="365" spans="1:14" x14ac:dyDescent="0.25">
      <c r="A365" s="188" t="s">
        <v>530</v>
      </c>
      <c r="B365" s="188" t="s">
        <v>531</v>
      </c>
      <c r="C365" s="188" t="s">
        <v>532</v>
      </c>
      <c r="D365" s="560">
        <v>83270</v>
      </c>
      <c r="E365" s="188" t="s">
        <v>98</v>
      </c>
      <c r="F365" s="561">
        <v>1</v>
      </c>
      <c r="G365" s="188" t="s">
        <v>13</v>
      </c>
      <c r="H365" s="188" t="s">
        <v>536</v>
      </c>
      <c r="I365" s="562">
        <v>43748</v>
      </c>
      <c r="J365" s="562">
        <v>43754</v>
      </c>
      <c r="K365" s="6" t="str">
        <f t="shared" si="16"/>
        <v>PP INJ</v>
      </c>
      <c r="L365" s="14">
        <f>VLOOKUP(J365,'USD to INR'!$B$2:$G$560,6,TRUE)</f>
        <v>71.09</v>
      </c>
      <c r="M365" s="216">
        <f t="shared" si="17"/>
        <v>1171.3321142214095</v>
      </c>
      <c r="N365" s="563">
        <f t="shared" si="15"/>
        <v>43754</v>
      </c>
    </row>
    <row r="366" spans="1:14" x14ac:dyDescent="0.25">
      <c r="A366" s="188" t="s">
        <v>530</v>
      </c>
      <c r="B366" s="188" t="s">
        <v>531</v>
      </c>
      <c r="C366" s="188" t="s">
        <v>532</v>
      </c>
      <c r="D366" s="560">
        <v>80490</v>
      </c>
      <c r="E366" s="188" t="s">
        <v>98</v>
      </c>
      <c r="F366" s="561">
        <v>1</v>
      </c>
      <c r="G366" s="188" t="s">
        <v>13</v>
      </c>
      <c r="H366" s="188" t="s">
        <v>536</v>
      </c>
      <c r="I366" s="562">
        <v>43755</v>
      </c>
      <c r="J366" s="562">
        <v>43769</v>
      </c>
      <c r="K366" s="6" t="str">
        <f t="shared" si="16"/>
        <v>PP INJ</v>
      </c>
      <c r="L366" s="14">
        <f>VLOOKUP(J366,'USD to INR'!$B$2:$G$560,6,TRUE)</f>
        <v>70.760000000000005</v>
      </c>
      <c r="M366" s="216">
        <f t="shared" si="17"/>
        <v>1137.5070661390616</v>
      </c>
      <c r="N366" s="563">
        <f t="shared" si="15"/>
        <v>43769</v>
      </c>
    </row>
    <row r="367" spans="1:14" x14ac:dyDescent="0.25">
      <c r="A367" s="188" t="s">
        <v>530</v>
      </c>
      <c r="B367" s="188" t="s">
        <v>531</v>
      </c>
      <c r="C367" s="188" t="s">
        <v>532</v>
      </c>
      <c r="D367" s="560">
        <v>79570</v>
      </c>
      <c r="E367" s="188" t="s">
        <v>98</v>
      </c>
      <c r="F367" s="561">
        <v>1</v>
      </c>
      <c r="G367" s="188" t="s">
        <v>13</v>
      </c>
      <c r="H367" s="188" t="s">
        <v>536</v>
      </c>
      <c r="I367" s="562">
        <v>43770</v>
      </c>
      <c r="J367" s="562">
        <v>43775</v>
      </c>
      <c r="K367" s="6" t="str">
        <f t="shared" si="16"/>
        <v>PP INJ</v>
      </c>
      <c r="L367" s="14">
        <f>VLOOKUP(J367,'USD to INR'!$B$2:$G$560,6,TRUE)</f>
        <v>71.36</v>
      </c>
      <c r="M367" s="216">
        <f t="shared" si="17"/>
        <v>1115.0504484304934</v>
      </c>
      <c r="N367" s="563">
        <f t="shared" si="15"/>
        <v>43775</v>
      </c>
    </row>
    <row r="368" spans="1:14" x14ac:dyDescent="0.25">
      <c r="A368" s="188" t="s">
        <v>530</v>
      </c>
      <c r="B368" s="188" t="s">
        <v>531</v>
      </c>
      <c r="C368" s="188" t="s">
        <v>532</v>
      </c>
      <c r="D368" s="560">
        <v>77730</v>
      </c>
      <c r="E368" s="188" t="s">
        <v>98</v>
      </c>
      <c r="F368" s="561">
        <v>1</v>
      </c>
      <c r="G368" s="188" t="s">
        <v>13</v>
      </c>
      <c r="H368" s="188" t="s">
        <v>536</v>
      </c>
      <c r="I368" s="562">
        <v>43776</v>
      </c>
      <c r="J368" s="562">
        <v>43789</v>
      </c>
      <c r="K368" s="6" t="str">
        <f t="shared" si="16"/>
        <v>PP INJ</v>
      </c>
      <c r="L368" s="14">
        <f>VLOOKUP(J368,'USD to INR'!$B$2:$G$560,6,TRUE)</f>
        <v>71.792000000000002</v>
      </c>
      <c r="M368" s="216">
        <f t="shared" si="17"/>
        <v>1082.7111655894807</v>
      </c>
      <c r="N368" s="563">
        <f t="shared" si="15"/>
        <v>43789</v>
      </c>
    </row>
    <row r="369" spans="1:14" x14ac:dyDescent="0.25">
      <c r="A369" s="188" t="s">
        <v>530</v>
      </c>
      <c r="B369" s="188" t="s">
        <v>531</v>
      </c>
      <c r="C369" s="188" t="s">
        <v>532</v>
      </c>
      <c r="D369" s="560">
        <v>76340</v>
      </c>
      <c r="E369" s="188" t="s">
        <v>98</v>
      </c>
      <c r="F369" s="561">
        <v>1</v>
      </c>
      <c r="G369" s="188" t="s">
        <v>13</v>
      </c>
      <c r="H369" s="188" t="s">
        <v>536</v>
      </c>
      <c r="I369" s="562">
        <v>43790</v>
      </c>
      <c r="J369" s="562">
        <v>43799</v>
      </c>
      <c r="K369" s="6" t="str">
        <f t="shared" si="16"/>
        <v>PP INJ</v>
      </c>
      <c r="L369" s="14">
        <f>VLOOKUP(J369,'USD to INR'!$B$2:$G$560,6,TRUE)</f>
        <v>71.748999999999995</v>
      </c>
      <c r="M369" s="216">
        <f t="shared" si="17"/>
        <v>1063.9869545220142</v>
      </c>
      <c r="N369" s="563">
        <f t="shared" si="15"/>
        <v>43799</v>
      </c>
    </row>
    <row r="370" spans="1:14" x14ac:dyDescent="0.25">
      <c r="A370" s="188" t="s">
        <v>530</v>
      </c>
      <c r="B370" s="188" t="s">
        <v>531</v>
      </c>
      <c r="C370" s="188" t="s">
        <v>532</v>
      </c>
      <c r="D370" s="560">
        <v>74490</v>
      </c>
      <c r="E370" s="188" t="s">
        <v>98</v>
      </c>
      <c r="F370" s="561">
        <v>1</v>
      </c>
      <c r="G370" s="188" t="s">
        <v>13</v>
      </c>
      <c r="H370" s="188" t="s">
        <v>536</v>
      </c>
      <c r="I370" s="562">
        <v>43800</v>
      </c>
      <c r="J370" s="562">
        <v>43830</v>
      </c>
      <c r="K370" s="6" t="str">
        <f t="shared" si="16"/>
        <v>PP INJ</v>
      </c>
      <c r="L370" s="14">
        <f>VLOOKUP(J370,'USD to INR'!$B$2:$G$560,6,TRUE)</f>
        <v>71.77</v>
      </c>
      <c r="M370" s="216">
        <f t="shared" si="17"/>
        <v>1037.8988435279366</v>
      </c>
      <c r="N370" s="563">
        <f t="shared" si="15"/>
        <v>43830</v>
      </c>
    </row>
    <row r="371" spans="1:14" x14ac:dyDescent="0.25">
      <c r="A371" s="188" t="s">
        <v>530</v>
      </c>
      <c r="B371" s="188" t="s">
        <v>531</v>
      </c>
      <c r="C371" s="188" t="s">
        <v>532</v>
      </c>
      <c r="D371" s="560">
        <v>74490</v>
      </c>
      <c r="E371" s="188" t="s">
        <v>98</v>
      </c>
      <c r="F371" s="561">
        <v>1</v>
      </c>
      <c r="G371" s="188" t="s">
        <v>13</v>
      </c>
      <c r="H371" s="188" t="s">
        <v>536</v>
      </c>
      <c r="I371" s="562">
        <v>43831</v>
      </c>
      <c r="J371" s="562">
        <v>43838</v>
      </c>
      <c r="K371" s="6" t="str">
        <f t="shared" si="16"/>
        <v>PP INJ</v>
      </c>
      <c r="L371" s="14">
        <f>VLOOKUP(J371,'USD to INR'!$B$2:$G$560,6,TRUE)</f>
        <v>70.959999999999994</v>
      </c>
      <c r="M371" s="216">
        <f t="shared" si="17"/>
        <v>1049.7463359639235</v>
      </c>
      <c r="N371" s="563">
        <f t="shared" si="15"/>
        <v>43838</v>
      </c>
    </row>
    <row r="372" spans="1:14" x14ac:dyDescent="0.25">
      <c r="A372" s="188" t="s">
        <v>530</v>
      </c>
      <c r="B372" s="188" t="s">
        <v>531</v>
      </c>
      <c r="C372" s="188" t="s">
        <v>532</v>
      </c>
      <c r="D372" s="560">
        <v>75410</v>
      </c>
      <c r="E372" s="188" t="s">
        <v>98</v>
      </c>
      <c r="F372" s="561">
        <v>1</v>
      </c>
      <c r="G372" s="188" t="s">
        <v>13</v>
      </c>
      <c r="H372" s="188" t="s">
        <v>536</v>
      </c>
      <c r="I372" s="562">
        <v>43839</v>
      </c>
      <c r="J372" s="562">
        <v>43861</v>
      </c>
      <c r="K372" s="6" t="str">
        <f t="shared" si="16"/>
        <v>PP INJ</v>
      </c>
      <c r="L372" s="14">
        <f>VLOOKUP(J372,'USD to INR'!$B$2:$G$560,6,TRUE)</f>
        <v>71.555000000000007</v>
      </c>
      <c r="M372" s="216">
        <f t="shared" si="17"/>
        <v>1053.8746418838655</v>
      </c>
      <c r="N372" s="563">
        <f t="shared" si="15"/>
        <v>43861</v>
      </c>
    </row>
    <row r="373" spans="1:14" x14ac:dyDescent="0.25">
      <c r="A373" s="188" t="s">
        <v>530</v>
      </c>
      <c r="B373" s="188" t="s">
        <v>531</v>
      </c>
      <c r="C373" s="188" t="s">
        <v>532</v>
      </c>
      <c r="D373" s="560">
        <v>75410</v>
      </c>
      <c r="E373" s="188" t="s">
        <v>98</v>
      </c>
      <c r="F373" s="561">
        <v>1</v>
      </c>
      <c r="G373" s="188" t="s">
        <v>13</v>
      </c>
      <c r="H373" s="188" t="s">
        <v>536</v>
      </c>
      <c r="I373" s="562">
        <v>43862</v>
      </c>
      <c r="J373" s="562">
        <v>43873</v>
      </c>
      <c r="K373" s="6" t="str">
        <f t="shared" si="16"/>
        <v>PP INJ</v>
      </c>
      <c r="L373" s="14">
        <f>VLOOKUP(J373,'USD to INR'!$B$2:$G$560,6,TRUE)</f>
        <v>71.528000000000006</v>
      </c>
      <c r="M373" s="216">
        <f t="shared" si="17"/>
        <v>1054.2724527457779</v>
      </c>
      <c r="N373" s="563">
        <f t="shared" si="15"/>
        <v>43873</v>
      </c>
    </row>
    <row r="374" spans="1:14" x14ac:dyDescent="0.25">
      <c r="A374" s="188" t="s">
        <v>530</v>
      </c>
      <c r="B374" s="188" t="s">
        <v>531</v>
      </c>
      <c r="C374" s="188" t="s">
        <v>532</v>
      </c>
      <c r="D374" s="560">
        <v>74490</v>
      </c>
      <c r="E374" s="188" t="s">
        <v>98</v>
      </c>
      <c r="F374" s="561">
        <v>1</v>
      </c>
      <c r="G374" s="188" t="s">
        <v>13</v>
      </c>
      <c r="H374" s="188" t="s">
        <v>536</v>
      </c>
      <c r="I374" s="562">
        <v>43874</v>
      </c>
      <c r="J374" s="562">
        <v>43880</v>
      </c>
      <c r="K374" s="6" t="str">
        <f t="shared" si="16"/>
        <v>PP INJ</v>
      </c>
      <c r="L374" s="14">
        <f>VLOOKUP(J374,'USD to INR'!$B$2:$G$560,6,TRUE)</f>
        <v>71.88</v>
      </c>
      <c r="M374" s="216">
        <f t="shared" si="17"/>
        <v>1036.3105175292155</v>
      </c>
      <c r="N374" s="563">
        <f t="shared" si="15"/>
        <v>43880</v>
      </c>
    </row>
    <row r="375" spans="1:14" x14ac:dyDescent="0.25">
      <c r="A375" s="188" t="s">
        <v>530</v>
      </c>
      <c r="B375" s="188" t="s">
        <v>531</v>
      </c>
      <c r="C375" s="188" t="s">
        <v>532</v>
      </c>
      <c r="D375" s="560">
        <v>73110</v>
      </c>
      <c r="E375" s="188" t="s">
        <v>98</v>
      </c>
      <c r="F375" s="561">
        <v>1</v>
      </c>
      <c r="G375" s="188" t="s">
        <v>13</v>
      </c>
      <c r="H375" s="188" t="s">
        <v>536</v>
      </c>
      <c r="I375" s="562">
        <v>43881</v>
      </c>
      <c r="J375" s="562">
        <v>43890</v>
      </c>
      <c r="K375" s="6" t="str">
        <f t="shared" si="16"/>
        <v>PP INJ</v>
      </c>
      <c r="L375" s="14">
        <f>VLOOKUP(J375,'USD to INR'!$B$2:$G$560,6,TRUE)</f>
        <v>72.539000000000001</v>
      </c>
      <c r="M375" s="216">
        <f t="shared" si="17"/>
        <v>1007.8716276761467</v>
      </c>
      <c r="N375" s="563">
        <f t="shared" si="15"/>
        <v>43890</v>
      </c>
    </row>
    <row r="376" spans="1:14" x14ac:dyDescent="0.25">
      <c r="A376" s="188" t="s">
        <v>530</v>
      </c>
      <c r="B376" s="188" t="s">
        <v>531</v>
      </c>
      <c r="C376" s="188" t="s">
        <v>532</v>
      </c>
      <c r="D376" s="560">
        <v>71740</v>
      </c>
      <c r="E376" s="188" t="s">
        <v>98</v>
      </c>
      <c r="F376" s="561">
        <v>1</v>
      </c>
      <c r="G376" s="188" t="s">
        <v>13</v>
      </c>
      <c r="H376" s="188" t="s">
        <v>536</v>
      </c>
      <c r="I376" s="562">
        <v>43891</v>
      </c>
      <c r="J376" s="562">
        <v>43908</v>
      </c>
      <c r="K376" s="6" t="str">
        <f t="shared" si="16"/>
        <v>PP INJ</v>
      </c>
      <c r="L376" s="14">
        <f>VLOOKUP(J376,'USD to INR'!$B$2:$G$560,6,TRUE)</f>
        <v>75.397999999999996</v>
      </c>
      <c r="M376" s="216">
        <f t="shared" si="17"/>
        <v>951.4841242473276</v>
      </c>
      <c r="N376" s="563">
        <f t="shared" si="15"/>
        <v>43908</v>
      </c>
    </row>
    <row r="377" spans="1:14" x14ac:dyDescent="0.25">
      <c r="A377" s="188" t="s">
        <v>530</v>
      </c>
      <c r="B377" s="188" t="s">
        <v>531</v>
      </c>
      <c r="C377" s="188" t="s">
        <v>532</v>
      </c>
      <c r="D377" s="560">
        <v>70820</v>
      </c>
      <c r="E377" s="188" t="s">
        <v>98</v>
      </c>
      <c r="F377" s="561">
        <v>1</v>
      </c>
      <c r="G377" s="188" t="s">
        <v>13</v>
      </c>
      <c r="H377" s="188" t="s">
        <v>536</v>
      </c>
      <c r="I377" s="562">
        <v>43909</v>
      </c>
      <c r="J377" s="562">
        <v>43921</v>
      </c>
      <c r="K377" s="6" t="str">
        <f t="shared" si="16"/>
        <v>PP INJ</v>
      </c>
      <c r="L377" s="14">
        <f>VLOOKUP(J377,'USD to INR'!$B$2:$G$560,6,TRUE)</f>
        <v>76.241</v>
      </c>
      <c r="M377" s="216">
        <f t="shared" si="17"/>
        <v>928.89652549153345</v>
      </c>
      <c r="N377" s="563">
        <f t="shared" si="15"/>
        <v>43921</v>
      </c>
    </row>
    <row r="378" spans="1:14" x14ac:dyDescent="0.25">
      <c r="A378" s="188" t="s">
        <v>530</v>
      </c>
      <c r="B378" s="188" t="s">
        <v>531</v>
      </c>
      <c r="C378" s="188" t="s">
        <v>532</v>
      </c>
      <c r="D378" s="560">
        <v>68060</v>
      </c>
      <c r="E378" s="188" t="s">
        <v>98</v>
      </c>
      <c r="F378" s="561">
        <v>1</v>
      </c>
      <c r="G378" s="188" t="s">
        <v>13</v>
      </c>
      <c r="H378" s="188" t="s">
        <v>536</v>
      </c>
      <c r="I378" s="562">
        <v>43922</v>
      </c>
      <c r="J378" s="562">
        <v>43930</v>
      </c>
      <c r="K378" s="6" t="str">
        <f t="shared" si="16"/>
        <v>PP INJ</v>
      </c>
      <c r="L378" s="14">
        <f>VLOOKUP(J378,'USD to INR'!$B$2:$G$560,6,TRUE)</f>
        <v>75.879000000000005</v>
      </c>
      <c r="M378" s="216">
        <f t="shared" si="17"/>
        <v>896.95436154930871</v>
      </c>
      <c r="N378" s="563">
        <f t="shared" si="15"/>
        <v>43930</v>
      </c>
    </row>
    <row r="379" spans="1:14" x14ac:dyDescent="0.25">
      <c r="A379" s="188" t="s">
        <v>530</v>
      </c>
      <c r="B379" s="188" t="s">
        <v>531</v>
      </c>
      <c r="C379" s="188" t="s">
        <v>532</v>
      </c>
      <c r="D379" s="560">
        <v>65290</v>
      </c>
      <c r="E379" s="188" t="s">
        <v>98</v>
      </c>
      <c r="F379" s="561">
        <v>1</v>
      </c>
      <c r="G379" s="188" t="s">
        <v>13</v>
      </c>
      <c r="H379" s="188" t="s">
        <v>536</v>
      </c>
      <c r="I379" s="562">
        <v>43931</v>
      </c>
      <c r="J379" s="562">
        <v>43951</v>
      </c>
      <c r="K379" s="6" t="str">
        <f t="shared" si="16"/>
        <v>PP INJ</v>
      </c>
      <c r="L379" s="14">
        <f>VLOOKUP(J379,'USD to INR'!$B$2:$G$560,6,TRUE)</f>
        <v>75.748999999999995</v>
      </c>
      <c r="M379" s="216">
        <f t="shared" si="17"/>
        <v>861.92556997452118</v>
      </c>
      <c r="N379" s="563">
        <f t="shared" si="15"/>
        <v>43951</v>
      </c>
    </row>
    <row r="380" spans="1:14" x14ac:dyDescent="0.25">
      <c r="A380" s="188" t="s">
        <v>530</v>
      </c>
      <c r="B380" s="188" t="s">
        <v>531</v>
      </c>
      <c r="C380" s="188" t="s">
        <v>532</v>
      </c>
      <c r="D380" s="560">
        <v>65290</v>
      </c>
      <c r="E380" s="188" t="s">
        <v>98</v>
      </c>
      <c r="F380" s="561">
        <v>1</v>
      </c>
      <c r="G380" s="188" t="s">
        <v>13</v>
      </c>
      <c r="H380" s="188" t="s">
        <v>536</v>
      </c>
      <c r="I380" s="562">
        <v>43952</v>
      </c>
      <c r="J380" s="562">
        <v>43964</v>
      </c>
      <c r="K380" s="6" t="str">
        <f t="shared" si="16"/>
        <v>PP INJ</v>
      </c>
      <c r="L380" s="14">
        <f>VLOOKUP(J380,'USD to INR'!$B$2:$G$560,6,TRUE)</f>
        <v>75.83</v>
      </c>
      <c r="M380" s="216">
        <f t="shared" si="17"/>
        <v>861.00487933535544</v>
      </c>
      <c r="N380" s="563">
        <f t="shared" si="15"/>
        <v>43964</v>
      </c>
    </row>
    <row r="381" spans="1:14" x14ac:dyDescent="0.25">
      <c r="A381" s="188" t="s">
        <v>530</v>
      </c>
      <c r="B381" s="188" t="s">
        <v>531</v>
      </c>
      <c r="C381" s="188" t="s">
        <v>532</v>
      </c>
      <c r="D381" s="560">
        <v>66220</v>
      </c>
      <c r="E381" s="188" t="s">
        <v>98</v>
      </c>
      <c r="F381" s="561">
        <v>1</v>
      </c>
      <c r="G381" s="188" t="s">
        <v>13</v>
      </c>
      <c r="H381" s="188" t="s">
        <v>536</v>
      </c>
      <c r="I381" s="562">
        <v>43965</v>
      </c>
      <c r="J381" s="562">
        <v>43982</v>
      </c>
      <c r="K381" s="6" t="str">
        <f t="shared" si="16"/>
        <v>PP INJ</v>
      </c>
      <c r="L381" s="14">
        <f>VLOOKUP(J381,'USD to INR'!$B$2:$G$560,6,TRUE)</f>
        <v>75.56</v>
      </c>
      <c r="M381" s="216">
        <f t="shared" si="17"/>
        <v>876.38962413975651</v>
      </c>
      <c r="N381" s="563">
        <f t="shared" si="15"/>
        <v>43982</v>
      </c>
    </row>
    <row r="382" spans="1:14" x14ac:dyDescent="0.25">
      <c r="A382" s="188" t="s">
        <v>530</v>
      </c>
      <c r="B382" s="188" t="s">
        <v>531</v>
      </c>
      <c r="C382" s="188" t="s">
        <v>532</v>
      </c>
      <c r="D382" s="560">
        <v>69000</v>
      </c>
      <c r="E382" s="188" t="s">
        <v>98</v>
      </c>
      <c r="F382" s="561">
        <v>1</v>
      </c>
      <c r="G382" s="188" t="s">
        <v>13</v>
      </c>
      <c r="H382" s="188" t="s">
        <v>536</v>
      </c>
      <c r="I382" s="562">
        <v>43983</v>
      </c>
      <c r="J382" s="562">
        <v>43992</v>
      </c>
      <c r="K382" s="6" t="str">
        <f t="shared" si="16"/>
        <v>PP INJ</v>
      </c>
      <c r="L382" s="14">
        <f>VLOOKUP(J382,'USD to INR'!$B$2:$G$560,6,TRUE)</f>
        <v>76.05</v>
      </c>
      <c r="M382" s="216">
        <f t="shared" si="17"/>
        <v>907.29783037475352</v>
      </c>
      <c r="N382" s="563">
        <f t="shared" si="15"/>
        <v>43992</v>
      </c>
    </row>
    <row r="383" spans="1:14" x14ac:dyDescent="0.25">
      <c r="A383" s="188" t="s">
        <v>530</v>
      </c>
      <c r="B383" s="188" t="s">
        <v>531</v>
      </c>
      <c r="C383" s="188" t="s">
        <v>532</v>
      </c>
      <c r="D383" s="560">
        <v>71310</v>
      </c>
      <c r="E383" s="188" t="s">
        <v>98</v>
      </c>
      <c r="F383" s="561">
        <v>1</v>
      </c>
      <c r="G383" s="188" t="s">
        <v>13</v>
      </c>
      <c r="H383" s="188" t="s">
        <v>536</v>
      </c>
      <c r="I383" s="562">
        <v>43993</v>
      </c>
      <c r="J383" s="562">
        <v>44012</v>
      </c>
      <c r="K383" s="6" t="str">
        <f t="shared" si="16"/>
        <v>PP INJ</v>
      </c>
      <c r="L383" s="14">
        <f>VLOOKUP(J383,'USD to INR'!$B$2:$G$560,6,TRUE)</f>
        <v>74.635999999999996</v>
      </c>
      <c r="M383" s="216">
        <f t="shared" si="17"/>
        <v>955.43705450452865</v>
      </c>
      <c r="N383" s="563">
        <f t="shared" si="15"/>
        <v>44012</v>
      </c>
    </row>
    <row r="384" spans="1:14" x14ac:dyDescent="0.25">
      <c r="A384" s="188" t="s">
        <v>530</v>
      </c>
      <c r="B384" s="188" t="s">
        <v>531</v>
      </c>
      <c r="C384" s="188" t="s">
        <v>532</v>
      </c>
      <c r="D384" s="560">
        <v>73130</v>
      </c>
      <c r="E384" s="188" t="s">
        <v>98</v>
      </c>
      <c r="F384" s="561">
        <v>1</v>
      </c>
      <c r="G384" s="188" t="s">
        <v>13</v>
      </c>
      <c r="H384" s="188" t="s">
        <v>536</v>
      </c>
      <c r="I384" s="562">
        <v>44013</v>
      </c>
      <c r="J384" s="562">
        <v>44027</v>
      </c>
      <c r="K384" s="6" t="str">
        <f t="shared" si="16"/>
        <v>PP INJ</v>
      </c>
      <c r="L384" s="14">
        <f>VLOOKUP(J384,'USD to INR'!$B$2:$G$560,6,TRUE)</f>
        <v>74.897000000000006</v>
      </c>
      <c r="M384" s="216">
        <f t="shared" si="17"/>
        <v>976.40759977035123</v>
      </c>
      <c r="N384" s="563">
        <f t="shared" si="15"/>
        <v>44027</v>
      </c>
    </row>
    <row r="385" spans="1:14" x14ac:dyDescent="0.25">
      <c r="A385" s="188" t="s">
        <v>530</v>
      </c>
      <c r="B385" s="188" t="s">
        <v>531</v>
      </c>
      <c r="C385" s="188" t="s">
        <v>532</v>
      </c>
      <c r="D385" s="560">
        <v>74520</v>
      </c>
      <c r="E385" s="188" t="s">
        <v>98</v>
      </c>
      <c r="F385" s="561">
        <v>1</v>
      </c>
      <c r="G385" s="188" t="s">
        <v>13</v>
      </c>
      <c r="H385" s="188" t="s">
        <v>536</v>
      </c>
      <c r="I385" s="562">
        <v>44028</v>
      </c>
      <c r="J385" s="562">
        <v>44043</v>
      </c>
      <c r="K385" s="6" t="str">
        <f t="shared" si="16"/>
        <v>PP INJ</v>
      </c>
      <c r="L385" s="14">
        <f>VLOOKUP(J385,'USD to INR'!$B$2:$G$560,6,TRUE)</f>
        <v>74.915999999999997</v>
      </c>
      <c r="M385" s="216">
        <f t="shared" si="17"/>
        <v>994.71407976934165</v>
      </c>
      <c r="N385" s="563">
        <f t="shared" si="15"/>
        <v>44043</v>
      </c>
    </row>
    <row r="386" spans="1:14" x14ac:dyDescent="0.25">
      <c r="A386" s="188" t="s">
        <v>530</v>
      </c>
      <c r="B386" s="188" t="s">
        <v>531</v>
      </c>
      <c r="C386" s="188" t="s">
        <v>532</v>
      </c>
      <c r="D386" s="560">
        <v>73590</v>
      </c>
      <c r="E386" s="188" t="s">
        <v>98</v>
      </c>
      <c r="F386" s="561">
        <v>1</v>
      </c>
      <c r="G386" s="188" t="s">
        <v>13</v>
      </c>
      <c r="H386" s="188" t="s">
        <v>536</v>
      </c>
      <c r="I386" s="562">
        <v>44044</v>
      </c>
      <c r="J386" s="562">
        <v>44055</v>
      </c>
      <c r="K386" s="6" t="str">
        <f t="shared" si="16"/>
        <v>PP INJ</v>
      </c>
      <c r="L386" s="14">
        <f>VLOOKUP(J386,'USD to INR'!$B$2:$G$560,6,TRUE)</f>
        <v>74.873999999999995</v>
      </c>
      <c r="M386" s="216">
        <f t="shared" si="17"/>
        <v>982.85118999919871</v>
      </c>
      <c r="N386" s="563">
        <f t="shared" ref="N386:N449" si="18">J386</f>
        <v>44055</v>
      </c>
    </row>
    <row r="387" spans="1:14" x14ac:dyDescent="0.25">
      <c r="A387" s="188" t="s">
        <v>530</v>
      </c>
      <c r="B387" s="188" t="s">
        <v>531</v>
      </c>
      <c r="C387" s="188" t="s">
        <v>532</v>
      </c>
      <c r="D387" s="560">
        <v>72670</v>
      </c>
      <c r="E387" s="188" t="s">
        <v>98</v>
      </c>
      <c r="F387" s="561">
        <v>1</v>
      </c>
      <c r="G387" s="188" t="s">
        <v>13</v>
      </c>
      <c r="H387" s="188" t="s">
        <v>536</v>
      </c>
      <c r="I387" s="562">
        <v>44056</v>
      </c>
      <c r="J387" s="562">
        <v>44074</v>
      </c>
      <c r="K387" s="6" t="str">
        <f t="shared" ref="K387:K450" si="19">VLOOKUP(H387,$V$2:$W$10,2,TRUE)</f>
        <v>PP INJ</v>
      </c>
      <c r="L387" s="14">
        <f>VLOOKUP(J387,'USD to INR'!$B$2:$G$560,6,TRUE)</f>
        <v>73.289000000000001</v>
      </c>
      <c r="M387" s="216">
        <f t="shared" ref="M387:M450" si="20">D387/L387</f>
        <v>991.55398490905861</v>
      </c>
      <c r="N387" s="563">
        <f t="shared" si="18"/>
        <v>44074</v>
      </c>
    </row>
    <row r="388" spans="1:14" x14ac:dyDescent="0.25">
      <c r="A388" s="188" t="s">
        <v>530</v>
      </c>
      <c r="B388" s="188" t="s">
        <v>531</v>
      </c>
      <c r="C388" s="188" t="s">
        <v>532</v>
      </c>
      <c r="D388" s="560">
        <v>72670</v>
      </c>
      <c r="E388" s="188" t="s">
        <v>98</v>
      </c>
      <c r="F388" s="561">
        <v>1</v>
      </c>
      <c r="G388" s="188" t="s">
        <v>13</v>
      </c>
      <c r="H388" s="188" t="s">
        <v>536</v>
      </c>
      <c r="I388" s="562">
        <v>44075</v>
      </c>
      <c r="J388" s="562">
        <v>44090</v>
      </c>
      <c r="K388" s="6" t="str">
        <f t="shared" si="19"/>
        <v>PP INJ</v>
      </c>
      <c r="L388" s="14">
        <f>VLOOKUP(J388,'USD to INR'!$B$2:$G$560,6,TRUE)</f>
        <v>73.537999999999997</v>
      </c>
      <c r="M388" s="216">
        <f t="shared" si="20"/>
        <v>988.19657863961493</v>
      </c>
      <c r="N388" s="563">
        <f t="shared" si="18"/>
        <v>44090</v>
      </c>
    </row>
    <row r="389" spans="1:14" x14ac:dyDescent="0.25">
      <c r="A389" s="188" t="s">
        <v>530</v>
      </c>
      <c r="B389" s="188" t="s">
        <v>531</v>
      </c>
      <c r="C389" s="188" t="s">
        <v>532</v>
      </c>
      <c r="D389" s="560">
        <v>73600</v>
      </c>
      <c r="E389" s="188" t="s">
        <v>98</v>
      </c>
      <c r="F389" s="561">
        <v>1</v>
      </c>
      <c r="G389" s="188" t="s">
        <v>13</v>
      </c>
      <c r="H389" s="188" t="s">
        <v>536</v>
      </c>
      <c r="I389" s="562">
        <v>44091</v>
      </c>
      <c r="J389" s="562">
        <v>44104</v>
      </c>
      <c r="K389" s="6" t="str">
        <f t="shared" si="19"/>
        <v>PP INJ</v>
      </c>
      <c r="L389" s="14">
        <f>VLOOKUP(J389,'USD to INR'!$B$2:$G$560,6,TRUE)</f>
        <v>73.290000000000006</v>
      </c>
      <c r="M389" s="216">
        <f t="shared" si="20"/>
        <v>1004.2297721380816</v>
      </c>
      <c r="N389" s="563">
        <f t="shared" si="18"/>
        <v>44104</v>
      </c>
    </row>
    <row r="390" spans="1:14" x14ac:dyDescent="0.25">
      <c r="A390" s="188" t="s">
        <v>530</v>
      </c>
      <c r="B390" s="188" t="s">
        <v>531</v>
      </c>
      <c r="C390" s="188" t="s">
        <v>532</v>
      </c>
      <c r="D390" s="560">
        <v>74540</v>
      </c>
      <c r="E390" s="188" t="s">
        <v>98</v>
      </c>
      <c r="F390" s="561">
        <v>1</v>
      </c>
      <c r="G390" s="188" t="s">
        <v>13</v>
      </c>
      <c r="H390" s="188" t="s">
        <v>536</v>
      </c>
      <c r="I390" s="562">
        <v>44105</v>
      </c>
      <c r="J390" s="562">
        <v>44118</v>
      </c>
      <c r="K390" s="6" t="str">
        <f t="shared" si="19"/>
        <v>PP INJ</v>
      </c>
      <c r="L390" s="14">
        <f>VLOOKUP(J390,'USD to INR'!$B$2:$G$560,6,TRUE)</f>
        <v>73.441999999999993</v>
      </c>
      <c r="M390" s="216">
        <f t="shared" si="20"/>
        <v>1014.9505732414696</v>
      </c>
      <c r="N390" s="563">
        <f t="shared" si="18"/>
        <v>44118</v>
      </c>
    </row>
    <row r="391" spans="1:14" x14ac:dyDescent="0.25">
      <c r="A391" s="188" t="s">
        <v>530</v>
      </c>
      <c r="B391" s="188" t="s">
        <v>531</v>
      </c>
      <c r="C391" s="188" t="s">
        <v>532</v>
      </c>
      <c r="D391" s="560">
        <v>76850</v>
      </c>
      <c r="E391" s="188" t="s">
        <v>98</v>
      </c>
      <c r="F391" s="561">
        <v>1</v>
      </c>
      <c r="G391" s="188" t="s">
        <v>13</v>
      </c>
      <c r="H391" s="188" t="s">
        <v>536</v>
      </c>
      <c r="I391" s="562">
        <v>44119</v>
      </c>
      <c r="J391" s="562">
        <v>44125</v>
      </c>
      <c r="K391" s="6" t="str">
        <f t="shared" si="19"/>
        <v>PP INJ</v>
      </c>
      <c r="L391" s="14">
        <f>VLOOKUP(J391,'USD to INR'!$B$2:$G$560,6,TRUE)</f>
        <v>73.828999999999994</v>
      </c>
      <c r="M391" s="216">
        <f t="shared" si="20"/>
        <v>1040.91888011486</v>
      </c>
      <c r="N391" s="563">
        <f t="shared" si="18"/>
        <v>44125</v>
      </c>
    </row>
    <row r="392" spans="1:14" x14ac:dyDescent="0.25">
      <c r="A392" s="188" t="s">
        <v>530</v>
      </c>
      <c r="B392" s="188" t="s">
        <v>531</v>
      </c>
      <c r="C392" s="188" t="s">
        <v>532</v>
      </c>
      <c r="D392" s="560">
        <v>78240</v>
      </c>
      <c r="E392" s="188" t="s">
        <v>98</v>
      </c>
      <c r="F392" s="561">
        <v>1</v>
      </c>
      <c r="G392" s="188" t="s">
        <v>13</v>
      </c>
      <c r="H392" s="188" t="s">
        <v>536</v>
      </c>
      <c r="I392" s="562">
        <v>44126</v>
      </c>
      <c r="J392" s="562">
        <v>44135</v>
      </c>
      <c r="K392" s="6" t="str">
        <f t="shared" si="19"/>
        <v>PP INJ</v>
      </c>
      <c r="L392" s="14">
        <f>VLOOKUP(J392,'USD to INR'!$B$2:$G$560,6,TRUE)</f>
        <v>74.554000000000002</v>
      </c>
      <c r="M392" s="216">
        <f t="shared" si="20"/>
        <v>1049.4406738739706</v>
      </c>
      <c r="N392" s="563">
        <f t="shared" si="18"/>
        <v>44135</v>
      </c>
    </row>
    <row r="393" spans="1:14" x14ac:dyDescent="0.25">
      <c r="A393" s="188" t="s">
        <v>530</v>
      </c>
      <c r="B393" s="188" t="s">
        <v>531</v>
      </c>
      <c r="C393" s="188" t="s">
        <v>532</v>
      </c>
      <c r="D393" s="560">
        <v>79630</v>
      </c>
      <c r="E393" s="188" t="s">
        <v>98</v>
      </c>
      <c r="F393" s="561">
        <v>1</v>
      </c>
      <c r="G393" s="188" t="s">
        <v>13</v>
      </c>
      <c r="H393" s="188" t="s">
        <v>536</v>
      </c>
      <c r="I393" s="562">
        <v>44136</v>
      </c>
      <c r="J393" s="562">
        <v>44153</v>
      </c>
      <c r="K393" s="6" t="str">
        <f t="shared" si="19"/>
        <v>PP INJ</v>
      </c>
      <c r="L393" s="14">
        <f>VLOOKUP(J393,'USD to INR'!$B$2:$G$560,6,TRUE)</f>
        <v>74.11</v>
      </c>
      <c r="M393" s="216">
        <f t="shared" si="20"/>
        <v>1074.4838753204697</v>
      </c>
      <c r="N393" s="563">
        <f t="shared" si="18"/>
        <v>44153</v>
      </c>
    </row>
    <row r="394" spans="1:14" x14ac:dyDescent="0.25">
      <c r="A394" s="188" t="s">
        <v>530</v>
      </c>
      <c r="B394" s="188" t="s">
        <v>531</v>
      </c>
      <c r="C394" s="188" t="s">
        <v>532</v>
      </c>
      <c r="D394" s="560">
        <v>82410</v>
      </c>
      <c r="E394" s="188" t="s">
        <v>98</v>
      </c>
      <c r="F394" s="561">
        <v>1</v>
      </c>
      <c r="G394" s="188" t="s">
        <v>13</v>
      </c>
      <c r="H394" s="188" t="s">
        <v>536</v>
      </c>
      <c r="I394" s="562">
        <v>44154</v>
      </c>
      <c r="J394" s="562">
        <v>44160</v>
      </c>
      <c r="K394" s="6" t="str">
        <f t="shared" si="19"/>
        <v>PP INJ</v>
      </c>
      <c r="L394" s="14">
        <f>VLOOKUP(J394,'USD to INR'!$B$2:$G$560,6,TRUE)</f>
        <v>73.933000000000007</v>
      </c>
      <c r="M394" s="216">
        <f t="shared" si="20"/>
        <v>1114.6578659056172</v>
      </c>
      <c r="N394" s="563">
        <f t="shared" si="18"/>
        <v>44160</v>
      </c>
    </row>
    <row r="395" spans="1:14" x14ac:dyDescent="0.25">
      <c r="A395" s="188" t="s">
        <v>530</v>
      </c>
      <c r="B395" s="188" t="s">
        <v>531</v>
      </c>
      <c r="C395" s="188" t="s">
        <v>532</v>
      </c>
      <c r="D395" s="560">
        <v>84260</v>
      </c>
      <c r="E395" s="188" t="s">
        <v>98</v>
      </c>
      <c r="F395" s="561">
        <v>1</v>
      </c>
      <c r="G395" s="188" t="s">
        <v>13</v>
      </c>
      <c r="H395" s="188" t="s">
        <v>536</v>
      </c>
      <c r="I395" s="562">
        <v>44161</v>
      </c>
      <c r="J395" s="562">
        <v>44165</v>
      </c>
      <c r="K395" s="6" t="str">
        <f t="shared" si="19"/>
        <v>PP INJ</v>
      </c>
      <c r="L395" s="14">
        <f>VLOOKUP(J395,'USD to INR'!$B$2:$G$560,6,TRUE)</f>
        <v>73.757000000000005</v>
      </c>
      <c r="M395" s="216">
        <f t="shared" si="20"/>
        <v>1142.4000433857125</v>
      </c>
      <c r="N395" s="563">
        <f t="shared" si="18"/>
        <v>44165</v>
      </c>
    </row>
    <row r="396" spans="1:14" x14ac:dyDescent="0.25">
      <c r="A396" s="188" t="s">
        <v>530</v>
      </c>
      <c r="B396" s="188" t="s">
        <v>531</v>
      </c>
      <c r="C396" s="188" t="s">
        <v>532</v>
      </c>
      <c r="D396" s="560">
        <v>87960</v>
      </c>
      <c r="E396" s="188" t="s">
        <v>98</v>
      </c>
      <c r="F396" s="561">
        <v>1</v>
      </c>
      <c r="G396" s="188" t="s">
        <v>13</v>
      </c>
      <c r="H396" s="188" t="s">
        <v>536</v>
      </c>
      <c r="I396" s="562">
        <v>44166</v>
      </c>
      <c r="J396" s="562">
        <v>44174</v>
      </c>
      <c r="K396" s="6" t="str">
        <f t="shared" si="19"/>
        <v>PP INJ</v>
      </c>
      <c r="L396" s="14">
        <f>VLOOKUP(J396,'USD to INR'!$B$2:$G$560,6,TRUE)</f>
        <v>73.736000000000004</v>
      </c>
      <c r="M396" s="216">
        <f t="shared" si="20"/>
        <v>1192.9044157534988</v>
      </c>
      <c r="N396" s="563">
        <f t="shared" si="18"/>
        <v>44174</v>
      </c>
    </row>
    <row r="397" spans="1:14" x14ac:dyDescent="0.25">
      <c r="A397" s="188" t="s">
        <v>530</v>
      </c>
      <c r="B397" s="188" t="s">
        <v>531</v>
      </c>
      <c r="C397" s="188" t="s">
        <v>532</v>
      </c>
      <c r="D397" s="560">
        <v>92580</v>
      </c>
      <c r="E397" s="188" t="s">
        <v>98</v>
      </c>
      <c r="F397" s="561">
        <v>1</v>
      </c>
      <c r="G397" s="188" t="s">
        <v>13</v>
      </c>
      <c r="H397" s="188" t="s">
        <v>536</v>
      </c>
      <c r="I397" s="562">
        <v>44175</v>
      </c>
      <c r="J397" s="562">
        <v>44196</v>
      </c>
      <c r="K397" s="6" t="str">
        <f t="shared" si="19"/>
        <v>PP INJ</v>
      </c>
      <c r="L397" s="14">
        <f>VLOOKUP(J397,'USD to INR'!$B$2:$G$560,6,TRUE)</f>
        <v>73.12</v>
      </c>
      <c r="M397" s="216">
        <f t="shared" si="20"/>
        <v>1266.1378555798685</v>
      </c>
      <c r="N397" s="563">
        <f t="shared" si="18"/>
        <v>44196</v>
      </c>
    </row>
    <row r="398" spans="1:14" x14ac:dyDescent="0.25">
      <c r="A398" s="188" t="s">
        <v>530</v>
      </c>
      <c r="B398" s="188" t="s">
        <v>531</v>
      </c>
      <c r="C398" s="188" t="s">
        <v>532</v>
      </c>
      <c r="D398" s="560">
        <v>92580</v>
      </c>
      <c r="E398" s="188" t="s">
        <v>98</v>
      </c>
      <c r="F398" s="561">
        <v>1</v>
      </c>
      <c r="G398" s="188" t="s">
        <v>13</v>
      </c>
      <c r="H398" s="188" t="s">
        <v>536</v>
      </c>
      <c r="I398" s="562">
        <v>44197</v>
      </c>
      <c r="J398" s="562">
        <v>44202</v>
      </c>
      <c r="K398" s="6" t="str">
        <f t="shared" si="19"/>
        <v>PP INJ</v>
      </c>
      <c r="L398" s="14">
        <f>VLOOKUP(J398,'USD to INR'!$B$2:$G$560,6,TRUE)</f>
        <v>73.33</v>
      </c>
      <c r="M398" s="216">
        <f t="shared" si="20"/>
        <v>1262.5119323605618</v>
      </c>
      <c r="N398" s="563">
        <f t="shared" si="18"/>
        <v>44202</v>
      </c>
    </row>
    <row r="399" spans="1:14" x14ac:dyDescent="0.25">
      <c r="A399" s="188" t="s">
        <v>530</v>
      </c>
      <c r="B399" s="188" t="s">
        <v>531</v>
      </c>
      <c r="C399" s="188" t="s">
        <v>532</v>
      </c>
      <c r="D399" s="560">
        <v>93510</v>
      </c>
      <c r="E399" s="188" t="s">
        <v>98</v>
      </c>
      <c r="F399" s="561">
        <v>1</v>
      </c>
      <c r="G399" s="188" t="s">
        <v>13</v>
      </c>
      <c r="H399" s="188" t="s">
        <v>536</v>
      </c>
      <c r="I399" s="562">
        <v>44203</v>
      </c>
      <c r="J399" s="562">
        <v>44227</v>
      </c>
      <c r="K399" s="6" t="str">
        <f t="shared" si="19"/>
        <v>PP INJ</v>
      </c>
      <c r="L399" s="14">
        <f>VLOOKUP(J399,'USD to INR'!$B$2:$G$560,6,TRUE)</f>
        <v>72.81</v>
      </c>
      <c r="M399" s="216">
        <f t="shared" si="20"/>
        <v>1284.301606922126</v>
      </c>
      <c r="N399" s="563">
        <f t="shared" si="18"/>
        <v>44227</v>
      </c>
    </row>
    <row r="400" spans="1:14" x14ac:dyDescent="0.25">
      <c r="A400" s="188" t="s">
        <v>530</v>
      </c>
      <c r="B400" s="188" t="s">
        <v>531</v>
      </c>
      <c r="C400" s="188" t="s">
        <v>532</v>
      </c>
      <c r="D400" s="560">
        <v>95360</v>
      </c>
      <c r="E400" s="188" t="s">
        <v>98</v>
      </c>
      <c r="F400" s="561">
        <v>1</v>
      </c>
      <c r="G400" s="188" t="s">
        <v>13</v>
      </c>
      <c r="H400" s="188" t="s">
        <v>536</v>
      </c>
      <c r="I400" s="562">
        <v>44228</v>
      </c>
      <c r="J400" s="562">
        <v>44230</v>
      </c>
      <c r="K400" s="6" t="str">
        <f t="shared" si="19"/>
        <v>PP INJ</v>
      </c>
      <c r="L400" s="14">
        <f>VLOOKUP(J400,'USD to INR'!$B$2:$G$560,6,TRUE)</f>
        <v>72.81</v>
      </c>
      <c r="M400" s="216">
        <f t="shared" si="20"/>
        <v>1309.7102046422194</v>
      </c>
      <c r="N400" s="563">
        <f t="shared" si="18"/>
        <v>44230</v>
      </c>
    </row>
    <row r="401" spans="1:14" x14ac:dyDescent="0.25">
      <c r="A401" s="188" t="s">
        <v>530</v>
      </c>
      <c r="B401" s="188" t="s">
        <v>531</v>
      </c>
      <c r="C401" s="188" t="s">
        <v>532</v>
      </c>
      <c r="D401" s="560">
        <v>95360</v>
      </c>
      <c r="E401" s="188" t="s">
        <v>98</v>
      </c>
      <c r="F401" s="561">
        <v>1</v>
      </c>
      <c r="G401" s="188" t="s">
        <v>13</v>
      </c>
      <c r="H401" s="188" t="s">
        <v>536</v>
      </c>
      <c r="I401" s="562">
        <v>44231</v>
      </c>
      <c r="J401" s="562">
        <v>44238</v>
      </c>
      <c r="K401" s="6" t="str">
        <f t="shared" si="19"/>
        <v>PP INJ</v>
      </c>
      <c r="L401" s="14">
        <f>VLOOKUP(J401,'USD to INR'!$B$2:$G$560,6,TRUE)</f>
        <v>72.58</v>
      </c>
      <c r="M401" s="216">
        <f t="shared" si="20"/>
        <v>1313.8605676494903</v>
      </c>
      <c r="N401" s="563">
        <f t="shared" si="18"/>
        <v>44238</v>
      </c>
    </row>
    <row r="402" spans="1:14" x14ac:dyDescent="0.25">
      <c r="A402" s="188" t="s">
        <v>530</v>
      </c>
      <c r="B402" s="188" t="s">
        <v>531</v>
      </c>
      <c r="C402" s="188" t="s">
        <v>532</v>
      </c>
      <c r="D402" s="560">
        <v>97210</v>
      </c>
      <c r="E402" s="188" t="s">
        <v>98</v>
      </c>
      <c r="F402" s="561">
        <v>1</v>
      </c>
      <c r="G402" s="188" t="s">
        <v>13</v>
      </c>
      <c r="H402" s="188" t="s">
        <v>536</v>
      </c>
      <c r="I402" s="562">
        <v>44239</v>
      </c>
      <c r="J402" s="562">
        <v>44244</v>
      </c>
      <c r="K402" s="6" t="str">
        <f t="shared" si="19"/>
        <v>PP INJ</v>
      </c>
      <c r="L402" s="14">
        <f>VLOOKUP(J402,'USD to INR'!$B$2:$G$560,6,TRUE)</f>
        <v>72.55</v>
      </c>
      <c r="M402" s="216">
        <f t="shared" si="20"/>
        <v>1339.9035148173673</v>
      </c>
      <c r="N402" s="563">
        <f t="shared" si="18"/>
        <v>44244</v>
      </c>
    </row>
    <row r="403" spans="1:14" x14ac:dyDescent="0.25">
      <c r="A403" s="188" t="s">
        <v>530</v>
      </c>
      <c r="B403" s="188" t="s">
        <v>531</v>
      </c>
      <c r="C403" s="188" t="s">
        <v>532</v>
      </c>
      <c r="D403" s="560">
        <v>99990</v>
      </c>
      <c r="E403" s="188" t="s">
        <v>98</v>
      </c>
      <c r="F403" s="561">
        <v>1</v>
      </c>
      <c r="G403" s="188" t="s">
        <v>13</v>
      </c>
      <c r="H403" s="188" t="s">
        <v>536</v>
      </c>
      <c r="I403" s="562">
        <v>44245</v>
      </c>
      <c r="J403" s="562">
        <v>44251</v>
      </c>
      <c r="K403" s="6" t="str">
        <f t="shared" si="19"/>
        <v>PP INJ</v>
      </c>
      <c r="L403" s="14">
        <f>VLOOKUP(J403,'USD to INR'!$B$2:$G$560,6,TRUE)</f>
        <v>73.92</v>
      </c>
      <c r="M403" s="216">
        <f t="shared" si="20"/>
        <v>1352.6785714285713</v>
      </c>
      <c r="N403" s="563">
        <f t="shared" si="18"/>
        <v>44251</v>
      </c>
    </row>
    <row r="404" spans="1:14" x14ac:dyDescent="0.25">
      <c r="A404" s="188" t="s">
        <v>530</v>
      </c>
      <c r="B404" s="188" t="s">
        <v>531</v>
      </c>
      <c r="C404" s="188" t="s">
        <v>532</v>
      </c>
      <c r="D404" s="560">
        <v>104610</v>
      </c>
      <c r="E404" s="188" t="s">
        <v>98</v>
      </c>
      <c r="F404" s="561">
        <v>1</v>
      </c>
      <c r="G404" s="188" t="s">
        <v>13</v>
      </c>
      <c r="H404" s="188" t="s">
        <v>536</v>
      </c>
      <c r="I404" s="562">
        <v>44252</v>
      </c>
      <c r="J404" s="562">
        <v>44255</v>
      </c>
      <c r="K404" s="6" t="str">
        <f t="shared" si="19"/>
        <v>PP INJ</v>
      </c>
      <c r="L404" s="14">
        <f>VLOOKUP(J404,'USD to INR'!$B$2:$G$560,6,TRUE)</f>
        <v>73.180000000000007</v>
      </c>
      <c r="M404" s="216">
        <f t="shared" si="20"/>
        <v>1429.4889314020222</v>
      </c>
      <c r="N404" s="563">
        <f t="shared" si="18"/>
        <v>44255</v>
      </c>
    </row>
    <row r="405" spans="1:14" x14ac:dyDescent="0.25">
      <c r="A405" s="188" t="s">
        <v>530</v>
      </c>
      <c r="B405" s="188" t="s">
        <v>531</v>
      </c>
      <c r="C405" s="188" t="s">
        <v>532</v>
      </c>
      <c r="D405" s="560">
        <v>111070</v>
      </c>
      <c r="E405" s="188" t="s">
        <v>98</v>
      </c>
      <c r="F405" s="561">
        <v>1</v>
      </c>
      <c r="G405" s="188" t="s">
        <v>13</v>
      </c>
      <c r="H405" s="188" t="s">
        <v>536</v>
      </c>
      <c r="I405" s="562">
        <v>44256</v>
      </c>
      <c r="J405" s="562">
        <v>44265</v>
      </c>
      <c r="K405" s="6" t="str">
        <f t="shared" si="19"/>
        <v>PP INJ</v>
      </c>
      <c r="L405" s="14">
        <f>VLOOKUP(J405,'USD to INR'!$B$2:$G$560,6,TRUE)</f>
        <v>72.680000000000007</v>
      </c>
      <c r="M405" s="216">
        <f t="shared" si="20"/>
        <v>1528.2058337919646</v>
      </c>
      <c r="N405" s="563">
        <f t="shared" si="18"/>
        <v>44265</v>
      </c>
    </row>
    <row r="406" spans="1:14" x14ac:dyDescent="0.25">
      <c r="A406" s="188" t="s">
        <v>530</v>
      </c>
      <c r="B406" s="188" t="s">
        <v>531</v>
      </c>
      <c r="C406" s="188" t="s">
        <v>532</v>
      </c>
      <c r="D406" s="560">
        <v>113850</v>
      </c>
      <c r="E406" s="188" t="s">
        <v>98</v>
      </c>
      <c r="F406" s="561">
        <v>1</v>
      </c>
      <c r="G406" s="188" t="s">
        <v>13</v>
      </c>
      <c r="H406" s="188" t="s">
        <v>536</v>
      </c>
      <c r="I406" s="562">
        <v>44266</v>
      </c>
      <c r="J406" s="562">
        <v>44286</v>
      </c>
      <c r="K406" s="6" t="str">
        <f t="shared" si="19"/>
        <v>PP INJ</v>
      </c>
      <c r="L406" s="14">
        <f>VLOOKUP(J406,'USD to INR'!$B$2:$G$560,6,TRUE)</f>
        <v>73.37</v>
      </c>
      <c r="M406" s="216">
        <f t="shared" si="20"/>
        <v>1551.7241379310344</v>
      </c>
      <c r="N406" s="563">
        <f t="shared" si="18"/>
        <v>44286</v>
      </c>
    </row>
    <row r="407" spans="1:14" x14ac:dyDescent="0.25">
      <c r="A407" s="188" t="s">
        <v>530</v>
      </c>
      <c r="B407" s="188" t="s">
        <v>531</v>
      </c>
      <c r="C407" s="188" t="s">
        <v>532</v>
      </c>
      <c r="D407" s="560">
        <v>113760</v>
      </c>
      <c r="E407" s="188" t="s">
        <v>98</v>
      </c>
      <c r="F407" s="561">
        <v>1</v>
      </c>
      <c r="G407" s="188" t="s">
        <v>13</v>
      </c>
      <c r="H407" s="188" t="s">
        <v>536</v>
      </c>
      <c r="I407" s="562">
        <v>44287</v>
      </c>
      <c r="J407" s="562">
        <v>44307</v>
      </c>
      <c r="K407" s="6" t="str">
        <f t="shared" si="19"/>
        <v>PP INJ</v>
      </c>
      <c r="L407" s="14">
        <f>VLOOKUP(J407,'USD to INR'!$B$2:$G$560,6,TRUE)</f>
        <v>74.92</v>
      </c>
      <c r="M407" s="216">
        <f t="shared" si="20"/>
        <v>1518.4196476241323</v>
      </c>
      <c r="N407" s="563">
        <f t="shared" si="18"/>
        <v>44307</v>
      </c>
    </row>
    <row r="408" spans="1:14" x14ac:dyDescent="0.25">
      <c r="A408" s="188" t="s">
        <v>530</v>
      </c>
      <c r="B408" s="188" t="s">
        <v>531</v>
      </c>
      <c r="C408" s="188" t="s">
        <v>532</v>
      </c>
      <c r="D408" s="560">
        <v>110990</v>
      </c>
      <c r="E408" s="188" t="s">
        <v>98</v>
      </c>
      <c r="F408" s="561">
        <v>1</v>
      </c>
      <c r="G408" s="188" t="s">
        <v>13</v>
      </c>
      <c r="H408" s="188" t="s">
        <v>536</v>
      </c>
      <c r="I408" s="562">
        <v>44308</v>
      </c>
      <c r="J408" s="562">
        <v>44316</v>
      </c>
      <c r="K408" s="6" t="str">
        <f t="shared" si="19"/>
        <v>PP INJ</v>
      </c>
      <c r="L408" s="14">
        <f>VLOOKUP(J408,'USD to INR'!$B$2:$G$560,6,TRUE)</f>
        <v>74.05</v>
      </c>
      <c r="M408" s="216">
        <f t="shared" si="20"/>
        <v>1498.8521269412561</v>
      </c>
      <c r="N408" s="563">
        <f t="shared" si="18"/>
        <v>44316</v>
      </c>
    </row>
    <row r="409" spans="1:14" x14ac:dyDescent="0.25">
      <c r="A409" s="188" t="s">
        <v>530</v>
      </c>
      <c r="B409" s="188" t="s">
        <v>531</v>
      </c>
      <c r="C409" s="188" t="s">
        <v>532</v>
      </c>
      <c r="D409" s="560">
        <v>109150</v>
      </c>
      <c r="E409" s="188" t="s">
        <v>98</v>
      </c>
      <c r="F409" s="561">
        <v>1</v>
      </c>
      <c r="G409" s="188" t="s">
        <v>13</v>
      </c>
      <c r="H409" s="188" t="s">
        <v>536</v>
      </c>
      <c r="I409" s="562">
        <v>44317</v>
      </c>
      <c r="J409" s="562">
        <v>44321</v>
      </c>
      <c r="K409" s="6" t="str">
        <f t="shared" si="19"/>
        <v>PP INJ</v>
      </c>
      <c r="L409" s="14">
        <f>VLOOKUP(J409,'USD to INR'!$B$2:$G$560,6,TRUE)</f>
        <v>73.251999999999995</v>
      </c>
      <c r="M409" s="216">
        <f t="shared" si="20"/>
        <v>1490.0617047998689</v>
      </c>
      <c r="N409" s="563">
        <f t="shared" si="18"/>
        <v>44321</v>
      </c>
    </row>
    <row r="410" spans="1:14" x14ac:dyDescent="0.25">
      <c r="A410" s="188" t="s">
        <v>530</v>
      </c>
      <c r="B410" s="188" t="s">
        <v>531</v>
      </c>
      <c r="C410" s="188" t="s">
        <v>532</v>
      </c>
      <c r="D410" s="560">
        <v>105920</v>
      </c>
      <c r="E410" s="188" t="s">
        <v>98</v>
      </c>
      <c r="F410" s="561">
        <v>1</v>
      </c>
      <c r="G410" s="188" t="s">
        <v>13</v>
      </c>
      <c r="H410" s="188" t="s">
        <v>536</v>
      </c>
      <c r="I410" s="562">
        <v>44322</v>
      </c>
      <c r="J410" s="562">
        <v>44335</v>
      </c>
      <c r="K410" s="6" t="str">
        <f t="shared" si="19"/>
        <v>PP INJ</v>
      </c>
      <c r="L410" s="14">
        <f>VLOOKUP(J410,'USD to INR'!$B$2:$G$560,6,TRUE)</f>
        <v>72.816999999999993</v>
      </c>
      <c r="M410" s="216">
        <f t="shared" si="20"/>
        <v>1454.6053806116704</v>
      </c>
      <c r="N410" s="563">
        <f t="shared" si="18"/>
        <v>44335</v>
      </c>
    </row>
    <row r="411" spans="1:14" x14ac:dyDescent="0.25">
      <c r="A411" s="188" t="s">
        <v>530</v>
      </c>
      <c r="B411" s="188" t="s">
        <v>531</v>
      </c>
      <c r="C411" s="188" t="s">
        <v>532</v>
      </c>
      <c r="D411" s="560">
        <v>103150</v>
      </c>
      <c r="E411" s="188" t="s">
        <v>98</v>
      </c>
      <c r="F411" s="561">
        <v>1</v>
      </c>
      <c r="G411" s="188" t="s">
        <v>13</v>
      </c>
      <c r="H411" s="188" t="s">
        <v>536</v>
      </c>
      <c r="I411" s="562">
        <v>44336</v>
      </c>
      <c r="J411" s="562">
        <v>44347</v>
      </c>
      <c r="K411" s="6" t="str">
        <f t="shared" si="19"/>
        <v>PP INJ</v>
      </c>
      <c r="L411" s="14">
        <f>VLOOKUP(J411,'USD to INR'!$B$2:$G$560,6,TRUE)</f>
        <v>72.86</v>
      </c>
      <c r="M411" s="216">
        <f t="shared" si="20"/>
        <v>1415.7287949492177</v>
      </c>
      <c r="N411" s="563">
        <f t="shared" si="18"/>
        <v>44347</v>
      </c>
    </row>
    <row r="412" spans="1:14" x14ac:dyDescent="0.25">
      <c r="A412" s="188" t="s">
        <v>530</v>
      </c>
      <c r="B412" s="188" t="s">
        <v>531</v>
      </c>
      <c r="C412" s="188" t="s">
        <v>532</v>
      </c>
      <c r="D412" s="560">
        <v>100370</v>
      </c>
      <c r="E412" s="188" t="s">
        <v>98</v>
      </c>
      <c r="F412" s="561">
        <v>1</v>
      </c>
      <c r="G412" s="188" t="s">
        <v>13</v>
      </c>
      <c r="H412" s="188" t="s">
        <v>536</v>
      </c>
      <c r="I412" s="562">
        <v>44348</v>
      </c>
      <c r="J412" s="562">
        <v>44356</v>
      </c>
      <c r="K412" s="6" t="str">
        <f t="shared" si="19"/>
        <v>PP INJ</v>
      </c>
      <c r="L412" s="14">
        <f>VLOOKUP(J412,'USD to INR'!$B$2:$G$560,6,TRUE)</f>
        <v>73.239999999999995</v>
      </c>
      <c r="M412" s="216">
        <f t="shared" si="20"/>
        <v>1370.4259967231021</v>
      </c>
      <c r="N412" s="563">
        <f t="shared" si="18"/>
        <v>44356</v>
      </c>
    </row>
    <row r="413" spans="1:14" x14ac:dyDescent="0.25">
      <c r="A413" s="188" t="s">
        <v>530</v>
      </c>
      <c r="B413" s="188" t="s">
        <v>531</v>
      </c>
      <c r="C413" s="188" t="s">
        <v>532</v>
      </c>
      <c r="D413" s="560">
        <v>98530</v>
      </c>
      <c r="E413" s="188" t="s">
        <v>98</v>
      </c>
      <c r="F413" s="561">
        <v>1</v>
      </c>
      <c r="G413" s="188" t="s">
        <v>13</v>
      </c>
      <c r="H413" s="188" t="s">
        <v>536</v>
      </c>
      <c r="I413" s="562">
        <v>44357</v>
      </c>
      <c r="J413" s="562">
        <v>44363</v>
      </c>
      <c r="K413" s="6" t="str">
        <f t="shared" si="19"/>
        <v>PP INJ</v>
      </c>
      <c r="L413" s="14">
        <f>VLOOKUP(J413,'USD to INR'!$B$2:$G$560,6,TRUE)</f>
        <v>74.099999999999994</v>
      </c>
      <c r="M413" s="216">
        <f t="shared" si="20"/>
        <v>1329.6896086369773</v>
      </c>
      <c r="N413" s="563">
        <f t="shared" si="18"/>
        <v>44363</v>
      </c>
    </row>
    <row r="414" spans="1:14" x14ac:dyDescent="0.25">
      <c r="A414" s="188" t="s">
        <v>530</v>
      </c>
      <c r="B414" s="188" t="s">
        <v>531</v>
      </c>
      <c r="C414" s="188" t="s">
        <v>532</v>
      </c>
      <c r="D414" s="560">
        <v>97610</v>
      </c>
      <c r="E414" s="188" t="s">
        <v>98</v>
      </c>
      <c r="F414" s="561">
        <v>1</v>
      </c>
      <c r="G414" s="188" t="s">
        <v>13</v>
      </c>
      <c r="H414" s="188" t="s">
        <v>536</v>
      </c>
      <c r="I414" s="562">
        <v>44364</v>
      </c>
      <c r="J414" s="562">
        <v>44377</v>
      </c>
      <c r="K414" s="6" t="str">
        <f t="shared" si="19"/>
        <v>PP INJ</v>
      </c>
      <c r="L414" s="14">
        <f>VLOOKUP(J414,'USD to INR'!$B$2:$G$560,6,TRUE)</f>
        <v>74.512</v>
      </c>
      <c r="M414" s="216">
        <f t="shared" si="20"/>
        <v>1309.9903371269056</v>
      </c>
      <c r="N414" s="563">
        <f t="shared" si="18"/>
        <v>44377</v>
      </c>
    </row>
    <row r="415" spans="1:14" x14ac:dyDescent="0.25">
      <c r="A415" s="188" t="s">
        <v>530</v>
      </c>
      <c r="B415" s="188" t="s">
        <v>531</v>
      </c>
      <c r="C415" s="188" t="s">
        <v>532</v>
      </c>
      <c r="D415" s="560">
        <v>97600</v>
      </c>
      <c r="E415" s="188" t="s">
        <v>98</v>
      </c>
      <c r="F415" s="561">
        <v>1</v>
      </c>
      <c r="G415" s="188" t="s">
        <v>13</v>
      </c>
      <c r="H415" s="188" t="s">
        <v>536</v>
      </c>
      <c r="I415" s="562">
        <v>44378</v>
      </c>
      <c r="J415" s="562">
        <v>44384</v>
      </c>
      <c r="K415" s="6" t="str">
        <f t="shared" si="19"/>
        <v>PP INJ</v>
      </c>
      <c r="L415" s="14">
        <f>VLOOKUP(J415,'USD to INR'!$B$2:$G$560,6,TRUE)</f>
        <v>74.484999999999999</v>
      </c>
      <c r="M415" s="216">
        <f t="shared" si="20"/>
        <v>1310.3309391152582</v>
      </c>
      <c r="N415" s="563">
        <f t="shared" si="18"/>
        <v>44384</v>
      </c>
    </row>
    <row r="416" spans="1:14" x14ac:dyDescent="0.25">
      <c r="A416" s="188" t="s">
        <v>530</v>
      </c>
      <c r="B416" s="188" t="s">
        <v>531</v>
      </c>
      <c r="C416" s="188" t="s">
        <v>532</v>
      </c>
      <c r="D416" s="560">
        <v>99450</v>
      </c>
      <c r="E416" s="188" t="s">
        <v>98</v>
      </c>
      <c r="F416" s="561">
        <v>1</v>
      </c>
      <c r="G416" s="188" t="s">
        <v>13</v>
      </c>
      <c r="H416" s="188" t="s">
        <v>536</v>
      </c>
      <c r="I416" s="562">
        <v>44385</v>
      </c>
      <c r="J416" s="562">
        <v>44398</v>
      </c>
      <c r="K416" s="6" t="str">
        <f t="shared" si="19"/>
        <v>PP INJ</v>
      </c>
      <c r="L416" s="14">
        <f>VLOOKUP(J416,'USD to INR'!$B$2:$G$560,6,TRUE)</f>
        <v>74.424999999999997</v>
      </c>
      <c r="M416" s="216">
        <f t="shared" si="20"/>
        <v>1336.2445414847161</v>
      </c>
      <c r="N416" s="563">
        <f t="shared" si="18"/>
        <v>44398</v>
      </c>
    </row>
    <row r="417" spans="1:14" x14ac:dyDescent="0.25">
      <c r="A417" s="188" t="s">
        <v>530</v>
      </c>
      <c r="B417" s="188" t="s">
        <v>531</v>
      </c>
      <c r="C417" s="188" t="s">
        <v>532</v>
      </c>
      <c r="D417" s="560">
        <v>100840</v>
      </c>
      <c r="E417" s="188" t="s">
        <v>98</v>
      </c>
      <c r="F417" s="561">
        <v>1</v>
      </c>
      <c r="G417" s="188" t="s">
        <v>13</v>
      </c>
      <c r="H417" s="188" t="s">
        <v>536</v>
      </c>
      <c r="I417" s="562">
        <v>44399</v>
      </c>
      <c r="J417" s="562">
        <v>44408</v>
      </c>
      <c r="K417" s="6" t="str">
        <f t="shared" si="19"/>
        <v>PP INJ</v>
      </c>
      <c r="L417" s="14">
        <f>VLOOKUP(J417,'USD to INR'!$B$2:$G$560,6,TRUE)</f>
        <v>74.337000000000003</v>
      </c>
      <c r="M417" s="216">
        <f t="shared" si="20"/>
        <v>1356.52501446117</v>
      </c>
      <c r="N417" s="563">
        <f t="shared" si="18"/>
        <v>44408</v>
      </c>
    </row>
    <row r="418" spans="1:14" x14ac:dyDescent="0.25">
      <c r="A418" s="188" t="s">
        <v>530</v>
      </c>
      <c r="B418" s="188" t="s">
        <v>531</v>
      </c>
      <c r="C418" s="188" t="s">
        <v>532</v>
      </c>
      <c r="D418" s="560">
        <v>102690</v>
      </c>
      <c r="E418" s="188" t="s">
        <v>98</v>
      </c>
      <c r="F418" s="561">
        <v>1</v>
      </c>
      <c r="G418" s="188" t="s">
        <v>13</v>
      </c>
      <c r="H418" s="188" t="s">
        <v>536</v>
      </c>
      <c r="I418" s="562">
        <v>44409</v>
      </c>
      <c r="J418" s="562">
        <v>44419</v>
      </c>
      <c r="K418" s="6" t="str">
        <f t="shared" si="19"/>
        <v>PP INJ</v>
      </c>
      <c r="L418" s="14">
        <f>VLOOKUP(J418,'USD to INR'!$B$2:$G$560,6,TRUE)</f>
        <v>74.239000000000004</v>
      </c>
      <c r="M418" s="216">
        <f t="shared" si="20"/>
        <v>1383.2352267676019</v>
      </c>
      <c r="N418" s="563">
        <f t="shared" si="18"/>
        <v>44419</v>
      </c>
    </row>
    <row r="419" spans="1:14" x14ac:dyDescent="0.25">
      <c r="A419" s="188" t="s">
        <v>530</v>
      </c>
      <c r="B419" s="188" t="s">
        <v>531</v>
      </c>
      <c r="C419" s="188" t="s">
        <v>532</v>
      </c>
      <c r="D419" s="560">
        <v>104540</v>
      </c>
      <c r="E419" s="188" t="s">
        <v>98</v>
      </c>
      <c r="F419" s="561">
        <v>1</v>
      </c>
      <c r="G419" s="188" t="s">
        <v>13</v>
      </c>
      <c r="H419" s="188" t="s">
        <v>536</v>
      </c>
      <c r="I419" s="562">
        <v>44420</v>
      </c>
      <c r="J419" s="562">
        <v>44439</v>
      </c>
      <c r="K419" s="6" t="str">
        <f t="shared" si="19"/>
        <v>PP INJ</v>
      </c>
      <c r="L419" s="14">
        <f>VLOOKUP(J419,'USD to INR'!$B$2:$G$560,6,TRUE)</f>
        <v>72.981999999999999</v>
      </c>
      <c r="M419" s="216">
        <f t="shared" si="20"/>
        <v>1432.4079910114824</v>
      </c>
      <c r="N419" s="563">
        <f t="shared" si="18"/>
        <v>44439</v>
      </c>
    </row>
    <row r="420" spans="1:14" x14ac:dyDescent="0.25">
      <c r="A420" s="188" t="s">
        <v>530</v>
      </c>
      <c r="B420" s="188" t="s">
        <v>531</v>
      </c>
      <c r="C420" s="188" t="s">
        <v>532</v>
      </c>
      <c r="D420" s="560">
        <v>104550</v>
      </c>
      <c r="E420" s="188" t="s">
        <v>98</v>
      </c>
      <c r="F420" s="561">
        <v>1</v>
      </c>
      <c r="G420" s="188" t="s">
        <v>13</v>
      </c>
      <c r="H420" s="188" t="s">
        <v>536</v>
      </c>
      <c r="I420" s="562">
        <v>44440</v>
      </c>
      <c r="J420" s="562">
        <v>44461</v>
      </c>
      <c r="K420" s="6" t="str">
        <f t="shared" si="19"/>
        <v>PP INJ</v>
      </c>
      <c r="L420" s="14">
        <f>VLOOKUP(J420,'USD to INR'!$B$2:$G$560,6,TRUE)</f>
        <v>73.813000000000002</v>
      </c>
      <c r="M420" s="216">
        <f t="shared" si="20"/>
        <v>1416.4171622884858</v>
      </c>
      <c r="N420" s="563">
        <f t="shared" si="18"/>
        <v>44461</v>
      </c>
    </row>
    <row r="421" spans="1:14" x14ac:dyDescent="0.25">
      <c r="A421" s="188" t="s">
        <v>530</v>
      </c>
      <c r="B421" s="188" t="s">
        <v>531</v>
      </c>
      <c r="C421" s="188" t="s">
        <v>532</v>
      </c>
      <c r="D421" s="560">
        <v>105480</v>
      </c>
      <c r="E421" s="188" t="s">
        <v>98</v>
      </c>
      <c r="F421" s="561">
        <v>1</v>
      </c>
      <c r="G421" s="188" t="s">
        <v>13</v>
      </c>
      <c r="H421" s="188" t="s">
        <v>536</v>
      </c>
      <c r="I421" s="562">
        <v>44462</v>
      </c>
      <c r="J421" s="562">
        <v>44469</v>
      </c>
      <c r="K421" s="6" t="str">
        <f t="shared" si="19"/>
        <v>PP INJ</v>
      </c>
      <c r="L421" s="14">
        <f>VLOOKUP(J421,'USD to INR'!$B$2:$G$560,6,TRUE)</f>
        <v>74.131</v>
      </c>
      <c r="M421" s="216">
        <f t="shared" si="20"/>
        <v>1422.8865117157463</v>
      </c>
      <c r="N421" s="563">
        <f t="shared" si="18"/>
        <v>44469</v>
      </c>
    </row>
    <row r="422" spans="1:14" x14ac:dyDescent="0.25">
      <c r="A422" s="188" t="s">
        <v>530</v>
      </c>
      <c r="B422" s="188" t="s">
        <v>531</v>
      </c>
      <c r="C422" s="188" t="s">
        <v>532</v>
      </c>
      <c r="D422" s="560">
        <v>107790</v>
      </c>
      <c r="E422" s="188" t="s">
        <v>98</v>
      </c>
      <c r="F422" s="561">
        <v>1</v>
      </c>
      <c r="G422" s="188" t="s">
        <v>13</v>
      </c>
      <c r="H422" s="188" t="s">
        <v>536</v>
      </c>
      <c r="I422" s="562">
        <v>44470</v>
      </c>
      <c r="J422" s="562">
        <v>44475</v>
      </c>
      <c r="K422" s="6" t="str">
        <f t="shared" si="19"/>
        <v>PP INJ</v>
      </c>
      <c r="L422" s="14">
        <f>VLOOKUP(J422,'USD to INR'!$B$2:$G$560,6,TRUE)</f>
        <v>75.111999999999995</v>
      </c>
      <c r="M422" s="216">
        <f t="shared" si="20"/>
        <v>1435.0569815741826</v>
      </c>
      <c r="N422" s="563">
        <f t="shared" si="18"/>
        <v>44475</v>
      </c>
    </row>
    <row r="423" spans="1:14" x14ac:dyDescent="0.25">
      <c r="A423" s="188" t="s">
        <v>530</v>
      </c>
      <c r="B423" s="188" t="s">
        <v>531</v>
      </c>
      <c r="C423" s="188" t="s">
        <v>532</v>
      </c>
      <c r="D423" s="560">
        <v>109640</v>
      </c>
      <c r="E423" s="188" t="s">
        <v>98</v>
      </c>
      <c r="F423" s="561">
        <v>1</v>
      </c>
      <c r="G423" s="188" t="s">
        <v>13</v>
      </c>
      <c r="H423" s="188" t="s">
        <v>536</v>
      </c>
      <c r="I423" s="562">
        <v>44476</v>
      </c>
      <c r="J423" s="562">
        <v>44482</v>
      </c>
      <c r="K423" s="6" t="str">
        <f t="shared" si="19"/>
        <v>PP INJ</v>
      </c>
      <c r="L423" s="14">
        <f>VLOOKUP(J423,'USD to INR'!$B$2:$G$560,6,TRUE)</f>
        <v>75.013000000000005</v>
      </c>
      <c r="M423" s="216">
        <f t="shared" si="20"/>
        <v>1461.6133203578045</v>
      </c>
      <c r="N423" s="563">
        <f t="shared" si="18"/>
        <v>44482</v>
      </c>
    </row>
    <row r="424" spans="1:14" x14ac:dyDescent="0.25">
      <c r="A424" s="188" t="s">
        <v>530</v>
      </c>
      <c r="B424" s="188" t="s">
        <v>531</v>
      </c>
      <c r="C424" s="188" t="s">
        <v>532</v>
      </c>
      <c r="D424" s="560">
        <v>115190</v>
      </c>
      <c r="E424" s="188" t="s">
        <v>98</v>
      </c>
      <c r="F424" s="561">
        <v>1</v>
      </c>
      <c r="G424" s="188" t="s">
        <v>13</v>
      </c>
      <c r="H424" s="188" t="s">
        <v>536</v>
      </c>
      <c r="I424" s="562">
        <v>44483</v>
      </c>
      <c r="J424" s="562">
        <v>44500</v>
      </c>
      <c r="K424" s="6" t="str">
        <f t="shared" si="19"/>
        <v>PP INJ</v>
      </c>
      <c r="L424" s="14">
        <f>VLOOKUP(J424,'USD to INR'!$B$2:$G$560,6,TRUE)</f>
        <v>75.313000000000002</v>
      </c>
      <c r="M424" s="216">
        <f t="shared" si="20"/>
        <v>1529.4836216854992</v>
      </c>
      <c r="N424" s="563">
        <f t="shared" si="18"/>
        <v>44500</v>
      </c>
    </row>
    <row r="425" spans="1:14" x14ac:dyDescent="0.25">
      <c r="A425" s="188" t="s">
        <v>530</v>
      </c>
      <c r="B425" s="188" t="s">
        <v>531</v>
      </c>
      <c r="C425" s="188" t="s">
        <v>532</v>
      </c>
      <c r="D425" s="560">
        <v>117020</v>
      </c>
      <c r="E425" s="188" t="s">
        <v>98</v>
      </c>
      <c r="F425" s="561">
        <v>1</v>
      </c>
      <c r="G425" s="188" t="s">
        <v>13</v>
      </c>
      <c r="H425" s="188" t="s">
        <v>536</v>
      </c>
      <c r="I425" s="562">
        <v>44501</v>
      </c>
      <c r="J425" s="562">
        <v>44517</v>
      </c>
      <c r="K425" s="6" t="str">
        <f t="shared" si="19"/>
        <v>PP INJ</v>
      </c>
      <c r="L425" s="14">
        <f>VLOOKUP(J425,'USD to INR'!$B$2:$G$560,6,TRUE)</f>
        <v>75.313000000000002</v>
      </c>
      <c r="M425" s="216">
        <f t="shared" si="20"/>
        <v>1553.7822155537556</v>
      </c>
      <c r="N425" s="563">
        <f t="shared" si="18"/>
        <v>44517</v>
      </c>
    </row>
    <row r="426" spans="1:14" x14ac:dyDescent="0.25">
      <c r="A426" s="188" t="s">
        <v>530</v>
      </c>
      <c r="B426" s="188" t="s">
        <v>531</v>
      </c>
      <c r="C426" s="188" t="s">
        <v>532</v>
      </c>
      <c r="D426" s="560">
        <v>115180</v>
      </c>
      <c r="E426" s="188" t="s">
        <v>98</v>
      </c>
      <c r="F426" s="561">
        <v>1</v>
      </c>
      <c r="G426" s="188" t="s">
        <v>13</v>
      </c>
      <c r="H426" s="188" t="s">
        <v>536</v>
      </c>
      <c r="I426" s="562">
        <v>44518</v>
      </c>
      <c r="J426" s="562">
        <v>44530</v>
      </c>
      <c r="K426" s="6" t="str">
        <f t="shared" si="19"/>
        <v>PP INJ</v>
      </c>
      <c r="L426" s="14">
        <f>VLOOKUP(J426,'USD to INR'!$B$2:$G$560,6,TRUE)</f>
        <v>75.313000000000002</v>
      </c>
      <c r="M426" s="216">
        <f t="shared" si="20"/>
        <v>1529.3508424840334</v>
      </c>
      <c r="N426" s="563">
        <f t="shared" si="18"/>
        <v>44530</v>
      </c>
    </row>
    <row r="427" spans="1:14" x14ac:dyDescent="0.25">
      <c r="A427" s="188" t="s">
        <v>530</v>
      </c>
      <c r="B427" s="188" t="s">
        <v>531</v>
      </c>
      <c r="C427" s="188" t="s">
        <v>532</v>
      </c>
      <c r="D427" s="560">
        <v>111530</v>
      </c>
      <c r="E427" s="188" t="s">
        <v>98</v>
      </c>
      <c r="F427" s="561">
        <v>1</v>
      </c>
      <c r="G427" s="188" t="s">
        <v>13</v>
      </c>
      <c r="H427" s="188" t="s">
        <v>536</v>
      </c>
      <c r="I427" s="562">
        <v>44531</v>
      </c>
      <c r="J427" s="562">
        <v>44538</v>
      </c>
      <c r="K427" s="6" t="str">
        <f t="shared" si="19"/>
        <v>PP INJ</v>
      </c>
      <c r="L427" s="14">
        <f>VLOOKUP(J427,'USD to INR'!$B$2:$G$560,6,TRUE)</f>
        <v>75.313000000000002</v>
      </c>
      <c r="M427" s="216">
        <f t="shared" si="20"/>
        <v>1480.8864339489862</v>
      </c>
      <c r="N427" s="563">
        <f t="shared" si="18"/>
        <v>44538</v>
      </c>
    </row>
    <row r="428" spans="1:14" x14ac:dyDescent="0.25">
      <c r="A428" s="188" t="s">
        <v>530</v>
      </c>
      <c r="B428" s="188" t="s">
        <v>531</v>
      </c>
      <c r="C428" s="188" t="s">
        <v>532</v>
      </c>
      <c r="D428" s="560">
        <v>106920</v>
      </c>
      <c r="E428" s="188" t="s">
        <v>98</v>
      </c>
      <c r="F428" s="561">
        <v>1</v>
      </c>
      <c r="G428" s="188" t="s">
        <v>13</v>
      </c>
      <c r="H428" s="188" t="s">
        <v>536</v>
      </c>
      <c r="I428" s="562">
        <v>44539</v>
      </c>
      <c r="J428" s="562">
        <v>44545</v>
      </c>
      <c r="K428" s="6" t="str">
        <f t="shared" si="19"/>
        <v>PP INJ</v>
      </c>
      <c r="L428" s="14">
        <f>VLOOKUP(J428,'USD to INR'!$B$2:$G$560,6,TRUE)</f>
        <v>75.313000000000002</v>
      </c>
      <c r="M428" s="216">
        <f t="shared" si="20"/>
        <v>1419.6752220732144</v>
      </c>
      <c r="N428" s="563">
        <f t="shared" si="18"/>
        <v>44545</v>
      </c>
    </row>
    <row r="429" spans="1:14" x14ac:dyDescent="0.25">
      <c r="A429" s="188" t="s">
        <v>530</v>
      </c>
      <c r="B429" s="188" t="s">
        <v>531</v>
      </c>
      <c r="C429" s="188" t="s">
        <v>532</v>
      </c>
      <c r="D429" s="560">
        <v>104150</v>
      </c>
      <c r="E429" s="188" t="s">
        <v>98</v>
      </c>
      <c r="F429" s="561">
        <v>1</v>
      </c>
      <c r="G429" s="188" t="s">
        <v>13</v>
      </c>
      <c r="H429" s="188" t="s">
        <v>536</v>
      </c>
      <c r="I429" s="562">
        <v>44546</v>
      </c>
      <c r="J429" s="562">
        <v>44561</v>
      </c>
      <c r="K429" s="6" t="str">
        <f t="shared" si="19"/>
        <v>PP INJ</v>
      </c>
      <c r="L429" s="14">
        <f>VLOOKUP(J429,'USD to INR'!$B$2:$G$560,6,TRUE)</f>
        <v>75.313000000000002</v>
      </c>
      <c r="M429" s="216">
        <f t="shared" si="20"/>
        <v>1382.895383267165</v>
      </c>
      <c r="N429" s="563">
        <f t="shared" si="18"/>
        <v>44561</v>
      </c>
    </row>
    <row r="430" spans="1:14" x14ac:dyDescent="0.25">
      <c r="A430" s="188" t="s">
        <v>530</v>
      </c>
      <c r="B430" s="188" t="s">
        <v>531</v>
      </c>
      <c r="C430" s="188" t="s">
        <v>532</v>
      </c>
      <c r="D430" s="560">
        <v>76500</v>
      </c>
      <c r="E430" s="188" t="s">
        <v>98</v>
      </c>
      <c r="F430" s="561">
        <v>1</v>
      </c>
      <c r="G430" s="188" t="s">
        <v>13</v>
      </c>
      <c r="H430" s="188" t="s">
        <v>537</v>
      </c>
      <c r="I430" s="562">
        <v>43101</v>
      </c>
      <c r="J430" s="562">
        <v>43117</v>
      </c>
      <c r="K430" s="6" t="str">
        <f t="shared" si="19"/>
        <v>LLD FILM</v>
      </c>
      <c r="L430" s="14">
        <f>VLOOKUP(J430,'USD to INR'!$B$2:$G$560,6,TRUE)</f>
        <v>63.83</v>
      </c>
      <c r="M430" s="216">
        <f t="shared" si="20"/>
        <v>1198.4960050133166</v>
      </c>
      <c r="N430" s="563">
        <f t="shared" si="18"/>
        <v>43117</v>
      </c>
    </row>
    <row r="431" spans="1:14" x14ac:dyDescent="0.25">
      <c r="A431" s="188" t="s">
        <v>530</v>
      </c>
      <c r="B431" s="188" t="s">
        <v>531</v>
      </c>
      <c r="C431" s="188" t="s">
        <v>532</v>
      </c>
      <c r="D431" s="560">
        <v>77430</v>
      </c>
      <c r="E431" s="188" t="s">
        <v>98</v>
      </c>
      <c r="F431" s="561">
        <v>1</v>
      </c>
      <c r="G431" s="188" t="s">
        <v>13</v>
      </c>
      <c r="H431" s="188" t="s">
        <v>537</v>
      </c>
      <c r="I431" s="562">
        <v>43118</v>
      </c>
      <c r="J431" s="562">
        <v>43124</v>
      </c>
      <c r="K431" s="6" t="str">
        <f t="shared" si="19"/>
        <v>LLD FILM</v>
      </c>
      <c r="L431" s="14">
        <f>VLOOKUP(J431,'USD to INR'!$B$2:$G$560,6,TRUE)</f>
        <v>63.59</v>
      </c>
      <c r="M431" s="216">
        <f t="shared" si="20"/>
        <v>1217.6442836924043</v>
      </c>
      <c r="N431" s="563">
        <f t="shared" si="18"/>
        <v>43124</v>
      </c>
    </row>
    <row r="432" spans="1:14" x14ac:dyDescent="0.25">
      <c r="A432" s="188" t="s">
        <v>530</v>
      </c>
      <c r="B432" s="188" t="s">
        <v>531</v>
      </c>
      <c r="C432" s="188" t="s">
        <v>532</v>
      </c>
      <c r="D432" s="560">
        <v>77430</v>
      </c>
      <c r="E432" s="188" t="s">
        <v>98</v>
      </c>
      <c r="F432" s="561">
        <v>1</v>
      </c>
      <c r="G432" s="188" t="s">
        <v>13</v>
      </c>
      <c r="H432" s="188" t="s">
        <v>537</v>
      </c>
      <c r="I432" s="562">
        <v>43125</v>
      </c>
      <c r="J432" s="562">
        <v>43131</v>
      </c>
      <c r="K432" s="6" t="str">
        <f t="shared" si="19"/>
        <v>LLD FILM</v>
      </c>
      <c r="L432" s="14">
        <f>VLOOKUP(J432,'USD to INR'!$B$2:$G$560,6,TRUE)</f>
        <v>64.13</v>
      </c>
      <c r="M432" s="216">
        <f t="shared" si="20"/>
        <v>1207.3912365507563</v>
      </c>
      <c r="N432" s="563">
        <f t="shared" si="18"/>
        <v>43131</v>
      </c>
    </row>
    <row r="433" spans="1:14" x14ac:dyDescent="0.25">
      <c r="A433" s="188" t="s">
        <v>530</v>
      </c>
      <c r="B433" s="188" t="s">
        <v>531</v>
      </c>
      <c r="C433" s="188" t="s">
        <v>532</v>
      </c>
      <c r="D433" s="560">
        <v>78340</v>
      </c>
      <c r="E433" s="188" t="s">
        <v>98</v>
      </c>
      <c r="F433" s="561">
        <v>1</v>
      </c>
      <c r="G433" s="188" t="s">
        <v>13</v>
      </c>
      <c r="H433" s="188" t="s">
        <v>537</v>
      </c>
      <c r="I433" s="562">
        <v>43132</v>
      </c>
      <c r="J433" s="562">
        <v>43145</v>
      </c>
      <c r="K433" s="6" t="str">
        <f t="shared" si="19"/>
        <v>LLD FILM</v>
      </c>
      <c r="L433" s="14">
        <f>VLOOKUP(J433,'USD to INR'!$B$2:$G$560,6,TRUE)</f>
        <v>64.215000000000003</v>
      </c>
      <c r="M433" s="216">
        <f t="shared" si="20"/>
        <v>1219.9641828233277</v>
      </c>
      <c r="N433" s="563">
        <f t="shared" si="18"/>
        <v>43145</v>
      </c>
    </row>
    <row r="434" spans="1:14" x14ac:dyDescent="0.25">
      <c r="A434" s="188" t="s">
        <v>530</v>
      </c>
      <c r="B434" s="188" t="s">
        <v>531</v>
      </c>
      <c r="C434" s="188" t="s">
        <v>532</v>
      </c>
      <c r="D434" s="560">
        <v>78320</v>
      </c>
      <c r="E434" s="188" t="s">
        <v>98</v>
      </c>
      <c r="F434" s="561">
        <v>1</v>
      </c>
      <c r="G434" s="188" t="s">
        <v>13</v>
      </c>
      <c r="H434" s="188" t="s">
        <v>537</v>
      </c>
      <c r="I434" s="562">
        <v>43146</v>
      </c>
      <c r="J434" s="562">
        <v>43159</v>
      </c>
      <c r="K434" s="6" t="str">
        <f t="shared" si="19"/>
        <v>LLD FILM</v>
      </c>
      <c r="L434" s="14">
        <f>VLOOKUP(J434,'USD to INR'!$B$2:$G$560,6,TRUE)</f>
        <v>65.22</v>
      </c>
      <c r="M434" s="216">
        <f t="shared" si="20"/>
        <v>1200.8586323213738</v>
      </c>
      <c r="N434" s="563">
        <f t="shared" si="18"/>
        <v>43159</v>
      </c>
    </row>
    <row r="435" spans="1:14" x14ac:dyDescent="0.25">
      <c r="A435" s="188" t="s">
        <v>530</v>
      </c>
      <c r="B435" s="188" t="s">
        <v>531</v>
      </c>
      <c r="C435" s="188" t="s">
        <v>532</v>
      </c>
      <c r="D435" s="560">
        <v>78330</v>
      </c>
      <c r="E435" s="188" t="s">
        <v>98</v>
      </c>
      <c r="F435" s="561">
        <v>1</v>
      </c>
      <c r="G435" s="188" t="s">
        <v>13</v>
      </c>
      <c r="H435" s="188" t="s">
        <v>537</v>
      </c>
      <c r="I435" s="562">
        <v>43160</v>
      </c>
      <c r="J435" s="562">
        <v>43190</v>
      </c>
      <c r="K435" s="6" t="str">
        <f t="shared" si="19"/>
        <v>LLD FILM</v>
      </c>
      <c r="L435" s="14">
        <f>VLOOKUP(J435,'USD to INR'!$B$2:$G$560,6,TRUE)</f>
        <v>65.114999999999995</v>
      </c>
      <c r="M435" s="216">
        <f t="shared" si="20"/>
        <v>1202.9486293480766</v>
      </c>
      <c r="N435" s="563">
        <f t="shared" si="18"/>
        <v>43190</v>
      </c>
    </row>
    <row r="436" spans="1:14" x14ac:dyDescent="0.25">
      <c r="A436" s="188" t="s">
        <v>530</v>
      </c>
      <c r="B436" s="188" t="s">
        <v>531</v>
      </c>
      <c r="C436" s="188" t="s">
        <v>532</v>
      </c>
      <c r="D436" s="560">
        <v>79710</v>
      </c>
      <c r="E436" s="188" t="s">
        <v>98</v>
      </c>
      <c r="F436" s="561">
        <v>1</v>
      </c>
      <c r="G436" s="188" t="s">
        <v>13</v>
      </c>
      <c r="H436" s="188" t="s">
        <v>537</v>
      </c>
      <c r="I436" s="562">
        <v>43191</v>
      </c>
      <c r="J436" s="562">
        <v>43208</v>
      </c>
      <c r="K436" s="6" t="str">
        <f t="shared" si="19"/>
        <v>LLD FILM</v>
      </c>
      <c r="L436" s="14">
        <f>VLOOKUP(J436,'USD to INR'!$B$2:$G$560,6,TRUE)</f>
        <v>66.209999999999994</v>
      </c>
      <c r="M436" s="216">
        <f t="shared" si="20"/>
        <v>1203.8966923425467</v>
      </c>
      <c r="N436" s="563">
        <f t="shared" si="18"/>
        <v>43208</v>
      </c>
    </row>
    <row r="437" spans="1:14" x14ac:dyDescent="0.25">
      <c r="A437" s="188" t="s">
        <v>530</v>
      </c>
      <c r="B437" s="188" t="s">
        <v>531</v>
      </c>
      <c r="C437" s="188" t="s">
        <v>532</v>
      </c>
      <c r="D437" s="560">
        <v>79710</v>
      </c>
      <c r="E437" s="188" t="s">
        <v>98</v>
      </c>
      <c r="F437" s="561">
        <v>1</v>
      </c>
      <c r="G437" s="188" t="s">
        <v>13</v>
      </c>
      <c r="H437" s="188" t="s">
        <v>537</v>
      </c>
      <c r="I437" s="562">
        <v>43209</v>
      </c>
      <c r="J437" s="562">
        <v>43220</v>
      </c>
      <c r="K437" s="6" t="str">
        <f t="shared" si="19"/>
        <v>LLD FILM</v>
      </c>
      <c r="L437" s="14">
        <f>VLOOKUP(J437,'USD to INR'!$B$2:$G$560,6,TRUE)</f>
        <v>66.819999999999993</v>
      </c>
      <c r="M437" s="216">
        <f t="shared" si="20"/>
        <v>1192.906315474409</v>
      </c>
      <c r="N437" s="563">
        <f t="shared" si="18"/>
        <v>43220</v>
      </c>
    </row>
    <row r="438" spans="1:14" x14ac:dyDescent="0.25">
      <c r="A438" s="188" t="s">
        <v>530</v>
      </c>
      <c r="B438" s="188" t="s">
        <v>531</v>
      </c>
      <c r="C438" s="188" t="s">
        <v>532</v>
      </c>
      <c r="D438" s="560">
        <v>81380</v>
      </c>
      <c r="E438" s="188" t="s">
        <v>98</v>
      </c>
      <c r="F438" s="561">
        <v>1</v>
      </c>
      <c r="G438" s="188" t="s">
        <v>13</v>
      </c>
      <c r="H438" s="188" t="s">
        <v>537</v>
      </c>
      <c r="I438" s="562">
        <v>43221</v>
      </c>
      <c r="J438" s="562">
        <v>43236</v>
      </c>
      <c r="K438" s="6" t="str">
        <f t="shared" si="19"/>
        <v>LLD FILM</v>
      </c>
      <c r="L438" s="14">
        <f>VLOOKUP(J438,'USD to INR'!$B$2:$G$560,6,TRUE)</f>
        <v>67.989999999999995</v>
      </c>
      <c r="M438" s="216">
        <f t="shared" si="20"/>
        <v>1196.940726577438</v>
      </c>
      <c r="N438" s="563">
        <f t="shared" si="18"/>
        <v>43236</v>
      </c>
    </row>
    <row r="439" spans="1:14" x14ac:dyDescent="0.25">
      <c r="A439" s="188" t="s">
        <v>530</v>
      </c>
      <c r="B439" s="188" t="s">
        <v>531</v>
      </c>
      <c r="C439" s="188" t="s">
        <v>532</v>
      </c>
      <c r="D439" s="560">
        <v>82300</v>
      </c>
      <c r="E439" s="188" t="s">
        <v>98</v>
      </c>
      <c r="F439" s="561">
        <v>1</v>
      </c>
      <c r="G439" s="188" t="s">
        <v>13</v>
      </c>
      <c r="H439" s="188" t="s">
        <v>537</v>
      </c>
      <c r="I439" s="562">
        <v>43237</v>
      </c>
      <c r="J439" s="562">
        <v>43251</v>
      </c>
      <c r="K439" s="6" t="str">
        <f t="shared" si="19"/>
        <v>LLD FILM</v>
      </c>
      <c r="L439" s="14">
        <f>VLOOKUP(J439,'USD to INR'!$B$2:$G$560,6,TRUE)</f>
        <v>66.995000000000005</v>
      </c>
      <c r="M439" s="216">
        <f t="shared" si="20"/>
        <v>1228.4498843197252</v>
      </c>
      <c r="N439" s="563">
        <f t="shared" si="18"/>
        <v>43251</v>
      </c>
    </row>
    <row r="440" spans="1:14" x14ac:dyDescent="0.25">
      <c r="A440" s="188" t="s">
        <v>530</v>
      </c>
      <c r="B440" s="188" t="s">
        <v>531</v>
      </c>
      <c r="C440" s="188" t="s">
        <v>532</v>
      </c>
      <c r="D440" s="560">
        <v>82290</v>
      </c>
      <c r="E440" s="188" t="s">
        <v>98</v>
      </c>
      <c r="F440" s="561">
        <v>1</v>
      </c>
      <c r="G440" s="188" t="s">
        <v>13</v>
      </c>
      <c r="H440" s="188" t="s">
        <v>537</v>
      </c>
      <c r="I440" s="562">
        <v>43252</v>
      </c>
      <c r="J440" s="562">
        <v>43281</v>
      </c>
      <c r="K440" s="6" t="str">
        <f t="shared" si="19"/>
        <v>LLD FILM</v>
      </c>
      <c r="L440" s="14">
        <f>VLOOKUP(J440,'USD to INR'!$B$2:$G$560,6,TRUE)</f>
        <v>68.459999999999994</v>
      </c>
      <c r="M440" s="216">
        <f t="shared" si="20"/>
        <v>1202.0157756354076</v>
      </c>
      <c r="N440" s="563">
        <f t="shared" si="18"/>
        <v>43281</v>
      </c>
    </row>
    <row r="441" spans="1:14" x14ac:dyDescent="0.25">
      <c r="A441" s="188" t="s">
        <v>530</v>
      </c>
      <c r="B441" s="188" t="s">
        <v>531</v>
      </c>
      <c r="C441" s="188" t="s">
        <v>532</v>
      </c>
      <c r="D441" s="560">
        <v>82300</v>
      </c>
      <c r="E441" s="188" t="s">
        <v>98</v>
      </c>
      <c r="F441" s="561">
        <v>1</v>
      </c>
      <c r="G441" s="188" t="s">
        <v>13</v>
      </c>
      <c r="H441" s="188" t="s">
        <v>537</v>
      </c>
      <c r="I441" s="562">
        <v>43282</v>
      </c>
      <c r="J441" s="562">
        <v>43292</v>
      </c>
      <c r="K441" s="6" t="str">
        <f t="shared" si="19"/>
        <v>LLD FILM</v>
      </c>
      <c r="L441" s="14">
        <f>VLOOKUP(J441,'USD to INR'!$B$2:$G$560,6,TRUE)</f>
        <v>68.5</v>
      </c>
      <c r="M441" s="216">
        <f t="shared" si="20"/>
        <v>1201.4598540145985</v>
      </c>
      <c r="N441" s="563">
        <f t="shared" si="18"/>
        <v>43292</v>
      </c>
    </row>
    <row r="442" spans="1:14" x14ac:dyDescent="0.25">
      <c r="A442" s="188" t="s">
        <v>530</v>
      </c>
      <c r="B442" s="188" t="s">
        <v>531</v>
      </c>
      <c r="C442" s="188" t="s">
        <v>532</v>
      </c>
      <c r="D442" s="560">
        <v>80910</v>
      </c>
      <c r="E442" s="188" t="s">
        <v>98</v>
      </c>
      <c r="F442" s="561">
        <v>1</v>
      </c>
      <c r="G442" s="188" t="s">
        <v>13</v>
      </c>
      <c r="H442" s="188" t="s">
        <v>537</v>
      </c>
      <c r="I442" s="562">
        <v>43293</v>
      </c>
      <c r="J442" s="562">
        <v>43312</v>
      </c>
      <c r="K442" s="6" t="str">
        <f t="shared" si="19"/>
        <v>LLD FILM</v>
      </c>
      <c r="L442" s="14">
        <f>VLOOKUP(J442,'USD to INR'!$B$2:$G$560,6,TRUE)</f>
        <v>68.545000000000002</v>
      </c>
      <c r="M442" s="216">
        <f t="shared" si="20"/>
        <v>1180.3924429207091</v>
      </c>
      <c r="N442" s="563">
        <f t="shared" si="18"/>
        <v>43312</v>
      </c>
    </row>
    <row r="443" spans="1:14" x14ac:dyDescent="0.25">
      <c r="A443" s="188" t="s">
        <v>530</v>
      </c>
      <c r="B443" s="188" t="s">
        <v>531</v>
      </c>
      <c r="C443" s="188" t="s">
        <v>532</v>
      </c>
      <c r="D443" s="560">
        <v>79990</v>
      </c>
      <c r="E443" s="188" t="s">
        <v>98</v>
      </c>
      <c r="F443" s="561">
        <v>1</v>
      </c>
      <c r="G443" s="188" t="s">
        <v>13</v>
      </c>
      <c r="H443" s="188" t="s">
        <v>537</v>
      </c>
      <c r="I443" s="562">
        <v>43313</v>
      </c>
      <c r="J443" s="562">
        <v>43328</v>
      </c>
      <c r="K443" s="6" t="str">
        <f t="shared" si="19"/>
        <v>LLD FILM</v>
      </c>
      <c r="L443" s="14">
        <f>VLOOKUP(J443,'USD to INR'!$B$2:$G$560,6,TRUE)</f>
        <v>70.099999999999994</v>
      </c>
      <c r="M443" s="216">
        <f t="shared" si="20"/>
        <v>1141.0841654778887</v>
      </c>
      <c r="N443" s="563">
        <f t="shared" si="18"/>
        <v>43328</v>
      </c>
    </row>
    <row r="444" spans="1:14" x14ac:dyDescent="0.25">
      <c r="A444" s="188" t="s">
        <v>530</v>
      </c>
      <c r="B444" s="188" t="s">
        <v>531</v>
      </c>
      <c r="C444" s="188" t="s">
        <v>532</v>
      </c>
      <c r="D444" s="560">
        <v>80910</v>
      </c>
      <c r="E444" s="188" t="s">
        <v>98</v>
      </c>
      <c r="F444" s="561">
        <v>1</v>
      </c>
      <c r="G444" s="188" t="s">
        <v>13</v>
      </c>
      <c r="H444" s="188" t="s">
        <v>537</v>
      </c>
      <c r="I444" s="562">
        <v>43329</v>
      </c>
      <c r="J444" s="562">
        <v>43343</v>
      </c>
      <c r="K444" s="6" t="str">
        <f t="shared" si="19"/>
        <v>LLD FILM</v>
      </c>
      <c r="L444" s="14">
        <f>VLOOKUP(J444,'USD to INR'!$B$2:$G$560,6,TRUE)</f>
        <v>71.004999999999995</v>
      </c>
      <c r="M444" s="216">
        <f t="shared" si="20"/>
        <v>1139.4972185057391</v>
      </c>
      <c r="N444" s="563">
        <f t="shared" si="18"/>
        <v>43343</v>
      </c>
    </row>
    <row r="445" spans="1:14" x14ac:dyDescent="0.25">
      <c r="A445" s="188" t="s">
        <v>530</v>
      </c>
      <c r="B445" s="188" t="s">
        <v>531</v>
      </c>
      <c r="C445" s="188" t="s">
        <v>532</v>
      </c>
      <c r="D445" s="560">
        <v>82290</v>
      </c>
      <c r="E445" s="188" t="s">
        <v>98</v>
      </c>
      <c r="F445" s="561">
        <v>1</v>
      </c>
      <c r="G445" s="188" t="s">
        <v>13</v>
      </c>
      <c r="H445" s="188" t="s">
        <v>537</v>
      </c>
      <c r="I445" s="562">
        <v>43344</v>
      </c>
      <c r="J445" s="562">
        <v>43373</v>
      </c>
      <c r="K445" s="6" t="str">
        <f t="shared" si="19"/>
        <v>LLD FILM</v>
      </c>
      <c r="L445" s="14">
        <f>VLOOKUP(J445,'USD to INR'!$B$2:$G$560,6,TRUE)</f>
        <v>73.77</v>
      </c>
      <c r="M445" s="216">
        <f t="shared" si="20"/>
        <v>1115.4941032940221</v>
      </c>
      <c r="N445" s="563">
        <f t="shared" si="18"/>
        <v>43373</v>
      </c>
    </row>
    <row r="446" spans="1:14" x14ac:dyDescent="0.25">
      <c r="A446" s="188" t="s">
        <v>530</v>
      </c>
      <c r="B446" s="188" t="s">
        <v>531</v>
      </c>
      <c r="C446" s="188" t="s">
        <v>532</v>
      </c>
      <c r="D446" s="560">
        <v>84170</v>
      </c>
      <c r="E446" s="188" t="s">
        <v>98</v>
      </c>
      <c r="F446" s="561">
        <v>1</v>
      </c>
      <c r="G446" s="188" t="s">
        <v>13</v>
      </c>
      <c r="H446" s="188" t="s">
        <v>537</v>
      </c>
      <c r="I446" s="562">
        <v>43374</v>
      </c>
      <c r="J446" s="562">
        <v>43383</v>
      </c>
      <c r="K446" s="6" t="str">
        <f t="shared" si="19"/>
        <v>LLD FILM</v>
      </c>
      <c r="L446" s="14">
        <f>VLOOKUP(J446,'USD to INR'!$B$2:$G$560,6,TRUE)</f>
        <v>73.61</v>
      </c>
      <c r="M446" s="216">
        <f t="shared" si="20"/>
        <v>1143.458769188969</v>
      </c>
      <c r="N446" s="563">
        <f t="shared" si="18"/>
        <v>43383</v>
      </c>
    </row>
    <row r="447" spans="1:14" x14ac:dyDescent="0.25">
      <c r="A447" s="188" t="s">
        <v>530</v>
      </c>
      <c r="B447" s="188" t="s">
        <v>531</v>
      </c>
      <c r="C447" s="188" t="s">
        <v>532</v>
      </c>
      <c r="D447" s="560">
        <v>85550</v>
      </c>
      <c r="E447" s="188" t="s">
        <v>98</v>
      </c>
      <c r="F447" s="561">
        <v>1</v>
      </c>
      <c r="G447" s="188" t="s">
        <v>13</v>
      </c>
      <c r="H447" s="188" t="s">
        <v>537</v>
      </c>
      <c r="I447" s="562">
        <v>43384</v>
      </c>
      <c r="J447" s="562">
        <v>43404</v>
      </c>
      <c r="K447" s="6" t="str">
        <f t="shared" si="19"/>
        <v>LLD FILM</v>
      </c>
      <c r="L447" s="14">
        <f>VLOOKUP(J447,'USD to INR'!$B$2:$G$560,6,TRUE)</f>
        <v>72.44</v>
      </c>
      <c r="M447" s="216">
        <f t="shared" si="20"/>
        <v>1180.9773605742685</v>
      </c>
      <c r="N447" s="563">
        <f t="shared" si="18"/>
        <v>43404</v>
      </c>
    </row>
    <row r="448" spans="1:14" x14ac:dyDescent="0.25">
      <c r="A448" s="188" t="s">
        <v>530</v>
      </c>
      <c r="B448" s="188" t="s">
        <v>531</v>
      </c>
      <c r="C448" s="188" t="s">
        <v>532</v>
      </c>
      <c r="D448" s="560">
        <v>85560</v>
      </c>
      <c r="E448" s="188" t="s">
        <v>98</v>
      </c>
      <c r="F448" s="561">
        <v>1</v>
      </c>
      <c r="G448" s="188" t="s">
        <v>13</v>
      </c>
      <c r="H448" s="188" t="s">
        <v>537</v>
      </c>
      <c r="I448" s="562">
        <v>43405</v>
      </c>
      <c r="J448" s="562">
        <v>43418</v>
      </c>
      <c r="K448" s="6" t="str">
        <f t="shared" si="19"/>
        <v>LLD FILM</v>
      </c>
      <c r="L448" s="14">
        <f>VLOOKUP(J448,'USD to INR'!$B$2:$G$560,6,TRUE)</f>
        <v>71.98</v>
      </c>
      <c r="M448" s="216">
        <f t="shared" si="20"/>
        <v>1188.6635176437899</v>
      </c>
      <c r="N448" s="563">
        <f t="shared" si="18"/>
        <v>43418</v>
      </c>
    </row>
    <row r="449" spans="1:14" x14ac:dyDescent="0.25">
      <c r="A449" s="188" t="s">
        <v>530</v>
      </c>
      <c r="B449" s="188" t="s">
        <v>531</v>
      </c>
      <c r="C449" s="188" t="s">
        <v>532</v>
      </c>
      <c r="D449" s="560">
        <v>82790</v>
      </c>
      <c r="E449" s="188" t="s">
        <v>98</v>
      </c>
      <c r="F449" s="561">
        <v>1</v>
      </c>
      <c r="G449" s="188" t="s">
        <v>13</v>
      </c>
      <c r="H449" s="188" t="s">
        <v>537</v>
      </c>
      <c r="I449" s="562">
        <v>43419</v>
      </c>
      <c r="J449" s="562">
        <v>43425</v>
      </c>
      <c r="K449" s="6" t="str">
        <f t="shared" si="19"/>
        <v>LLD FILM</v>
      </c>
      <c r="L449" s="14">
        <f>VLOOKUP(J449,'USD to INR'!$B$2:$G$560,6,TRUE)</f>
        <v>70.655000000000001</v>
      </c>
      <c r="M449" s="216">
        <f t="shared" si="20"/>
        <v>1171.7500530748</v>
      </c>
      <c r="N449" s="563">
        <f t="shared" si="18"/>
        <v>43425</v>
      </c>
    </row>
    <row r="450" spans="1:14" x14ac:dyDescent="0.25">
      <c r="A450" s="188" t="s">
        <v>530</v>
      </c>
      <c r="B450" s="188" t="s">
        <v>531</v>
      </c>
      <c r="C450" s="188" t="s">
        <v>532</v>
      </c>
      <c r="D450" s="560">
        <v>80020</v>
      </c>
      <c r="E450" s="188" t="s">
        <v>98</v>
      </c>
      <c r="F450" s="561">
        <v>1</v>
      </c>
      <c r="G450" s="188" t="s">
        <v>13</v>
      </c>
      <c r="H450" s="188" t="s">
        <v>537</v>
      </c>
      <c r="I450" s="562">
        <v>43426</v>
      </c>
      <c r="J450" s="562">
        <v>43434</v>
      </c>
      <c r="K450" s="6" t="str">
        <f t="shared" si="19"/>
        <v>LLD FILM</v>
      </c>
      <c r="L450" s="14">
        <f>VLOOKUP(J450,'USD to INR'!$B$2:$G$560,6,TRUE)</f>
        <v>69.650000000000006</v>
      </c>
      <c r="M450" s="216">
        <f t="shared" si="20"/>
        <v>1148.8872936109117</v>
      </c>
      <c r="N450" s="563">
        <f t="shared" ref="N450:N513" si="21">J450</f>
        <v>43434</v>
      </c>
    </row>
    <row r="451" spans="1:14" x14ac:dyDescent="0.25">
      <c r="A451" s="188" t="s">
        <v>530</v>
      </c>
      <c r="B451" s="188" t="s">
        <v>531</v>
      </c>
      <c r="C451" s="188" t="s">
        <v>532</v>
      </c>
      <c r="D451" s="560">
        <v>75410</v>
      </c>
      <c r="E451" s="188" t="s">
        <v>98</v>
      </c>
      <c r="F451" s="561">
        <v>1</v>
      </c>
      <c r="G451" s="188" t="s">
        <v>13</v>
      </c>
      <c r="H451" s="188" t="s">
        <v>537</v>
      </c>
      <c r="I451" s="562">
        <v>43435</v>
      </c>
      <c r="J451" s="562">
        <v>43465</v>
      </c>
      <c r="K451" s="6" t="str">
        <f t="shared" ref="K451:K514" si="22">VLOOKUP(H451,$V$2:$W$10,2,TRUE)</f>
        <v>LLD FILM</v>
      </c>
      <c r="L451" s="14">
        <f>VLOOKUP(J451,'USD to INR'!$B$2:$G$560,6,TRUE)</f>
        <v>69.55</v>
      </c>
      <c r="M451" s="216">
        <f t="shared" ref="M451:M514" si="23">D451/L451</f>
        <v>1084.255930984903</v>
      </c>
      <c r="N451" s="563">
        <f t="shared" si="21"/>
        <v>43465</v>
      </c>
    </row>
    <row r="452" spans="1:14" x14ac:dyDescent="0.25">
      <c r="A452" s="188" t="s">
        <v>530</v>
      </c>
      <c r="B452" s="188" t="s">
        <v>531</v>
      </c>
      <c r="C452" s="188" t="s">
        <v>532</v>
      </c>
      <c r="D452" s="560">
        <v>75535</v>
      </c>
      <c r="E452" s="188" t="s">
        <v>98</v>
      </c>
      <c r="F452" s="561">
        <v>1</v>
      </c>
      <c r="G452" s="188" t="s">
        <v>13</v>
      </c>
      <c r="H452" s="188" t="s">
        <v>537</v>
      </c>
      <c r="I452" s="562">
        <v>43466</v>
      </c>
      <c r="J452" s="562">
        <v>43474</v>
      </c>
      <c r="K452" s="6" t="str">
        <f t="shared" si="22"/>
        <v>LLD FILM</v>
      </c>
      <c r="L452" s="14">
        <f>VLOOKUP(J452,'USD to INR'!$B$2:$G$560,6,TRUE)</f>
        <v>70.399000000000001</v>
      </c>
      <c r="M452" s="216">
        <f t="shared" si="23"/>
        <v>1072.9555817554226</v>
      </c>
      <c r="N452" s="563">
        <f t="shared" si="21"/>
        <v>43474</v>
      </c>
    </row>
    <row r="453" spans="1:14" x14ac:dyDescent="0.25">
      <c r="A453" s="188" t="s">
        <v>530</v>
      </c>
      <c r="B453" s="188" t="s">
        <v>531</v>
      </c>
      <c r="C453" s="188" t="s">
        <v>532</v>
      </c>
      <c r="D453" s="560">
        <v>75535</v>
      </c>
      <c r="E453" s="188" t="s">
        <v>98</v>
      </c>
      <c r="F453" s="561">
        <v>1</v>
      </c>
      <c r="G453" s="188" t="s">
        <v>13</v>
      </c>
      <c r="H453" s="188" t="s">
        <v>537</v>
      </c>
      <c r="I453" s="562">
        <v>43475</v>
      </c>
      <c r="J453" s="562">
        <v>43496</v>
      </c>
      <c r="K453" s="6" t="str">
        <f t="shared" si="22"/>
        <v>LLD FILM</v>
      </c>
      <c r="L453" s="14">
        <f>VLOOKUP(J453,'USD to INR'!$B$2:$G$560,6,TRUE)</f>
        <v>71.435000000000002</v>
      </c>
      <c r="M453" s="216">
        <f t="shared" si="23"/>
        <v>1057.3948344648982</v>
      </c>
      <c r="N453" s="563">
        <f t="shared" si="21"/>
        <v>43496</v>
      </c>
    </row>
    <row r="454" spans="1:14" x14ac:dyDescent="0.25">
      <c r="A454" s="188" t="s">
        <v>530</v>
      </c>
      <c r="B454" s="188" t="s">
        <v>531</v>
      </c>
      <c r="C454" s="188" t="s">
        <v>532</v>
      </c>
      <c r="D454" s="560">
        <v>75515</v>
      </c>
      <c r="E454" s="188" t="s">
        <v>98</v>
      </c>
      <c r="F454" s="561">
        <v>1</v>
      </c>
      <c r="G454" s="188" t="s">
        <v>13</v>
      </c>
      <c r="H454" s="188" t="s">
        <v>537</v>
      </c>
      <c r="I454" s="562">
        <v>43497</v>
      </c>
      <c r="J454" s="562">
        <v>43524</v>
      </c>
      <c r="K454" s="6" t="str">
        <f t="shared" si="22"/>
        <v>LLD FILM</v>
      </c>
      <c r="L454" s="14">
        <f>VLOOKUP(J454,'USD to INR'!$B$2:$G$560,6,TRUE)</f>
        <v>71</v>
      </c>
      <c r="M454" s="216">
        <f t="shared" si="23"/>
        <v>1063.5915492957747</v>
      </c>
      <c r="N454" s="563">
        <f t="shared" si="21"/>
        <v>43524</v>
      </c>
    </row>
    <row r="455" spans="1:14" x14ac:dyDescent="0.25">
      <c r="A455" s="188" t="s">
        <v>530</v>
      </c>
      <c r="B455" s="188" t="s">
        <v>531</v>
      </c>
      <c r="C455" s="188" t="s">
        <v>532</v>
      </c>
      <c r="D455" s="560">
        <v>76895</v>
      </c>
      <c r="E455" s="188" t="s">
        <v>98</v>
      </c>
      <c r="F455" s="561">
        <v>1</v>
      </c>
      <c r="G455" s="188" t="s">
        <v>13</v>
      </c>
      <c r="H455" s="188" t="s">
        <v>537</v>
      </c>
      <c r="I455" s="562">
        <v>43525</v>
      </c>
      <c r="J455" s="562">
        <v>43555</v>
      </c>
      <c r="K455" s="6" t="str">
        <f t="shared" si="22"/>
        <v>LLD FILM</v>
      </c>
      <c r="L455" s="14">
        <f>VLOOKUP(J455,'USD to INR'!$B$2:$G$560,6,TRUE)</f>
        <v>69.17</v>
      </c>
      <c r="M455" s="216">
        <f t="shared" si="23"/>
        <v>1111.6813647535059</v>
      </c>
      <c r="N455" s="563">
        <f t="shared" si="21"/>
        <v>43555</v>
      </c>
    </row>
    <row r="456" spans="1:14" x14ac:dyDescent="0.25">
      <c r="A456" s="188" t="s">
        <v>530</v>
      </c>
      <c r="B456" s="188" t="s">
        <v>531</v>
      </c>
      <c r="C456" s="188" t="s">
        <v>532</v>
      </c>
      <c r="D456" s="560">
        <v>76895</v>
      </c>
      <c r="E456" s="188" t="s">
        <v>98</v>
      </c>
      <c r="F456" s="561">
        <v>1</v>
      </c>
      <c r="G456" s="188" t="s">
        <v>13</v>
      </c>
      <c r="H456" s="188" t="s">
        <v>537</v>
      </c>
      <c r="I456" s="562">
        <v>43556</v>
      </c>
      <c r="J456" s="562">
        <v>43585</v>
      </c>
      <c r="K456" s="6" t="str">
        <f t="shared" si="22"/>
        <v>LLD FILM</v>
      </c>
      <c r="L456" s="14">
        <f>VLOOKUP(J456,'USD to INR'!$B$2:$G$560,6,TRUE)</f>
        <v>69.094999999999999</v>
      </c>
      <c r="M456" s="216">
        <f t="shared" si="23"/>
        <v>1112.8880526810913</v>
      </c>
      <c r="N456" s="563">
        <f t="shared" si="21"/>
        <v>43585</v>
      </c>
    </row>
    <row r="457" spans="1:14" x14ac:dyDescent="0.25">
      <c r="A457" s="188" t="s">
        <v>530</v>
      </c>
      <c r="B457" s="188" t="s">
        <v>531</v>
      </c>
      <c r="C457" s="188" t="s">
        <v>532</v>
      </c>
      <c r="D457" s="560">
        <v>74795</v>
      </c>
      <c r="E457" s="188" t="s">
        <v>98</v>
      </c>
      <c r="F457" s="561">
        <v>1</v>
      </c>
      <c r="G457" s="188" t="s">
        <v>13</v>
      </c>
      <c r="H457" s="188" t="s">
        <v>537</v>
      </c>
      <c r="I457" s="562">
        <v>43586</v>
      </c>
      <c r="J457" s="562">
        <v>43586</v>
      </c>
      <c r="K457" s="6" t="str">
        <f t="shared" si="22"/>
        <v>LLD FILM</v>
      </c>
      <c r="L457" s="14">
        <f>VLOOKUP(J457,'USD to INR'!$B$2:$G$560,6,TRUE)</f>
        <v>69.094999999999999</v>
      </c>
      <c r="M457" s="216">
        <f t="shared" si="23"/>
        <v>1082.4951154207974</v>
      </c>
      <c r="N457" s="563">
        <f t="shared" si="21"/>
        <v>43586</v>
      </c>
    </row>
    <row r="458" spans="1:14" x14ac:dyDescent="0.25">
      <c r="A458" s="188" t="s">
        <v>530</v>
      </c>
      <c r="B458" s="188" t="s">
        <v>531</v>
      </c>
      <c r="C458" s="188" t="s">
        <v>532</v>
      </c>
      <c r="D458" s="560">
        <v>72955</v>
      </c>
      <c r="E458" s="188" t="s">
        <v>98</v>
      </c>
      <c r="F458" s="561">
        <v>1</v>
      </c>
      <c r="G458" s="188" t="s">
        <v>13</v>
      </c>
      <c r="H458" s="188" t="s">
        <v>537</v>
      </c>
      <c r="I458" s="562">
        <v>43587</v>
      </c>
      <c r="J458" s="562">
        <v>43593</v>
      </c>
      <c r="K458" s="6" t="str">
        <f t="shared" si="22"/>
        <v>LLD FILM</v>
      </c>
      <c r="L458" s="14">
        <f>VLOOKUP(J458,'USD to INR'!$B$2:$G$560,6,TRUE)</f>
        <v>70.015000000000001</v>
      </c>
      <c r="M458" s="216">
        <f t="shared" si="23"/>
        <v>1041.9910019281583</v>
      </c>
      <c r="N458" s="563">
        <f t="shared" si="21"/>
        <v>43593</v>
      </c>
    </row>
    <row r="459" spans="1:14" x14ac:dyDescent="0.25">
      <c r="A459" s="188" t="s">
        <v>530</v>
      </c>
      <c r="B459" s="188" t="s">
        <v>531</v>
      </c>
      <c r="C459" s="188" t="s">
        <v>532</v>
      </c>
      <c r="D459" s="560">
        <v>73055</v>
      </c>
      <c r="E459" s="188" t="s">
        <v>98</v>
      </c>
      <c r="F459" s="561">
        <v>1</v>
      </c>
      <c r="G459" s="188" t="s">
        <v>13</v>
      </c>
      <c r="H459" s="188" t="s">
        <v>537</v>
      </c>
      <c r="I459" s="562">
        <v>43594</v>
      </c>
      <c r="J459" s="562">
        <v>43600</v>
      </c>
      <c r="K459" s="6" t="str">
        <f t="shared" si="22"/>
        <v>LLD FILM</v>
      </c>
      <c r="L459" s="14">
        <f>VLOOKUP(J459,'USD to INR'!$B$2:$G$560,6,TRUE)</f>
        <v>70.28</v>
      </c>
      <c r="M459" s="216">
        <f t="shared" si="23"/>
        <v>1039.4849174729652</v>
      </c>
      <c r="N459" s="563">
        <f t="shared" si="21"/>
        <v>43600</v>
      </c>
    </row>
    <row r="460" spans="1:14" x14ac:dyDescent="0.25">
      <c r="A460" s="188" t="s">
        <v>530</v>
      </c>
      <c r="B460" s="188" t="s">
        <v>531</v>
      </c>
      <c r="C460" s="188" t="s">
        <v>532</v>
      </c>
      <c r="D460" s="560">
        <v>71670</v>
      </c>
      <c r="E460" s="188" t="s">
        <v>98</v>
      </c>
      <c r="F460" s="561">
        <v>1</v>
      </c>
      <c r="G460" s="188" t="s">
        <v>13</v>
      </c>
      <c r="H460" s="188" t="s">
        <v>537</v>
      </c>
      <c r="I460" s="562">
        <v>43601</v>
      </c>
      <c r="J460" s="562">
        <v>43616</v>
      </c>
      <c r="K460" s="6" t="str">
        <f t="shared" si="22"/>
        <v>LLD FILM</v>
      </c>
      <c r="L460" s="14">
        <f>VLOOKUP(J460,'USD to INR'!$B$2:$G$560,6,TRUE)</f>
        <v>69.58</v>
      </c>
      <c r="M460" s="216">
        <f t="shared" si="23"/>
        <v>1030.0373670595</v>
      </c>
      <c r="N460" s="563">
        <f t="shared" si="21"/>
        <v>43616</v>
      </c>
    </row>
    <row r="461" spans="1:14" x14ac:dyDescent="0.25">
      <c r="A461" s="188" t="s">
        <v>530</v>
      </c>
      <c r="B461" s="188" t="s">
        <v>531</v>
      </c>
      <c r="C461" s="188" t="s">
        <v>532</v>
      </c>
      <c r="D461" s="560">
        <v>70723</v>
      </c>
      <c r="E461" s="188" t="s">
        <v>98</v>
      </c>
      <c r="F461" s="561">
        <v>1</v>
      </c>
      <c r="G461" s="188" t="s">
        <v>13</v>
      </c>
      <c r="H461" s="188" t="s">
        <v>537</v>
      </c>
      <c r="I461" s="562">
        <v>43617</v>
      </c>
      <c r="J461" s="562">
        <v>43620</v>
      </c>
      <c r="K461" s="6" t="str">
        <f t="shared" si="22"/>
        <v>LLD FILM</v>
      </c>
      <c r="L461" s="14">
        <f>VLOOKUP(J461,'USD to INR'!$B$2:$G$560,6,TRUE)</f>
        <v>69.355000000000004</v>
      </c>
      <c r="M461" s="216">
        <f t="shared" si="23"/>
        <v>1019.7246052916155</v>
      </c>
      <c r="N461" s="563">
        <f t="shared" si="21"/>
        <v>43620</v>
      </c>
    </row>
    <row r="462" spans="1:14" x14ac:dyDescent="0.25">
      <c r="A462" s="188" t="s">
        <v>530</v>
      </c>
      <c r="B462" s="188" t="s">
        <v>531</v>
      </c>
      <c r="C462" s="188" t="s">
        <v>532</v>
      </c>
      <c r="D462" s="560">
        <v>68897</v>
      </c>
      <c r="E462" s="188" t="s">
        <v>98</v>
      </c>
      <c r="F462" s="561">
        <v>1</v>
      </c>
      <c r="G462" s="188" t="s">
        <v>13</v>
      </c>
      <c r="H462" s="188" t="s">
        <v>537</v>
      </c>
      <c r="I462" s="562">
        <v>43621</v>
      </c>
      <c r="J462" s="562">
        <v>43628</v>
      </c>
      <c r="K462" s="6" t="str">
        <f t="shared" si="22"/>
        <v>LLD FILM</v>
      </c>
      <c r="L462" s="14">
        <f>VLOOKUP(J462,'USD to INR'!$B$2:$G$560,6,TRUE)</f>
        <v>69.832999999999998</v>
      </c>
      <c r="M462" s="216">
        <f t="shared" si="23"/>
        <v>986.59659473314912</v>
      </c>
      <c r="N462" s="563">
        <f t="shared" si="21"/>
        <v>43628</v>
      </c>
    </row>
    <row r="463" spans="1:14" x14ac:dyDescent="0.25">
      <c r="A463" s="188" t="s">
        <v>530</v>
      </c>
      <c r="B463" s="188" t="s">
        <v>531</v>
      </c>
      <c r="C463" s="188" t="s">
        <v>532</v>
      </c>
      <c r="D463" s="560">
        <v>68897</v>
      </c>
      <c r="E463" s="188" t="s">
        <v>98</v>
      </c>
      <c r="F463" s="561">
        <v>1</v>
      </c>
      <c r="G463" s="188" t="s">
        <v>13</v>
      </c>
      <c r="H463" s="188" t="s">
        <v>537</v>
      </c>
      <c r="I463" s="562">
        <v>43629</v>
      </c>
      <c r="J463" s="562">
        <v>43646</v>
      </c>
      <c r="K463" s="6" t="str">
        <f t="shared" si="22"/>
        <v>LLD FILM</v>
      </c>
      <c r="L463" s="14">
        <f>VLOOKUP(J463,'USD to INR'!$B$2:$G$560,6,TRUE)</f>
        <v>68.45</v>
      </c>
      <c r="M463" s="216">
        <f t="shared" si="23"/>
        <v>1006.5303140978816</v>
      </c>
      <c r="N463" s="563">
        <f t="shared" si="21"/>
        <v>43646</v>
      </c>
    </row>
    <row r="464" spans="1:14" x14ac:dyDescent="0.25">
      <c r="A464" s="188" t="s">
        <v>530</v>
      </c>
      <c r="B464" s="188" t="s">
        <v>531</v>
      </c>
      <c r="C464" s="188" t="s">
        <v>532</v>
      </c>
      <c r="D464" s="560">
        <v>68825</v>
      </c>
      <c r="E464" s="188" t="s">
        <v>98</v>
      </c>
      <c r="F464" s="561">
        <v>1</v>
      </c>
      <c r="G464" s="188" t="s">
        <v>13</v>
      </c>
      <c r="H464" s="188" t="s">
        <v>537</v>
      </c>
      <c r="I464" s="562">
        <v>43647</v>
      </c>
      <c r="J464" s="562">
        <v>43677</v>
      </c>
      <c r="K464" s="6" t="str">
        <f t="shared" si="22"/>
        <v>LLD FILM</v>
      </c>
      <c r="L464" s="14">
        <f>VLOOKUP(J464,'USD to INR'!$B$2:$G$560,6,TRUE)</f>
        <v>69.7</v>
      </c>
      <c r="M464" s="216">
        <f t="shared" si="23"/>
        <v>987.44619799139161</v>
      </c>
      <c r="N464" s="563">
        <f t="shared" si="21"/>
        <v>43677</v>
      </c>
    </row>
    <row r="465" spans="1:14" x14ac:dyDescent="0.25">
      <c r="A465" s="188" t="s">
        <v>530</v>
      </c>
      <c r="B465" s="188" t="s">
        <v>531</v>
      </c>
      <c r="C465" s="188" t="s">
        <v>532</v>
      </c>
      <c r="D465" s="560">
        <v>68825</v>
      </c>
      <c r="E465" s="188" t="s">
        <v>98</v>
      </c>
      <c r="F465" s="561">
        <v>1</v>
      </c>
      <c r="G465" s="188" t="s">
        <v>13</v>
      </c>
      <c r="H465" s="188" t="s">
        <v>537</v>
      </c>
      <c r="I465" s="562">
        <v>43678</v>
      </c>
      <c r="J465" s="562">
        <v>43684</v>
      </c>
      <c r="K465" s="6" t="str">
        <f t="shared" si="22"/>
        <v>LLD FILM</v>
      </c>
      <c r="L465" s="14">
        <f>VLOOKUP(J465,'USD to INR'!$B$2:$G$560,6,TRUE)</f>
        <v>70.924000000000007</v>
      </c>
      <c r="M465" s="216">
        <f t="shared" si="23"/>
        <v>970.4049404996897</v>
      </c>
      <c r="N465" s="563">
        <f t="shared" si="21"/>
        <v>43684</v>
      </c>
    </row>
    <row r="466" spans="1:14" x14ac:dyDescent="0.25">
      <c r="A466" s="188" t="s">
        <v>530</v>
      </c>
      <c r="B466" s="188" t="s">
        <v>531</v>
      </c>
      <c r="C466" s="188" t="s">
        <v>532</v>
      </c>
      <c r="D466" s="560">
        <v>70211</v>
      </c>
      <c r="E466" s="188" t="s">
        <v>98</v>
      </c>
      <c r="F466" s="561">
        <v>1</v>
      </c>
      <c r="G466" s="188" t="s">
        <v>13</v>
      </c>
      <c r="H466" s="188" t="s">
        <v>537</v>
      </c>
      <c r="I466" s="562">
        <v>43685</v>
      </c>
      <c r="J466" s="562">
        <v>43708</v>
      </c>
      <c r="K466" s="6" t="str">
        <f t="shared" si="22"/>
        <v>LLD FILM</v>
      </c>
      <c r="L466" s="14">
        <f>VLOOKUP(J466,'USD to INR'!$B$2:$G$560,6,TRUE)</f>
        <v>71.453000000000003</v>
      </c>
      <c r="M466" s="216">
        <f t="shared" si="23"/>
        <v>982.6179446629252</v>
      </c>
      <c r="N466" s="563">
        <f t="shared" si="21"/>
        <v>43708</v>
      </c>
    </row>
    <row r="467" spans="1:14" x14ac:dyDescent="0.25">
      <c r="A467" s="188" t="s">
        <v>530</v>
      </c>
      <c r="B467" s="188" t="s">
        <v>531</v>
      </c>
      <c r="C467" s="188" t="s">
        <v>532</v>
      </c>
      <c r="D467" s="560">
        <v>68267</v>
      </c>
      <c r="E467" s="188" t="s">
        <v>98</v>
      </c>
      <c r="F467" s="561">
        <v>1</v>
      </c>
      <c r="G467" s="188" t="s">
        <v>13</v>
      </c>
      <c r="H467" s="188" t="s">
        <v>537</v>
      </c>
      <c r="I467" s="562">
        <v>43709</v>
      </c>
      <c r="J467" s="562">
        <v>43719</v>
      </c>
      <c r="K467" s="6" t="str">
        <f t="shared" si="22"/>
        <v>LLD FILM</v>
      </c>
      <c r="L467" s="14">
        <f>VLOOKUP(J467,'USD to INR'!$B$2:$G$560,6,TRUE)</f>
        <v>70.984999999999999</v>
      </c>
      <c r="M467" s="216">
        <f t="shared" si="23"/>
        <v>961.71022046911321</v>
      </c>
      <c r="N467" s="563">
        <f t="shared" si="21"/>
        <v>43719</v>
      </c>
    </row>
    <row r="468" spans="1:14" x14ac:dyDescent="0.25">
      <c r="A468" s="188" t="s">
        <v>530</v>
      </c>
      <c r="B468" s="188" t="s">
        <v>531</v>
      </c>
      <c r="C468" s="188" t="s">
        <v>532</v>
      </c>
      <c r="D468" s="560">
        <v>65494</v>
      </c>
      <c r="E468" s="188" t="s">
        <v>98</v>
      </c>
      <c r="F468" s="561">
        <v>1</v>
      </c>
      <c r="G468" s="188" t="s">
        <v>13</v>
      </c>
      <c r="H468" s="188" t="s">
        <v>537</v>
      </c>
      <c r="I468" s="562">
        <v>43720</v>
      </c>
      <c r="J468" s="562">
        <v>43726</v>
      </c>
      <c r="K468" s="6" t="str">
        <f t="shared" si="22"/>
        <v>LLD FILM</v>
      </c>
      <c r="L468" s="14">
        <f>VLOOKUP(J468,'USD to INR'!$B$2:$G$560,6,TRUE)</f>
        <v>71.075000000000003</v>
      </c>
      <c r="M468" s="216">
        <f t="shared" si="23"/>
        <v>921.47731269785436</v>
      </c>
      <c r="N468" s="563">
        <f t="shared" si="21"/>
        <v>43726</v>
      </c>
    </row>
    <row r="469" spans="1:14" x14ac:dyDescent="0.25">
      <c r="A469" s="188" t="s">
        <v>530</v>
      </c>
      <c r="B469" s="188" t="s">
        <v>531</v>
      </c>
      <c r="C469" s="188" t="s">
        <v>532</v>
      </c>
      <c r="D469" s="560">
        <v>66419</v>
      </c>
      <c r="E469" s="188" t="s">
        <v>98</v>
      </c>
      <c r="F469" s="561">
        <v>1</v>
      </c>
      <c r="G469" s="188" t="s">
        <v>13</v>
      </c>
      <c r="H469" s="188" t="s">
        <v>537</v>
      </c>
      <c r="I469" s="562">
        <v>43727</v>
      </c>
      <c r="J469" s="562">
        <v>43738</v>
      </c>
      <c r="K469" s="6" t="str">
        <f t="shared" si="22"/>
        <v>LLD FILM</v>
      </c>
      <c r="L469" s="14">
        <f>VLOOKUP(J469,'USD to INR'!$B$2:$G$560,6,TRUE)</f>
        <v>70.825000000000003</v>
      </c>
      <c r="M469" s="216">
        <f t="shared" si="23"/>
        <v>937.7903282739145</v>
      </c>
      <c r="N469" s="563">
        <f t="shared" si="21"/>
        <v>43738</v>
      </c>
    </row>
    <row r="470" spans="1:14" x14ac:dyDescent="0.25">
      <c r="A470" s="188" t="s">
        <v>530</v>
      </c>
      <c r="B470" s="188" t="s">
        <v>531</v>
      </c>
      <c r="C470" s="188" t="s">
        <v>532</v>
      </c>
      <c r="D470" s="560">
        <v>68260</v>
      </c>
      <c r="E470" s="188" t="s">
        <v>98</v>
      </c>
      <c r="F470" s="561">
        <v>1</v>
      </c>
      <c r="G470" s="188" t="s">
        <v>13</v>
      </c>
      <c r="H470" s="188" t="s">
        <v>537</v>
      </c>
      <c r="I470" s="562">
        <v>43739</v>
      </c>
      <c r="J470" s="562">
        <v>43747</v>
      </c>
      <c r="K470" s="6" t="str">
        <f t="shared" si="22"/>
        <v>LLD FILM</v>
      </c>
      <c r="L470" s="14">
        <f>VLOOKUP(J470,'USD to INR'!$B$2:$G$560,6,TRUE)</f>
        <v>70.924000000000007</v>
      </c>
      <c r="M470" s="216">
        <f t="shared" si="23"/>
        <v>962.43866674186449</v>
      </c>
      <c r="N470" s="563">
        <f t="shared" si="21"/>
        <v>43747</v>
      </c>
    </row>
    <row r="471" spans="1:14" x14ac:dyDescent="0.25">
      <c r="A471" s="188" t="s">
        <v>530</v>
      </c>
      <c r="B471" s="188" t="s">
        <v>531</v>
      </c>
      <c r="C471" s="188" t="s">
        <v>532</v>
      </c>
      <c r="D471" s="560">
        <v>68260</v>
      </c>
      <c r="E471" s="188" t="s">
        <v>98</v>
      </c>
      <c r="F471" s="561">
        <v>1</v>
      </c>
      <c r="G471" s="188" t="s">
        <v>13</v>
      </c>
      <c r="H471" s="188" t="s">
        <v>537</v>
      </c>
      <c r="I471" s="562">
        <v>43748</v>
      </c>
      <c r="J471" s="562">
        <v>43754</v>
      </c>
      <c r="K471" s="6" t="str">
        <f t="shared" si="22"/>
        <v>LLD FILM</v>
      </c>
      <c r="L471" s="14">
        <f>VLOOKUP(J471,'USD to INR'!$B$2:$G$560,6,TRUE)</f>
        <v>71.09</v>
      </c>
      <c r="M471" s="216">
        <f t="shared" si="23"/>
        <v>960.19130679420448</v>
      </c>
      <c r="N471" s="563">
        <f t="shared" si="21"/>
        <v>43754</v>
      </c>
    </row>
    <row r="472" spans="1:14" x14ac:dyDescent="0.25">
      <c r="A472" s="188" t="s">
        <v>530</v>
      </c>
      <c r="B472" s="188" t="s">
        <v>531</v>
      </c>
      <c r="C472" s="188" t="s">
        <v>532</v>
      </c>
      <c r="D472" s="560">
        <v>68260</v>
      </c>
      <c r="E472" s="188" t="s">
        <v>98</v>
      </c>
      <c r="F472" s="561">
        <v>1</v>
      </c>
      <c r="G472" s="188" t="s">
        <v>13</v>
      </c>
      <c r="H472" s="188" t="s">
        <v>537</v>
      </c>
      <c r="I472" s="562">
        <v>43755</v>
      </c>
      <c r="J472" s="562">
        <v>43769</v>
      </c>
      <c r="K472" s="6" t="str">
        <f t="shared" si="22"/>
        <v>LLD FILM</v>
      </c>
      <c r="L472" s="14">
        <f>VLOOKUP(J472,'USD to INR'!$B$2:$G$560,6,TRUE)</f>
        <v>70.760000000000005</v>
      </c>
      <c r="M472" s="216">
        <f t="shared" si="23"/>
        <v>964.6693046919163</v>
      </c>
      <c r="N472" s="563">
        <f t="shared" si="21"/>
        <v>43769</v>
      </c>
    </row>
    <row r="473" spans="1:14" x14ac:dyDescent="0.25">
      <c r="A473" s="188" t="s">
        <v>530</v>
      </c>
      <c r="B473" s="188" t="s">
        <v>531</v>
      </c>
      <c r="C473" s="188" t="s">
        <v>532</v>
      </c>
      <c r="D473" s="560">
        <v>66880</v>
      </c>
      <c r="E473" s="188" t="s">
        <v>98</v>
      </c>
      <c r="F473" s="561">
        <v>1</v>
      </c>
      <c r="G473" s="188" t="s">
        <v>13</v>
      </c>
      <c r="H473" s="188" t="s">
        <v>537</v>
      </c>
      <c r="I473" s="562">
        <v>43770</v>
      </c>
      <c r="J473" s="562">
        <v>43782</v>
      </c>
      <c r="K473" s="6" t="str">
        <f t="shared" si="22"/>
        <v>LLD FILM</v>
      </c>
      <c r="L473" s="14">
        <f>VLOOKUP(J473,'USD to INR'!$B$2:$G$560,6,TRUE)</f>
        <v>71.650000000000006</v>
      </c>
      <c r="M473" s="216">
        <f t="shared" si="23"/>
        <v>933.42637822749464</v>
      </c>
      <c r="N473" s="563">
        <f t="shared" si="21"/>
        <v>43782</v>
      </c>
    </row>
    <row r="474" spans="1:14" x14ac:dyDescent="0.25">
      <c r="A474" s="188" t="s">
        <v>530</v>
      </c>
      <c r="B474" s="188" t="s">
        <v>531</v>
      </c>
      <c r="C474" s="188" t="s">
        <v>532</v>
      </c>
      <c r="D474" s="560">
        <v>65030</v>
      </c>
      <c r="E474" s="188" t="s">
        <v>98</v>
      </c>
      <c r="F474" s="561">
        <v>1</v>
      </c>
      <c r="G474" s="188" t="s">
        <v>13</v>
      </c>
      <c r="H474" s="188" t="s">
        <v>537</v>
      </c>
      <c r="I474" s="562">
        <v>43783</v>
      </c>
      <c r="J474" s="562">
        <v>43789</v>
      </c>
      <c r="K474" s="6" t="str">
        <f t="shared" si="22"/>
        <v>LLD FILM</v>
      </c>
      <c r="L474" s="14">
        <f>VLOOKUP(J474,'USD to INR'!$B$2:$G$560,6,TRUE)</f>
        <v>71.792000000000002</v>
      </c>
      <c r="M474" s="216">
        <f t="shared" si="23"/>
        <v>905.8112324492979</v>
      </c>
      <c r="N474" s="563">
        <f t="shared" si="21"/>
        <v>43789</v>
      </c>
    </row>
    <row r="475" spans="1:14" x14ac:dyDescent="0.25">
      <c r="A475" s="188" t="s">
        <v>530</v>
      </c>
      <c r="B475" s="188" t="s">
        <v>531</v>
      </c>
      <c r="C475" s="188" t="s">
        <v>532</v>
      </c>
      <c r="D475" s="560">
        <v>64110</v>
      </c>
      <c r="E475" s="188" t="s">
        <v>98</v>
      </c>
      <c r="F475" s="561">
        <v>1</v>
      </c>
      <c r="G475" s="188" t="s">
        <v>13</v>
      </c>
      <c r="H475" s="188" t="s">
        <v>537</v>
      </c>
      <c r="I475" s="562">
        <v>43790</v>
      </c>
      <c r="J475" s="562">
        <v>43799</v>
      </c>
      <c r="K475" s="6" t="str">
        <f t="shared" si="22"/>
        <v>LLD FILM</v>
      </c>
      <c r="L475" s="14">
        <f>VLOOKUP(J475,'USD to INR'!$B$2:$G$560,6,TRUE)</f>
        <v>71.748999999999995</v>
      </c>
      <c r="M475" s="216">
        <f t="shared" si="23"/>
        <v>893.53161716539614</v>
      </c>
      <c r="N475" s="563">
        <f t="shared" si="21"/>
        <v>43799</v>
      </c>
    </row>
    <row r="476" spans="1:14" x14ac:dyDescent="0.25">
      <c r="A476" s="188" t="s">
        <v>530</v>
      </c>
      <c r="B476" s="188" t="s">
        <v>531</v>
      </c>
      <c r="C476" s="188" t="s">
        <v>532</v>
      </c>
      <c r="D476" s="560">
        <v>64110</v>
      </c>
      <c r="E476" s="188" t="s">
        <v>98</v>
      </c>
      <c r="F476" s="561">
        <v>1</v>
      </c>
      <c r="G476" s="188" t="s">
        <v>13</v>
      </c>
      <c r="H476" s="188" t="s">
        <v>537</v>
      </c>
      <c r="I476" s="562">
        <v>43800</v>
      </c>
      <c r="J476" s="562">
        <v>43830</v>
      </c>
      <c r="K476" s="6" t="str">
        <f t="shared" si="22"/>
        <v>LLD FILM</v>
      </c>
      <c r="L476" s="14">
        <f>VLOOKUP(J476,'USD to INR'!$B$2:$G$560,6,TRUE)</f>
        <v>71.77</v>
      </c>
      <c r="M476" s="216">
        <f t="shared" si="23"/>
        <v>893.27016859412015</v>
      </c>
      <c r="N476" s="563">
        <f t="shared" si="21"/>
        <v>43830</v>
      </c>
    </row>
    <row r="477" spans="1:14" x14ac:dyDescent="0.25">
      <c r="A477" s="188" t="s">
        <v>530</v>
      </c>
      <c r="B477" s="188" t="s">
        <v>531</v>
      </c>
      <c r="C477" s="188" t="s">
        <v>532</v>
      </c>
      <c r="D477" s="560">
        <v>65030</v>
      </c>
      <c r="E477" s="188" t="s">
        <v>98</v>
      </c>
      <c r="F477" s="561">
        <v>1</v>
      </c>
      <c r="G477" s="188" t="s">
        <v>13</v>
      </c>
      <c r="H477" s="188" t="s">
        <v>537</v>
      </c>
      <c r="I477" s="562">
        <v>43831</v>
      </c>
      <c r="J477" s="562">
        <v>43845</v>
      </c>
      <c r="K477" s="6" t="str">
        <f t="shared" si="22"/>
        <v>LLD FILM</v>
      </c>
      <c r="L477" s="14">
        <f>VLOOKUP(J477,'USD to INR'!$B$2:$G$560,6,TRUE)</f>
        <v>71.078999999999994</v>
      </c>
      <c r="M477" s="216">
        <f t="shared" si="23"/>
        <v>914.89750840613976</v>
      </c>
      <c r="N477" s="563">
        <f t="shared" si="21"/>
        <v>43845</v>
      </c>
    </row>
    <row r="478" spans="1:14" x14ac:dyDescent="0.25">
      <c r="A478" s="188" t="s">
        <v>530</v>
      </c>
      <c r="B478" s="188" t="s">
        <v>531</v>
      </c>
      <c r="C478" s="188" t="s">
        <v>532</v>
      </c>
      <c r="D478" s="560">
        <v>66420</v>
      </c>
      <c r="E478" s="188" t="s">
        <v>98</v>
      </c>
      <c r="F478" s="561">
        <v>1</v>
      </c>
      <c r="G478" s="188" t="s">
        <v>13</v>
      </c>
      <c r="H478" s="188" t="s">
        <v>537</v>
      </c>
      <c r="I478" s="562">
        <v>43846</v>
      </c>
      <c r="J478" s="562">
        <v>43861</v>
      </c>
      <c r="K478" s="6" t="str">
        <f t="shared" si="22"/>
        <v>LLD FILM</v>
      </c>
      <c r="L478" s="14">
        <f>VLOOKUP(J478,'USD to INR'!$B$2:$G$560,6,TRUE)</f>
        <v>71.555000000000007</v>
      </c>
      <c r="M478" s="216">
        <f t="shared" si="23"/>
        <v>928.23702047376139</v>
      </c>
      <c r="N478" s="563">
        <f t="shared" si="21"/>
        <v>43861</v>
      </c>
    </row>
    <row r="479" spans="1:14" x14ac:dyDescent="0.25">
      <c r="A479" s="188" t="s">
        <v>530</v>
      </c>
      <c r="B479" s="188" t="s">
        <v>531</v>
      </c>
      <c r="C479" s="188" t="s">
        <v>532</v>
      </c>
      <c r="D479" s="560">
        <v>66420</v>
      </c>
      <c r="E479" s="188" t="s">
        <v>98</v>
      </c>
      <c r="F479" s="561">
        <v>1</v>
      </c>
      <c r="G479" s="188" t="s">
        <v>13</v>
      </c>
      <c r="H479" s="188" t="s">
        <v>537</v>
      </c>
      <c r="I479" s="562">
        <v>43862</v>
      </c>
      <c r="J479" s="562">
        <v>43890</v>
      </c>
      <c r="K479" s="6" t="str">
        <f t="shared" si="22"/>
        <v>LLD FILM</v>
      </c>
      <c r="L479" s="14">
        <f>VLOOKUP(J479,'USD to INR'!$B$2:$G$560,6,TRUE)</f>
        <v>72.539000000000001</v>
      </c>
      <c r="M479" s="216">
        <f t="shared" si="23"/>
        <v>915.64537696963009</v>
      </c>
      <c r="N479" s="563">
        <f t="shared" si="21"/>
        <v>43890</v>
      </c>
    </row>
    <row r="480" spans="1:14" x14ac:dyDescent="0.25">
      <c r="A480" s="188" t="s">
        <v>530</v>
      </c>
      <c r="B480" s="188" t="s">
        <v>531</v>
      </c>
      <c r="C480" s="188" t="s">
        <v>532</v>
      </c>
      <c r="D480" s="560">
        <v>66430</v>
      </c>
      <c r="E480" s="188" t="s">
        <v>98</v>
      </c>
      <c r="F480" s="561">
        <v>1</v>
      </c>
      <c r="G480" s="188" t="s">
        <v>13</v>
      </c>
      <c r="H480" s="188" t="s">
        <v>537</v>
      </c>
      <c r="I480" s="562">
        <v>43891</v>
      </c>
      <c r="J480" s="562">
        <v>43921</v>
      </c>
      <c r="K480" s="6" t="str">
        <f t="shared" si="22"/>
        <v>LLD FILM</v>
      </c>
      <c r="L480" s="14">
        <f>VLOOKUP(J480,'USD to INR'!$B$2:$G$560,6,TRUE)</f>
        <v>76.241</v>
      </c>
      <c r="M480" s="216">
        <f t="shared" si="23"/>
        <v>871.31595860495008</v>
      </c>
      <c r="N480" s="563">
        <f t="shared" si="21"/>
        <v>43921</v>
      </c>
    </row>
    <row r="481" spans="1:14" x14ac:dyDescent="0.25">
      <c r="A481" s="188" t="s">
        <v>530</v>
      </c>
      <c r="B481" s="188" t="s">
        <v>531</v>
      </c>
      <c r="C481" s="188" t="s">
        <v>532</v>
      </c>
      <c r="D481" s="560">
        <v>64590</v>
      </c>
      <c r="E481" s="188" t="s">
        <v>98</v>
      </c>
      <c r="F481" s="561">
        <v>1</v>
      </c>
      <c r="G481" s="188" t="s">
        <v>13</v>
      </c>
      <c r="H481" s="188" t="s">
        <v>537</v>
      </c>
      <c r="I481" s="562">
        <v>43922</v>
      </c>
      <c r="J481" s="562">
        <v>43930</v>
      </c>
      <c r="K481" s="6" t="str">
        <f t="shared" si="22"/>
        <v>LLD FILM</v>
      </c>
      <c r="L481" s="14">
        <f>VLOOKUP(J481,'USD to INR'!$B$2:$G$560,6,TRUE)</f>
        <v>75.879000000000005</v>
      </c>
      <c r="M481" s="216">
        <f t="shared" si="23"/>
        <v>851.22365871980389</v>
      </c>
      <c r="N481" s="563">
        <f t="shared" si="21"/>
        <v>43930</v>
      </c>
    </row>
    <row r="482" spans="1:14" x14ac:dyDescent="0.25">
      <c r="A482" s="188" t="s">
        <v>530</v>
      </c>
      <c r="B482" s="188" t="s">
        <v>531</v>
      </c>
      <c r="C482" s="188" t="s">
        <v>532</v>
      </c>
      <c r="D482" s="560">
        <v>60900</v>
      </c>
      <c r="E482" s="188" t="s">
        <v>98</v>
      </c>
      <c r="F482" s="561">
        <v>1</v>
      </c>
      <c r="G482" s="188" t="s">
        <v>13</v>
      </c>
      <c r="H482" s="188" t="s">
        <v>537</v>
      </c>
      <c r="I482" s="562">
        <v>43931</v>
      </c>
      <c r="J482" s="562">
        <v>43951</v>
      </c>
      <c r="K482" s="6" t="str">
        <f t="shared" si="22"/>
        <v>LLD FILM</v>
      </c>
      <c r="L482" s="14">
        <f>VLOOKUP(J482,'USD to INR'!$B$2:$G$560,6,TRUE)</f>
        <v>75.748999999999995</v>
      </c>
      <c r="M482" s="216">
        <f t="shared" si="23"/>
        <v>803.97100951827747</v>
      </c>
      <c r="N482" s="563">
        <f t="shared" si="21"/>
        <v>43951</v>
      </c>
    </row>
    <row r="483" spans="1:14" x14ac:dyDescent="0.25">
      <c r="A483" s="188" t="s">
        <v>530</v>
      </c>
      <c r="B483" s="188" t="s">
        <v>531</v>
      </c>
      <c r="C483" s="188" t="s">
        <v>532</v>
      </c>
      <c r="D483" s="560">
        <v>59060</v>
      </c>
      <c r="E483" s="188" t="s">
        <v>98</v>
      </c>
      <c r="F483" s="561">
        <v>1</v>
      </c>
      <c r="G483" s="188" t="s">
        <v>13</v>
      </c>
      <c r="H483" s="188" t="s">
        <v>537</v>
      </c>
      <c r="I483" s="562">
        <v>43952</v>
      </c>
      <c r="J483" s="562">
        <v>43971</v>
      </c>
      <c r="K483" s="6" t="str">
        <f t="shared" si="22"/>
        <v>LLD FILM</v>
      </c>
      <c r="L483" s="14">
        <f>VLOOKUP(J483,'USD to INR'!$B$2:$G$560,6,TRUE)</f>
        <v>75.95</v>
      </c>
      <c r="M483" s="216">
        <f t="shared" si="23"/>
        <v>777.61685319289006</v>
      </c>
      <c r="N483" s="563">
        <f t="shared" si="21"/>
        <v>43971</v>
      </c>
    </row>
    <row r="484" spans="1:14" x14ac:dyDescent="0.25">
      <c r="A484" s="188" t="s">
        <v>530</v>
      </c>
      <c r="B484" s="188" t="s">
        <v>531</v>
      </c>
      <c r="C484" s="188" t="s">
        <v>532</v>
      </c>
      <c r="D484" s="560">
        <v>60910</v>
      </c>
      <c r="E484" s="188" t="s">
        <v>98</v>
      </c>
      <c r="F484" s="561">
        <v>1</v>
      </c>
      <c r="G484" s="188" t="s">
        <v>13</v>
      </c>
      <c r="H484" s="188" t="s">
        <v>537</v>
      </c>
      <c r="I484" s="562">
        <v>43972</v>
      </c>
      <c r="J484" s="562">
        <v>43982</v>
      </c>
      <c r="K484" s="6" t="str">
        <f t="shared" si="22"/>
        <v>LLD FILM</v>
      </c>
      <c r="L484" s="14">
        <f>VLOOKUP(J484,'USD to INR'!$B$2:$G$560,6,TRUE)</f>
        <v>75.56</v>
      </c>
      <c r="M484" s="216">
        <f t="shared" si="23"/>
        <v>806.11434621492856</v>
      </c>
      <c r="N484" s="563">
        <f t="shared" si="21"/>
        <v>43982</v>
      </c>
    </row>
    <row r="485" spans="1:14" x14ac:dyDescent="0.25">
      <c r="A485" s="188" t="s">
        <v>530</v>
      </c>
      <c r="B485" s="188" t="s">
        <v>531</v>
      </c>
      <c r="C485" s="188" t="s">
        <v>532</v>
      </c>
      <c r="D485" s="560">
        <v>62660</v>
      </c>
      <c r="E485" s="188" t="s">
        <v>98</v>
      </c>
      <c r="F485" s="561">
        <v>1</v>
      </c>
      <c r="G485" s="188" t="s">
        <v>13</v>
      </c>
      <c r="H485" s="188" t="s">
        <v>537</v>
      </c>
      <c r="I485" s="562">
        <v>43983</v>
      </c>
      <c r="J485" s="562">
        <v>43992</v>
      </c>
      <c r="K485" s="6" t="str">
        <f t="shared" si="22"/>
        <v>LLD FILM</v>
      </c>
      <c r="L485" s="14">
        <f>VLOOKUP(J485,'USD to INR'!$B$2:$G$560,6,TRUE)</f>
        <v>76.05</v>
      </c>
      <c r="M485" s="216">
        <f t="shared" si="23"/>
        <v>823.93162393162402</v>
      </c>
      <c r="N485" s="563">
        <f t="shared" si="21"/>
        <v>43992</v>
      </c>
    </row>
    <row r="486" spans="1:14" x14ac:dyDescent="0.25">
      <c r="A486" s="188" t="s">
        <v>530</v>
      </c>
      <c r="B486" s="188" t="s">
        <v>531</v>
      </c>
      <c r="C486" s="188" t="s">
        <v>532</v>
      </c>
      <c r="D486" s="560">
        <v>63590</v>
      </c>
      <c r="E486" s="188" t="s">
        <v>98</v>
      </c>
      <c r="F486" s="561">
        <v>1</v>
      </c>
      <c r="G486" s="188" t="s">
        <v>13</v>
      </c>
      <c r="H486" s="188" t="s">
        <v>537</v>
      </c>
      <c r="I486" s="562">
        <v>43993</v>
      </c>
      <c r="J486" s="562">
        <v>43999</v>
      </c>
      <c r="K486" s="6" t="str">
        <f t="shared" si="22"/>
        <v>LLD FILM</v>
      </c>
      <c r="L486" s="14">
        <f>VLOOKUP(J486,'USD to INR'!$B$2:$G$560,6,TRUE)</f>
        <v>76.260000000000005</v>
      </c>
      <c r="M486" s="216">
        <f t="shared" si="23"/>
        <v>833.85785470757924</v>
      </c>
      <c r="N486" s="563">
        <f t="shared" si="21"/>
        <v>43999</v>
      </c>
    </row>
    <row r="487" spans="1:14" x14ac:dyDescent="0.25">
      <c r="A487" s="188" t="s">
        <v>530</v>
      </c>
      <c r="B487" s="188" t="s">
        <v>531</v>
      </c>
      <c r="C487" s="188" t="s">
        <v>532</v>
      </c>
      <c r="D487" s="560">
        <v>64980</v>
      </c>
      <c r="E487" s="188" t="s">
        <v>98</v>
      </c>
      <c r="F487" s="561">
        <v>1</v>
      </c>
      <c r="G487" s="188" t="s">
        <v>13</v>
      </c>
      <c r="H487" s="188" t="s">
        <v>537</v>
      </c>
      <c r="I487" s="562">
        <v>44000</v>
      </c>
      <c r="J487" s="562">
        <v>44012</v>
      </c>
      <c r="K487" s="6" t="str">
        <f t="shared" si="22"/>
        <v>LLD FILM</v>
      </c>
      <c r="L487" s="14">
        <f>VLOOKUP(J487,'USD to INR'!$B$2:$G$560,6,TRUE)</f>
        <v>74.635999999999996</v>
      </c>
      <c r="M487" s="216">
        <f t="shared" si="23"/>
        <v>870.62543544670143</v>
      </c>
      <c r="N487" s="563">
        <f t="shared" si="21"/>
        <v>44012</v>
      </c>
    </row>
    <row r="488" spans="1:14" x14ac:dyDescent="0.25">
      <c r="A488" s="188" t="s">
        <v>530</v>
      </c>
      <c r="B488" s="188" t="s">
        <v>531</v>
      </c>
      <c r="C488" s="188" t="s">
        <v>532</v>
      </c>
      <c r="D488" s="560">
        <v>66340</v>
      </c>
      <c r="E488" s="188" t="s">
        <v>98</v>
      </c>
      <c r="F488" s="561">
        <v>1</v>
      </c>
      <c r="G488" s="188" t="s">
        <v>13</v>
      </c>
      <c r="H488" s="188" t="s">
        <v>537</v>
      </c>
      <c r="I488" s="562">
        <v>44013</v>
      </c>
      <c r="J488" s="562">
        <v>44027</v>
      </c>
      <c r="K488" s="6" t="str">
        <f t="shared" si="22"/>
        <v>LLD FILM</v>
      </c>
      <c r="L488" s="14">
        <f>VLOOKUP(J488,'USD to INR'!$B$2:$G$560,6,TRUE)</f>
        <v>74.897000000000006</v>
      </c>
      <c r="M488" s="216">
        <f t="shared" si="23"/>
        <v>885.74976300786409</v>
      </c>
      <c r="N488" s="563">
        <f t="shared" si="21"/>
        <v>44027</v>
      </c>
    </row>
    <row r="489" spans="1:14" x14ac:dyDescent="0.25">
      <c r="A489" s="188" t="s">
        <v>530</v>
      </c>
      <c r="B489" s="188" t="s">
        <v>531</v>
      </c>
      <c r="C489" s="188" t="s">
        <v>532</v>
      </c>
      <c r="D489" s="560">
        <v>68190</v>
      </c>
      <c r="E489" s="188" t="s">
        <v>98</v>
      </c>
      <c r="F489" s="561">
        <v>1</v>
      </c>
      <c r="G489" s="188" t="s">
        <v>13</v>
      </c>
      <c r="H489" s="188" t="s">
        <v>537</v>
      </c>
      <c r="I489" s="562">
        <v>44028</v>
      </c>
      <c r="J489" s="562">
        <v>44043</v>
      </c>
      <c r="K489" s="6" t="str">
        <f t="shared" si="22"/>
        <v>LLD FILM</v>
      </c>
      <c r="L489" s="14">
        <f>VLOOKUP(J489,'USD to INR'!$B$2:$G$560,6,TRUE)</f>
        <v>74.915999999999997</v>
      </c>
      <c r="M489" s="216">
        <f t="shared" si="23"/>
        <v>910.21944577927286</v>
      </c>
      <c r="N489" s="563">
        <f t="shared" si="21"/>
        <v>44043</v>
      </c>
    </row>
    <row r="490" spans="1:14" x14ac:dyDescent="0.25">
      <c r="A490" s="188" t="s">
        <v>530</v>
      </c>
      <c r="B490" s="188" t="s">
        <v>531</v>
      </c>
      <c r="C490" s="188" t="s">
        <v>532</v>
      </c>
      <c r="D490" s="560">
        <v>68370</v>
      </c>
      <c r="E490" s="188" t="s">
        <v>98</v>
      </c>
      <c r="F490" s="561">
        <v>1</v>
      </c>
      <c r="G490" s="188" t="s">
        <v>13</v>
      </c>
      <c r="H490" s="188" t="s">
        <v>537</v>
      </c>
      <c r="I490" s="562">
        <v>44044</v>
      </c>
      <c r="J490" s="562">
        <v>44048</v>
      </c>
      <c r="K490" s="6" t="str">
        <f t="shared" si="22"/>
        <v>LLD FILM</v>
      </c>
      <c r="L490" s="14">
        <f>VLOOKUP(J490,'USD to INR'!$B$2:$G$560,6,TRUE)</f>
        <v>75.012</v>
      </c>
      <c r="M490" s="216">
        <f t="shared" si="23"/>
        <v>911.45416733322668</v>
      </c>
      <c r="N490" s="563">
        <f t="shared" si="21"/>
        <v>44048</v>
      </c>
    </row>
    <row r="491" spans="1:14" x14ac:dyDescent="0.25">
      <c r="A491" s="188" t="s">
        <v>530</v>
      </c>
      <c r="B491" s="188" t="s">
        <v>531</v>
      </c>
      <c r="C491" s="188" t="s">
        <v>532</v>
      </c>
      <c r="D491" s="560">
        <v>66990</v>
      </c>
      <c r="E491" s="188" t="s">
        <v>98</v>
      </c>
      <c r="F491" s="561">
        <v>1</v>
      </c>
      <c r="G491" s="188" t="s">
        <v>13</v>
      </c>
      <c r="H491" s="188" t="s">
        <v>537</v>
      </c>
      <c r="I491" s="562">
        <v>44049</v>
      </c>
      <c r="J491" s="562">
        <v>44074</v>
      </c>
      <c r="K491" s="6" t="str">
        <f t="shared" si="22"/>
        <v>LLD FILM</v>
      </c>
      <c r="L491" s="14">
        <f>VLOOKUP(J491,'USD to INR'!$B$2:$G$560,6,TRUE)</f>
        <v>73.289000000000001</v>
      </c>
      <c r="M491" s="216">
        <f t="shared" si="23"/>
        <v>914.05258633628512</v>
      </c>
      <c r="N491" s="563">
        <f t="shared" si="21"/>
        <v>44074</v>
      </c>
    </row>
    <row r="492" spans="1:14" x14ac:dyDescent="0.25">
      <c r="A492" s="188" t="s">
        <v>530</v>
      </c>
      <c r="B492" s="188" t="s">
        <v>531</v>
      </c>
      <c r="C492" s="188" t="s">
        <v>532</v>
      </c>
      <c r="D492" s="560">
        <v>66990</v>
      </c>
      <c r="E492" s="188" t="s">
        <v>98</v>
      </c>
      <c r="F492" s="561">
        <v>1</v>
      </c>
      <c r="G492" s="188" t="s">
        <v>13</v>
      </c>
      <c r="H492" s="188" t="s">
        <v>537</v>
      </c>
      <c r="I492" s="562">
        <v>44075</v>
      </c>
      <c r="J492" s="562">
        <v>44083</v>
      </c>
      <c r="K492" s="6" t="str">
        <f t="shared" si="22"/>
        <v>LLD FILM</v>
      </c>
      <c r="L492" s="14">
        <f>VLOOKUP(J492,'USD to INR'!$B$2:$G$560,6,TRUE)</f>
        <v>73.430000000000007</v>
      </c>
      <c r="M492" s="216">
        <f t="shared" si="23"/>
        <v>912.29742612011432</v>
      </c>
      <c r="N492" s="563">
        <f t="shared" si="21"/>
        <v>44083</v>
      </c>
    </row>
    <row r="493" spans="1:14" x14ac:dyDescent="0.25">
      <c r="A493" s="188" t="s">
        <v>530</v>
      </c>
      <c r="B493" s="188" t="s">
        <v>531</v>
      </c>
      <c r="C493" s="188" t="s">
        <v>532</v>
      </c>
      <c r="D493" s="560">
        <v>68840</v>
      </c>
      <c r="E493" s="188" t="s">
        <v>98</v>
      </c>
      <c r="F493" s="561">
        <v>1</v>
      </c>
      <c r="G493" s="188" t="s">
        <v>13</v>
      </c>
      <c r="H493" s="188" t="s">
        <v>537</v>
      </c>
      <c r="I493" s="562">
        <v>44084</v>
      </c>
      <c r="J493" s="562">
        <v>44090</v>
      </c>
      <c r="K493" s="6" t="str">
        <f t="shared" si="22"/>
        <v>LLD FILM</v>
      </c>
      <c r="L493" s="14">
        <f>VLOOKUP(J493,'USD to INR'!$B$2:$G$560,6,TRUE)</f>
        <v>73.537999999999997</v>
      </c>
      <c r="M493" s="216">
        <f t="shared" si="23"/>
        <v>936.11466180750097</v>
      </c>
      <c r="N493" s="563">
        <f t="shared" si="21"/>
        <v>44090</v>
      </c>
    </row>
    <row r="494" spans="1:14" x14ac:dyDescent="0.25">
      <c r="A494" s="188" t="s">
        <v>530</v>
      </c>
      <c r="B494" s="188" t="s">
        <v>531</v>
      </c>
      <c r="C494" s="188" t="s">
        <v>532</v>
      </c>
      <c r="D494" s="560">
        <v>69770</v>
      </c>
      <c r="E494" s="188" t="s">
        <v>98</v>
      </c>
      <c r="F494" s="561">
        <v>1</v>
      </c>
      <c r="G494" s="188" t="s">
        <v>13</v>
      </c>
      <c r="H494" s="188" t="s">
        <v>537</v>
      </c>
      <c r="I494" s="562">
        <v>44091</v>
      </c>
      <c r="J494" s="562">
        <v>44104</v>
      </c>
      <c r="K494" s="6" t="str">
        <f t="shared" si="22"/>
        <v>LLD FILM</v>
      </c>
      <c r="L494" s="14">
        <f>VLOOKUP(J494,'USD to INR'!$B$2:$G$560,6,TRUE)</f>
        <v>73.290000000000006</v>
      </c>
      <c r="M494" s="216">
        <f t="shared" si="23"/>
        <v>951.97161959339599</v>
      </c>
      <c r="N494" s="563">
        <f t="shared" si="21"/>
        <v>44104</v>
      </c>
    </row>
    <row r="495" spans="1:14" x14ac:dyDescent="0.25">
      <c r="A495" s="188" t="s">
        <v>530</v>
      </c>
      <c r="B495" s="188" t="s">
        <v>531</v>
      </c>
      <c r="C495" s="188" t="s">
        <v>532</v>
      </c>
      <c r="D495" s="560">
        <v>71170</v>
      </c>
      <c r="E495" s="188" t="s">
        <v>98</v>
      </c>
      <c r="F495" s="561">
        <v>1</v>
      </c>
      <c r="G495" s="188" t="s">
        <v>13</v>
      </c>
      <c r="H495" s="188" t="s">
        <v>537</v>
      </c>
      <c r="I495" s="562">
        <v>44105</v>
      </c>
      <c r="J495" s="562">
        <v>44135</v>
      </c>
      <c r="K495" s="6" t="str">
        <f t="shared" si="22"/>
        <v>LLD FILM</v>
      </c>
      <c r="L495" s="14">
        <f>VLOOKUP(J495,'USD to INR'!$B$2:$G$560,6,TRUE)</f>
        <v>74.554000000000002</v>
      </c>
      <c r="M495" s="216">
        <f t="shared" si="23"/>
        <v>954.61008128336505</v>
      </c>
      <c r="N495" s="563">
        <f t="shared" si="21"/>
        <v>44135</v>
      </c>
    </row>
    <row r="496" spans="1:14" x14ac:dyDescent="0.25">
      <c r="A496" s="188" t="s">
        <v>530</v>
      </c>
      <c r="B496" s="188" t="s">
        <v>531</v>
      </c>
      <c r="C496" s="188" t="s">
        <v>532</v>
      </c>
      <c r="D496" s="560">
        <v>73020</v>
      </c>
      <c r="E496" s="188" t="s">
        <v>98</v>
      </c>
      <c r="F496" s="561">
        <v>1</v>
      </c>
      <c r="G496" s="188" t="s">
        <v>13</v>
      </c>
      <c r="H496" s="188" t="s">
        <v>537</v>
      </c>
      <c r="I496" s="562">
        <v>44136</v>
      </c>
      <c r="J496" s="562">
        <v>44153</v>
      </c>
      <c r="K496" s="6" t="str">
        <f t="shared" si="22"/>
        <v>LLD FILM</v>
      </c>
      <c r="L496" s="14">
        <f>VLOOKUP(J496,'USD to INR'!$B$2:$G$560,6,TRUE)</f>
        <v>74.11</v>
      </c>
      <c r="M496" s="216">
        <f t="shared" si="23"/>
        <v>985.29213331534208</v>
      </c>
      <c r="N496" s="563">
        <f t="shared" si="21"/>
        <v>44153</v>
      </c>
    </row>
    <row r="497" spans="1:14" x14ac:dyDescent="0.25">
      <c r="A497" s="188" t="s">
        <v>530</v>
      </c>
      <c r="B497" s="188" t="s">
        <v>531</v>
      </c>
      <c r="C497" s="188" t="s">
        <v>532</v>
      </c>
      <c r="D497" s="560">
        <v>73950</v>
      </c>
      <c r="E497" s="188" t="s">
        <v>98</v>
      </c>
      <c r="F497" s="561">
        <v>1</v>
      </c>
      <c r="G497" s="188" t="s">
        <v>13</v>
      </c>
      <c r="H497" s="188" t="s">
        <v>537</v>
      </c>
      <c r="I497" s="562">
        <v>44154</v>
      </c>
      <c r="J497" s="562">
        <v>44160</v>
      </c>
      <c r="K497" s="6" t="str">
        <f t="shared" si="22"/>
        <v>LLD FILM</v>
      </c>
      <c r="L497" s="14">
        <f>VLOOKUP(J497,'USD to INR'!$B$2:$G$560,6,TRUE)</f>
        <v>73.933000000000007</v>
      </c>
      <c r="M497" s="216">
        <f t="shared" si="23"/>
        <v>1000.2299379167624</v>
      </c>
      <c r="N497" s="563">
        <f t="shared" si="21"/>
        <v>44160</v>
      </c>
    </row>
    <row r="498" spans="1:14" x14ac:dyDescent="0.25">
      <c r="A498" s="188" t="s">
        <v>530</v>
      </c>
      <c r="B498" s="188" t="s">
        <v>531</v>
      </c>
      <c r="C498" s="188" t="s">
        <v>532</v>
      </c>
      <c r="D498" s="560">
        <v>76730</v>
      </c>
      <c r="E498" s="188" t="s">
        <v>98</v>
      </c>
      <c r="F498" s="561">
        <v>1</v>
      </c>
      <c r="G498" s="188" t="s">
        <v>13</v>
      </c>
      <c r="H498" s="188" t="s">
        <v>537</v>
      </c>
      <c r="I498" s="562">
        <v>44161</v>
      </c>
      <c r="J498" s="562">
        <v>44165</v>
      </c>
      <c r="K498" s="6" t="str">
        <f t="shared" si="22"/>
        <v>LLD FILM</v>
      </c>
      <c r="L498" s="14">
        <f>VLOOKUP(J498,'USD to INR'!$B$2:$G$560,6,TRUE)</f>
        <v>73.757000000000005</v>
      </c>
      <c r="M498" s="216">
        <f t="shared" si="23"/>
        <v>1040.308038559052</v>
      </c>
      <c r="N498" s="563">
        <f t="shared" si="21"/>
        <v>44165</v>
      </c>
    </row>
    <row r="499" spans="1:14" x14ac:dyDescent="0.25">
      <c r="A499" s="188" t="s">
        <v>530</v>
      </c>
      <c r="B499" s="188" t="s">
        <v>531</v>
      </c>
      <c r="C499" s="188" t="s">
        <v>532</v>
      </c>
      <c r="D499" s="560">
        <v>79500</v>
      </c>
      <c r="E499" s="188" t="s">
        <v>98</v>
      </c>
      <c r="F499" s="561">
        <v>1</v>
      </c>
      <c r="G499" s="188" t="s">
        <v>13</v>
      </c>
      <c r="H499" s="188" t="s">
        <v>537</v>
      </c>
      <c r="I499" s="562">
        <v>44166</v>
      </c>
      <c r="J499" s="562">
        <v>44181</v>
      </c>
      <c r="K499" s="6" t="str">
        <f t="shared" si="22"/>
        <v>LLD FILM</v>
      </c>
      <c r="L499" s="14">
        <f>VLOOKUP(J499,'USD to INR'!$B$2:$G$560,6,TRUE)</f>
        <v>73.569999999999993</v>
      </c>
      <c r="M499" s="216">
        <f t="shared" si="23"/>
        <v>1080.6035068642111</v>
      </c>
      <c r="N499" s="563">
        <f t="shared" si="21"/>
        <v>44181</v>
      </c>
    </row>
    <row r="500" spans="1:14" x14ac:dyDescent="0.25">
      <c r="A500" s="188" t="s">
        <v>530</v>
      </c>
      <c r="B500" s="188" t="s">
        <v>531</v>
      </c>
      <c r="C500" s="188" t="s">
        <v>532</v>
      </c>
      <c r="D500" s="560">
        <v>81350</v>
      </c>
      <c r="E500" s="188" t="s">
        <v>98</v>
      </c>
      <c r="F500" s="561">
        <v>1</v>
      </c>
      <c r="G500" s="188" t="s">
        <v>13</v>
      </c>
      <c r="H500" s="188" t="s">
        <v>537</v>
      </c>
      <c r="I500" s="562">
        <v>44182</v>
      </c>
      <c r="J500" s="562">
        <v>44196</v>
      </c>
      <c r="K500" s="6" t="str">
        <f t="shared" si="22"/>
        <v>LLD FILM</v>
      </c>
      <c r="L500" s="14">
        <f>VLOOKUP(J500,'USD to INR'!$B$2:$G$560,6,TRUE)</f>
        <v>73.12</v>
      </c>
      <c r="M500" s="216">
        <f t="shared" si="23"/>
        <v>1112.554704595186</v>
      </c>
      <c r="N500" s="563">
        <f t="shared" si="21"/>
        <v>44196</v>
      </c>
    </row>
    <row r="501" spans="1:14" x14ac:dyDescent="0.25">
      <c r="A501" s="188" t="s">
        <v>530</v>
      </c>
      <c r="B501" s="188" t="s">
        <v>531</v>
      </c>
      <c r="C501" s="188" t="s">
        <v>532</v>
      </c>
      <c r="D501" s="560">
        <v>81350</v>
      </c>
      <c r="E501" s="188" t="s">
        <v>98</v>
      </c>
      <c r="F501" s="561">
        <v>1</v>
      </c>
      <c r="G501" s="188" t="s">
        <v>13</v>
      </c>
      <c r="H501" s="188" t="s">
        <v>537</v>
      </c>
      <c r="I501" s="562">
        <v>44197</v>
      </c>
      <c r="J501" s="562">
        <v>44216</v>
      </c>
      <c r="K501" s="6" t="str">
        <f t="shared" si="22"/>
        <v>LLD FILM</v>
      </c>
      <c r="L501" s="14">
        <f>VLOOKUP(J501,'USD to INR'!$B$2:$G$560,6,TRUE)</f>
        <v>72.98</v>
      </c>
      <c r="M501" s="216">
        <f t="shared" si="23"/>
        <v>1114.6889558783228</v>
      </c>
      <c r="N501" s="563">
        <f t="shared" si="21"/>
        <v>44216</v>
      </c>
    </row>
    <row r="502" spans="1:14" x14ac:dyDescent="0.25">
      <c r="A502" s="188" t="s">
        <v>530</v>
      </c>
      <c r="B502" s="188" t="s">
        <v>531</v>
      </c>
      <c r="C502" s="188" t="s">
        <v>532</v>
      </c>
      <c r="D502" s="560">
        <v>78580</v>
      </c>
      <c r="E502" s="188" t="s">
        <v>98</v>
      </c>
      <c r="F502" s="561">
        <v>1</v>
      </c>
      <c r="G502" s="188" t="s">
        <v>13</v>
      </c>
      <c r="H502" s="188" t="s">
        <v>537</v>
      </c>
      <c r="I502" s="562">
        <v>44217</v>
      </c>
      <c r="J502" s="562">
        <v>44227</v>
      </c>
      <c r="K502" s="6" t="str">
        <f t="shared" si="22"/>
        <v>LLD FILM</v>
      </c>
      <c r="L502" s="14">
        <f>VLOOKUP(J502,'USD to INR'!$B$2:$G$560,6,TRUE)</f>
        <v>72.81</v>
      </c>
      <c r="M502" s="216">
        <f t="shared" si="23"/>
        <v>1079.2473561323993</v>
      </c>
      <c r="N502" s="563">
        <f t="shared" si="21"/>
        <v>44227</v>
      </c>
    </row>
    <row r="503" spans="1:14" x14ac:dyDescent="0.25">
      <c r="A503" s="188" t="s">
        <v>530</v>
      </c>
      <c r="B503" s="188" t="s">
        <v>531</v>
      </c>
      <c r="C503" s="188" t="s">
        <v>532</v>
      </c>
      <c r="D503" s="560">
        <v>78580</v>
      </c>
      <c r="E503" s="188" t="s">
        <v>98</v>
      </c>
      <c r="F503" s="561">
        <v>1</v>
      </c>
      <c r="G503" s="188" t="s">
        <v>13</v>
      </c>
      <c r="H503" s="188" t="s">
        <v>537</v>
      </c>
      <c r="I503" s="562">
        <v>44228</v>
      </c>
      <c r="J503" s="562">
        <v>44244</v>
      </c>
      <c r="K503" s="6" t="str">
        <f t="shared" si="22"/>
        <v>LLD FILM</v>
      </c>
      <c r="L503" s="14">
        <f>VLOOKUP(J503,'USD to INR'!$B$2:$G$560,6,TRUE)</f>
        <v>72.55</v>
      </c>
      <c r="M503" s="216">
        <f t="shared" si="23"/>
        <v>1083.1150930392832</v>
      </c>
      <c r="N503" s="563">
        <f t="shared" si="21"/>
        <v>44244</v>
      </c>
    </row>
    <row r="504" spans="1:14" x14ac:dyDescent="0.25">
      <c r="A504" s="188" t="s">
        <v>530</v>
      </c>
      <c r="B504" s="188" t="s">
        <v>531</v>
      </c>
      <c r="C504" s="188" t="s">
        <v>532</v>
      </c>
      <c r="D504" s="560">
        <v>83670</v>
      </c>
      <c r="E504" s="188" t="s">
        <v>98</v>
      </c>
      <c r="F504" s="561">
        <v>1</v>
      </c>
      <c r="G504" s="188" t="s">
        <v>13</v>
      </c>
      <c r="H504" s="188" t="s">
        <v>537</v>
      </c>
      <c r="I504" s="562">
        <v>44245</v>
      </c>
      <c r="J504" s="562">
        <v>44251</v>
      </c>
      <c r="K504" s="6" t="str">
        <f t="shared" si="22"/>
        <v>LLD FILM</v>
      </c>
      <c r="L504" s="14">
        <f>VLOOKUP(J504,'USD to INR'!$B$2:$G$560,6,TRUE)</f>
        <v>73.92</v>
      </c>
      <c r="M504" s="216">
        <f t="shared" si="23"/>
        <v>1131.8993506493507</v>
      </c>
      <c r="N504" s="563">
        <f t="shared" si="21"/>
        <v>44251</v>
      </c>
    </row>
    <row r="505" spans="1:14" x14ac:dyDescent="0.25">
      <c r="A505" s="188" t="s">
        <v>530</v>
      </c>
      <c r="B505" s="188" t="s">
        <v>531</v>
      </c>
      <c r="C505" s="188" t="s">
        <v>532</v>
      </c>
      <c r="D505" s="560">
        <v>88290</v>
      </c>
      <c r="E505" s="188" t="s">
        <v>98</v>
      </c>
      <c r="F505" s="561">
        <v>1</v>
      </c>
      <c r="G505" s="188" t="s">
        <v>13</v>
      </c>
      <c r="H505" s="188" t="s">
        <v>537</v>
      </c>
      <c r="I505" s="562">
        <v>44252</v>
      </c>
      <c r="J505" s="562">
        <v>44255</v>
      </c>
      <c r="K505" s="6" t="str">
        <f t="shared" si="22"/>
        <v>LLD FILM</v>
      </c>
      <c r="L505" s="14">
        <f>VLOOKUP(J505,'USD to INR'!$B$2:$G$560,6,TRUE)</f>
        <v>73.180000000000007</v>
      </c>
      <c r="M505" s="216">
        <f t="shared" si="23"/>
        <v>1206.477179557256</v>
      </c>
      <c r="N505" s="563">
        <f t="shared" si="21"/>
        <v>44255</v>
      </c>
    </row>
    <row r="506" spans="1:14" x14ac:dyDescent="0.25">
      <c r="A506" s="188" t="s">
        <v>530</v>
      </c>
      <c r="B506" s="188" t="s">
        <v>531</v>
      </c>
      <c r="C506" s="188" t="s">
        <v>532</v>
      </c>
      <c r="D506" s="560">
        <v>91050</v>
      </c>
      <c r="E506" s="188" t="s">
        <v>98</v>
      </c>
      <c r="F506" s="561">
        <v>1</v>
      </c>
      <c r="G506" s="188" t="s">
        <v>13</v>
      </c>
      <c r="H506" s="188" t="s">
        <v>537</v>
      </c>
      <c r="I506" s="562">
        <v>44256</v>
      </c>
      <c r="J506" s="562">
        <v>44258</v>
      </c>
      <c r="K506" s="6" t="str">
        <f t="shared" si="22"/>
        <v>LLD FILM</v>
      </c>
      <c r="L506" s="14">
        <f>VLOOKUP(J506,'USD to INR'!$B$2:$G$560,6,TRUE)</f>
        <v>73.180000000000007</v>
      </c>
      <c r="M506" s="216">
        <f t="shared" si="23"/>
        <v>1244.1924022957091</v>
      </c>
      <c r="N506" s="563">
        <f t="shared" si="21"/>
        <v>44258</v>
      </c>
    </row>
    <row r="507" spans="1:14" x14ac:dyDescent="0.25">
      <c r="A507" s="188" t="s">
        <v>530</v>
      </c>
      <c r="B507" s="188" t="s">
        <v>531</v>
      </c>
      <c r="C507" s="188" t="s">
        <v>532</v>
      </c>
      <c r="D507" s="560">
        <v>94750</v>
      </c>
      <c r="E507" s="188" t="s">
        <v>98</v>
      </c>
      <c r="F507" s="561">
        <v>1</v>
      </c>
      <c r="G507" s="188" t="s">
        <v>13</v>
      </c>
      <c r="H507" s="188" t="s">
        <v>537</v>
      </c>
      <c r="I507" s="562">
        <v>44259</v>
      </c>
      <c r="J507" s="562">
        <v>44265</v>
      </c>
      <c r="K507" s="6" t="str">
        <f t="shared" si="22"/>
        <v>LLD FILM</v>
      </c>
      <c r="L507" s="14">
        <f>VLOOKUP(J507,'USD to INR'!$B$2:$G$560,6,TRUE)</f>
        <v>72.680000000000007</v>
      </c>
      <c r="M507" s="216">
        <f t="shared" si="23"/>
        <v>1303.6598789212987</v>
      </c>
      <c r="N507" s="563">
        <f t="shared" si="21"/>
        <v>44265</v>
      </c>
    </row>
    <row r="508" spans="1:14" x14ac:dyDescent="0.25">
      <c r="A508" s="188" t="s">
        <v>530</v>
      </c>
      <c r="B508" s="188" t="s">
        <v>531</v>
      </c>
      <c r="C508" s="188" t="s">
        <v>532</v>
      </c>
      <c r="D508" s="560">
        <v>98450</v>
      </c>
      <c r="E508" s="188" t="s">
        <v>98</v>
      </c>
      <c r="F508" s="561">
        <v>1</v>
      </c>
      <c r="G508" s="188" t="s">
        <v>13</v>
      </c>
      <c r="H508" s="188" t="s">
        <v>537</v>
      </c>
      <c r="I508" s="562">
        <v>44266</v>
      </c>
      <c r="J508" s="562">
        <v>44286</v>
      </c>
      <c r="K508" s="6" t="str">
        <f t="shared" si="22"/>
        <v>LLD FILM</v>
      </c>
      <c r="L508" s="14">
        <f>VLOOKUP(J508,'USD to INR'!$B$2:$G$560,6,TRUE)</f>
        <v>73.37</v>
      </c>
      <c r="M508" s="216">
        <f t="shared" si="23"/>
        <v>1341.8290854572713</v>
      </c>
      <c r="N508" s="563">
        <f t="shared" si="21"/>
        <v>44286</v>
      </c>
    </row>
    <row r="509" spans="1:14" x14ac:dyDescent="0.25">
      <c r="A509" s="188" t="s">
        <v>530</v>
      </c>
      <c r="B509" s="188" t="s">
        <v>531</v>
      </c>
      <c r="C509" s="188" t="s">
        <v>532</v>
      </c>
      <c r="D509" s="560">
        <v>99840</v>
      </c>
      <c r="E509" s="188" t="s">
        <v>98</v>
      </c>
      <c r="F509" s="561">
        <v>1</v>
      </c>
      <c r="G509" s="188" t="s">
        <v>13</v>
      </c>
      <c r="H509" s="188" t="s">
        <v>537</v>
      </c>
      <c r="I509" s="562">
        <v>44287</v>
      </c>
      <c r="J509" s="562">
        <v>44300</v>
      </c>
      <c r="K509" s="6" t="str">
        <f t="shared" si="22"/>
        <v>LLD FILM</v>
      </c>
      <c r="L509" s="14">
        <f>VLOOKUP(J509,'USD to INR'!$B$2:$G$560,6,TRUE)</f>
        <v>74.53</v>
      </c>
      <c r="M509" s="216">
        <f t="shared" si="23"/>
        <v>1339.5947940426674</v>
      </c>
      <c r="N509" s="563">
        <f t="shared" si="21"/>
        <v>44300</v>
      </c>
    </row>
    <row r="510" spans="1:14" x14ac:dyDescent="0.25">
      <c r="A510" s="188" t="s">
        <v>530</v>
      </c>
      <c r="B510" s="188" t="s">
        <v>531</v>
      </c>
      <c r="C510" s="188" t="s">
        <v>532</v>
      </c>
      <c r="D510" s="560">
        <v>97540</v>
      </c>
      <c r="E510" s="188" t="s">
        <v>98</v>
      </c>
      <c r="F510" s="561">
        <v>1</v>
      </c>
      <c r="G510" s="188" t="s">
        <v>13</v>
      </c>
      <c r="H510" s="188" t="s">
        <v>537</v>
      </c>
      <c r="I510" s="562">
        <v>44301</v>
      </c>
      <c r="J510" s="562">
        <v>44307</v>
      </c>
      <c r="K510" s="6" t="str">
        <f t="shared" si="22"/>
        <v>LLD FILM</v>
      </c>
      <c r="L510" s="14">
        <f>VLOOKUP(J510,'USD to INR'!$B$2:$G$560,6,TRUE)</f>
        <v>74.92</v>
      </c>
      <c r="M510" s="216">
        <f t="shared" si="23"/>
        <v>1301.922050186866</v>
      </c>
      <c r="N510" s="563">
        <f t="shared" si="21"/>
        <v>44307</v>
      </c>
    </row>
    <row r="511" spans="1:14" x14ac:dyDescent="0.25">
      <c r="A511" s="188" t="s">
        <v>530</v>
      </c>
      <c r="B511" s="188" t="s">
        <v>531</v>
      </c>
      <c r="C511" s="188" t="s">
        <v>532</v>
      </c>
      <c r="D511" s="560">
        <v>94690</v>
      </c>
      <c r="E511" s="188" t="s">
        <v>98</v>
      </c>
      <c r="F511" s="561">
        <v>1</v>
      </c>
      <c r="G511" s="188" t="s">
        <v>13</v>
      </c>
      <c r="H511" s="188" t="s">
        <v>537</v>
      </c>
      <c r="I511" s="562">
        <v>44308</v>
      </c>
      <c r="J511" s="562">
        <v>44316</v>
      </c>
      <c r="K511" s="6" t="str">
        <f t="shared" si="22"/>
        <v>LLD FILM</v>
      </c>
      <c r="L511" s="14">
        <f>VLOOKUP(J511,'USD to INR'!$B$2:$G$560,6,TRUE)</f>
        <v>74.05</v>
      </c>
      <c r="M511" s="216">
        <f t="shared" si="23"/>
        <v>1278.7305874409183</v>
      </c>
      <c r="N511" s="563">
        <f t="shared" si="21"/>
        <v>44316</v>
      </c>
    </row>
    <row r="512" spans="1:14" x14ac:dyDescent="0.25">
      <c r="A512" s="188" t="s">
        <v>530</v>
      </c>
      <c r="B512" s="188" t="s">
        <v>531</v>
      </c>
      <c r="C512" s="188" t="s">
        <v>532</v>
      </c>
      <c r="D512" s="560">
        <v>92390</v>
      </c>
      <c r="E512" s="188" t="s">
        <v>98</v>
      </c>
      <c r="F512" s="561">
        <v>1</v>
      </c>
      <c r="G512" s="188" t="s">
        <v>13</v>
      </c>
      <c r="H512" s="188" t="s">
        <v>537</v>
      </c>
      <c r="I512" s="562">
        <v>44317</v>
      </c>
      <c r="J512" s="562">
        <v>44321</v>
      </c>
      <c r="K512" s="6" t="str">
        <f t="shared" si="22"/>
        <v>LLD FILM</v>
      </c>
      <c r="L512" s="14">
        <f>VLOOKUP(J512,'USD to INR'!$B$2:$G$560,6,TRUE)</f>
        <v>73.251999999999995</v>
      </c>
      <c r="M512" s="216">
        <f t="shared" si="23"/>
        <v>1261.2624911265223</v>
      </c>
      <c r="N512" s="563">
        <f t="shared" si="21"/>
        <v>44321</v>
      </c>
    </row>
    <row r="513" spans="1:14" x14ac:dyDescent="0.25">
      <c r="A513" s="188" t="s">
        <v>530</v>
      </c>
      <c r="B513" s="188" t="s">
        <v>531</v>
      </c>
      <c r="C513" s="188" t="s">
        <v>532</v>
      </c>
      <c r="D513" s="560">
        <v>87780</v>
      </c>
      <c r="E513" s="188" t="s">
        <v>98</v>
      </c>
      <c r="F513" s="561">
        <v>1</v>
      </c>
      <c r="G513" s="188" t="s">
        <v>13</v>
      </c>
      <c r="H513" s="188" t="s">
        <v>537</v>
      </c>
      <c r="I513" s="562">
        <v>44322</v>
      </c>
      <c r="J513" s="562">
        <v>44335</v>
      </c>
      <c r="K513" s="6" t="str">
        <f t="shared" si="22"/>
        <v>LLD FILM</v>
      </c>
      <c r="L513" s="14">
        <f>VLOOKUP(J513,'USD to INR'!$B$2:$G$560,6,TRUE)</f>
        <v>72.816999999999993</v>
      </c>
      <c r="M513" s="216">
        <f t="shared" si="23"/>
        <v>1205.4877295137126</v>
      </c>
      <c r="N513" s="563">
        <f t="shared" si="21"/>
        <v>44335</v>
      </c>
    </row>
    <row r="514" spans="1:14" x14ac:dyDescent="0.25">
      <c r="A514" s="188" t="s">
        <v>530</v>
      </c>
      <c r="B514" s="188" t="s">
        <v>531</v>
      </c>
      <c r="C514" s="188" t="s">
        <v>532</v>
      </c>
      <c r="D514" s="560">
        <v>85940</v>
      </c>
      <c r="E514" s="188" t="s">
        <v>98</v>
      </c>
      <c r="F514" s="561">
        <v>1</v>
      </c>
      <c r="G514" s="188" t="s">
        <v>13</v>
      </c>
      <c r="H514" s="188" t="s">
        <v>537</v>
      </c>
      <c r="I514" s="562">
        <v>44336</v>
      </c>
      <c r="J514" s="562">
        <v>44347</v>
      </c>
      <c r="K514" s="6" t="str">
        <f t="shared" si="22"/>
        <v>LLD FILM</v>
      </c>
      <c r="L514" s="14">
        <f>VLOOKUP(J514,'USD to INR'!$B$2:$G$560,6,TRUE)</f>
        <v>72.86</v>
      </c>
      <c r="M514" s="216">
        <f t="shared" si="23"/>
        <v>1179.5223716716991</v>
      </c>
      <c r="N514" s="563">
        <f t="shared" ref="N514:N577" si="24">J514</f>
        <v>44347</v>
      </c>
    </row>
    <row r="515" spans="1:14" x14ac:dyDescent="0.25">
      <c r="A515" s="188" t="s">
        <v>530</v>
      </c>
      <c r="B515" s="188" t="s">
        <v>531</v>
      </c>
      <c r="C515" s="188" t="s">
        <v>532</v>
      </c>
      <c r="D515" s="560">
        <v>85010</v>
      </c>
      <c r="E515" s="188" t="s">
        <v>98</v>
      </c>
      <c r="F515" s="561">
        <v>1</v>
      </c>
      <c r="G515" s="188" t="s">
        <v>13</v>
      </c>
      <c r="H515" s="188" t="s">
        <v>537</v>
      </c>
      <c r="I515" s="562">
        <v>44348</v>
      </c>
      <c r="J515" s="562">
        <v>44356</v>
      </c>
      <c r="K515" s="6" t="str">
        <f t="shared" ref="K515:K578" si="25">VLOOKUP(H515,$V$2:$W$10,2,TRUE)</f>
        <v>LLD FILM</v>
      </c>
      <c r="L515" s="14">
        <f>VLOOKUP(J515,'USD to INR'!$B$2:$G$560,6,TRUE)</f>
        <v>73.239999999999995</v>
      </c>
      <c r="M515" s="216">
        <f t="shared" ref="M515:M578" si="26">D515/L515</f>
        <v>1160.7045330420535</v>
      </c>
      <c r="N515" s="563">
        <f t="shared" si="24"/>
        <v>44356</v>
      </c>
    </row>
    <row r="516" spans="1:14" x14ac:dyDescent="0.25">
      <c r="A516" s="188" t="s">
        <v>530</v>
      </c>
      <c r="B516" s="188" t="s">
        <v>531</v>
      </c>
      <c r="C516" s="188" t="s">
        <v>532</v>
      </c>
      <c r="D516" s="560">
        <v>85010</v>
      </c>
      <c r="E516" s="188" t="s">
        <v>98</v>
      </c>
      <c r="F516" s="561">
        <v>1</v>
      </c>
      <c r="G516" s="188" t="s">
        <v>13</v>
      </c>
      <c r="H516" s="188" t="s">
        <v>537</v>
      </c>
      <c r="I516" s="562">
        <v>44357</v>
      </c>
      <c r="J516" s="562">
        <v>44377</v>
      </c>
      <c r="K516" s="6" t="str">
        <f t="shared" si="25"/>
        <v>LLD FILM</v>
      </c>
      <c r="L516" s="14">
        <f>VLOOKUP(J516,'USD to INR'!$B$2:$G$560,6,TRUE)</f>
        <v>74.512</v>
      </c>
      <c r="M516" s="216">
        <f t="shared" si="26"/>
        <v>1140.8900579772385</v>
      </c>
      <c r="N516" s="563">
        <f t="shared" si="24"/>
        <v>44377</v>
      </c>
    </row>
    <row r="517" spans="1:14" x14ac:dyDescent="0.25">
      <c r="A517" s="188" t="s">
        <v>530</v>
      </c>
      <c r="B517" s="188" t="s">
        <v>531</v>
      </c>
      <c r="C517" s="188" t="s">
        <v>532</v>
      </c>
      <c r="D517" s="560">
        <v>85000</v>
      </c>
      <c r="E517" s="188" t="s">
        <v>98</v>
      </c>
      <c r="F517" s="561">
        <v>1</v>
      </c>
      <c r="G517" s="188" t="s">
        <v>13</v>
      </c>
      <c r="H517" s="188" t="s">
        <v>537</v>
      </c>
      <c r="I517" s="562">
        <v>44378</v>
      </c>
      <c r="J517" s="562">
        <v>44384</v>
      </c>
      <c r="K517" s="6" t="str">
        <f t="shared" si="25"/>
        <v>LLD FILM</v>
      </c>
      <c r="L517" s="14">
        <f>VLOOKUP(J517,'USD to INR'!$B$2:$G$560,6,TRUE)</f>
        <v>74.484999999999999</v>
      </c>
      <c r="M517" s="216">
        <f t="shared" si="26"/>
        <v>1141.1693629589849</v>
      </c>
      <c r="N517" s="563">
        <f t="shared" si="24"/>
        <v>44384</v>
      </c>
    </row>
    <row r="518" spans="1:14" x14ac:dyDescent="0.25">
      <c r="A518" s="188" t="s">
        <v>530</v>
      </c>
      <c r="B518" s="188" t="s">
        <v>531</v>
      </c>
      <c r="C518" s="188" t="s">
        <v>532</v>
      </c>
      <c r="D518" s="560">
        <v>87310</v>
      </c>
      <c r="E518" s="188" t="s">
        <v>98</v>
      </c>
      <c r="F518" s="561">
        <v>1</v>
      </c>
      <c r="G518" s="188" t="s">
        <v>13</v>
      </c>
      <c r="H518" s="188" t="s">
        <v>537</v>
      </c>
      <c r="I518" s="562">
        <v>44385</v>
      </c>
      <c r="J518" s="562">
        <v>44391</v>
      </c>
      <c r="K518" s="6" t="str">
        <f t="shared" si="25"/>
        <v>LLD FILM</v>
      </c>
      <c r="L518" s="14">
        <f>VLOOKUP(J518,'USD to INR'!$B$2:$G$560,6,TRUE)</f>
        <v>74.605999999999995</v>
      </c>
      <c r="M518" s="216">
        <f t="shared" si="26"/>
        <v>1170.2812106264912</v>
      </c>
      <c r="N518" s="563">
        <f t="shared" si="24"/>
        <v>44391</v>
      </c>
    </row>
    <row r="519" spans="1:14" x14ac:dyDescent="0.25">
      <c r="A519" s="188" t="s">
        <v>530</v>
      </c>
      <c r="B519" s="188" t="s">
        <v>531</v>
      </c>
      <c r="C519" s="188" t="s">
        <v>532</v>
      </c>
      <c r="D519" s="560">
        <v>88240</v>
      </c>
      <c r="E519" s="188" t="s">
        <v>98</v>
      </c>
      <c r="F519" s="561">
        <v>1</v>
      </c>
      <c r="G519" s="188" t="s">
        <v>13</v>
      </c>
      <c r="H519" s="188" t="s">
        <v>537</v>
      </c>
      <c r="I519" s="562">
        <v>44392</v>
      </c>
      <c r="J519" s="562">
        <v>44398</v>
      </c>
      <c r="K519" s="6" t="str">
        <f t="shared" si="25"/>
        <v>LLD FILM</v>
      </c>
      <c r="L519" s="14">
        <f>VLOOKUP(J519,'USD to INR'!$B$2:$G$560,6,TRUE)</f>
        <v>74.424999999999997</v>
      </c>
      <c r="M519" s="216">
        <f t="shared" si="26"/>
        <v>1185.6231105139402</v>
      </c>
      <c r="N519" s="563">
        <f t="shared" si="24"/>
        <v>44398</v>
      </c>
    </row>
    <row r="520" spans="1:14" x14ac:dyDescent="0.25">
      <c r="A520" s="188" t="s">
        <v>530</v>
      </c>
      <c r="B520" s="188" t="s">
        <v>531</v>
      </c>
      <c r="C520" s="188" t="s">
        <v>532</v>
      </c>
      <c r="D520" s="560">
        <v>89170</v>
      </c>
      <c r="E520" s="188" t="s">
        <v>98</v>
      </c>
      <c r="F520" s="561">
        <v>1</v>
      </c>
      <c r="G520" s="188" t="s">
        <v>13</v>
      </c>
      <c r="H520" s="188" t="s">
        <v>537</v>
      </c>
      <c r="I520" s="562">
        <v>44399</v>
      </c>
      <c r="J520" s="562">
        <v>44408</v>
      </c>
      <c r="K520" s="6" t="str">
        <f t="shared" si="25"/>
        <v>LLD FILM</v>
      </c>
      <c r="L520" s="14">
        <f>VLOOKUP(J520,'USD to INR'!$B$2:$G$560,6,TRUE)</f>
        <v>74.337000000000003</v>
      </c>
      <c r="M520" s="216">
        <f t="shared" si="26"/>
        <v>1199.537242557542</v>
      </c>
      <c r="N520" s="563">
        <f t="shared" si="24"/>
        <v>44408</v>
      </c>
    </row>
    <row r="521" spans="1:14" x14ac:dyDescent="0.25">
      <c r="A521" s="188" t="s">
        <v>530</v>
      </c>
      <c r="B521" s="188" t="s">
        <v>531</v>
      </c>
      <c r="C521" s="188" t="s">
        <v>532</v>
      </c>
      <c r="D521" s="560">
        <v>90560</v>
      </c>
      <c r="E521" s="188" t="s">
        <v>98</v>
      </c>
      <c r="F521" s="561">
        <v>1</v>
      </c>
      <c r="G521" s="188" t="s">
        <v>13</v>
      </c>
      <c r="H521" s="188" t="s">
        <v>537</v>
      </c>
      <c r="I521" s="562">
        <v>44409</v>
      </c>
      <c r="J521" s="562">
        <v>44419</v>
      </c>
      <c r="K521" s="6" t="str">
        <f t="shared" si="25"/>
        <v>LLD FILM</v>
      </c>
      <c r="L521" s="14">
        <f>VLOOKUP(J521,'USD to INR'!$B$2:$G$560,6,TRUE)</f>
        <v>74.239000000000004</v>
      </c>
      <c r="M521" s="216">
        <f t="shared" si="26"/>
        <v>1219.8440172954915</v>
      </c>
      <c r="N521" s="563">
        <f t="shared" si="24"/>
        <v>44419</v>
      </c>
    </row>
    <row r="522" spans="1:14" x14ac:dyDescent="0.25">
      <c r="A522" s="188" t="s">
        <v>530</v>
      </c>
      <c r="B522" s="188" t="s">
        <v>531</v>
      </c>
      <c r="C522" s="188" t="s">
        <v>532</v>
      </c>
      <c r="D522" s="560">
        <v>92410</v>
      </c>
      <c r="E522" s="188" t="s">
        <v>98</v>
      </c>
      <c r="F522" s="561">
        <v>1</v>
      </c>
      <c r="G522" s="188" t="s">
        <v>13</v>
      </c>
      <c r="H522" s="188" t="s">
        <v>537</v>
      </c>
      <c r="I522" s="562">
        <v>44420</v>
      </c>
      <c r="J522" s="562">
        <v>44426</v>
      </c>
      <c r="K522" s="6" t="str">
        <f t="shared" si="25"/>
        <v>LLD FILM</v>
      </c>
      <c r="L522" s="14">
        <f>VLOOKUP(J522,'USD to INR'!$B$2:$G$560,6,TRUE)</f>
        <v>74.346999999999994</v>
      </c>
      <c r="M522" s="216">
        <f t="shared" si="26"/>
        <v>1242.9553310826261</v>
      </c>
      <c r="N522" s="563">
        <f t="shared" si="24"/>
        <v>44426</v>
      </c>
    </row>
    <row r="523" spans="1:14" x14ac:dyDescent="0.25">
      <c r="A523" s="188" t="s">
        <v>530</v>
      </c>
      <c r="B523" s="188" t="s">
        <v>531</v>
      </c>
      <c r="C523" s="188" t="s">
        <v>532</v>
      </c>
      <c r="D523" s="560">
        <v>93340</v>
      </c>
      <c r="E523" s="188" t="s">
        <v>98</v>
      </c>
      <c r="F523" s="561">
        <v>1</v>
      </c>
      <c r="G523" s="188" t="s">
        <v>13</v>
      </c>
      <c r="H523" s="188" t="s">
        <v>537</v>
      </c>
      <c r="I523" s="562">
        <v>44427</v>
      </c>
      <c r="J523" s="562">
        <v>44439</v>
      </c>
      <c r="K523" s="6" t="str">
        <f t="shared" si="25"/>
        <v>LLD FILM</v>
      </c>
      <c r="L523" s="14">
        <f>VLOOKUP(J523,'USD to INR'!$B$2:$G$560,6,TRUE)</f>
        <v>72.981999999999999</v>
      </c>
      <c r="M523" s="216">
        <f t="shared" si="26"/>
        <v>1278.9454934093337</v>
      </c>
      <c r="N523" s="563">
        <f t="shared" si="24"/>
        <v>44439</v>
      </c>
    </row>
    <row r="524" spans="1:14" x14ac:dyDescent="0.25">
      <c r="A524" s="188" t="s">
        <v>530</v>
      </c>
      <c r="B524" s="188" t="s">
        <v>531</v>
      </c>
      <c r="C524" s="188" t="s">
        <v>532</v>
      </c>
      <c r="D524" s="560">
        <v>94270</v>
      </c>
      <c r="E524" s="188" t="s">
        <v>98</v>
      </c>
      <c r="F524" s="561">
        <v>1</v>
      </c>
      <c r="G524" s="188" t="s">
        <v>13</v>
      </c>
      <c r="H524" s="188" t="s">
        <v>537</v>
      </c>
      <c r="I524" s="562">
        <v>44440</v>
      </c>
      <c r="J524" s="562">
        <v>44469</v>
      </c>
      <c r="K524" s="6" t="str">
        <f t="shared" si="25"/>
        <v>LLD FILM</v>
      </c>
      <c r="L524" s="14">
        <f>VLOOKUP(J524,'USD to INR'!$B$2:$G$560,6,TRUE)</f>
        <v>74.131</v>
      </c>
      <c r="M524" s="216">
        <f t="shared" si="26"/>
        <v>1271.667723354602</v>
      </c>
      <c r="N524" s="563">
        <f t="shared" si="24"/>
        <v>44469</v>
      </c>
    </row>
    <row r="525" spans="1:14" x14ac:dyDescent="0.25">
      <c r="A525" s="188" t="s">
        <v>530</v>
      </c>
      <c r="B525" s="188" t="s">
        <v>531</v>
      </c>
      <c r="C525" s="188" t="s">
        <v>532</v>
      </c>
      <c r="D525" s="560">
        <v>97050</v>
      </c>
      <c r="E525" s="188" t="s">
        <v>98</v>
      </c>
      <c r="F525" s="561">
        <v>1</v>
      </c>
      <c r="G525" s="188" t="s">
        <v>13</v>
      </c>
      <c r="H525" s="188" t="s">
        <v>537</v>
      </c>
      <c r="I525" s="562">
        <v>44470</v>
      </c>
      <c r="J525" s="562">
        <v>44482</v>
      </c>
      <c r="K525" s="6" t="str">
        <f t="shared" si="25"/>
        <v>LLD FILM</v>
      </c>
      <c r="L525" s="14">
        <f>VLOOKUP(J525,'USD to INR'!$B$2:$G$560,6,TRUE)</f>
        <v>75.013000000000005</v>
      </c>
      <c r="M525" s="216">
        <f t="shared" si="26"/>
        <v>1293.7757455374401</v>
      </c>
      <c r="N525" s="563">
        <f t="shared" si="24"/>
        <v>44482</v>
      </c>
    </row>
    <row r="526" spans="1:14" x14ac:dyDescent="0.25">
      <c r="A526" s="188" t="s">
        <v>530</v>
      </c>
      <c r="B526" s="188" t="s">
        <v>531</v>
      </c>
      <c r="C526" s="188" t="s">
        <v>532</v>
      </c>
      <c r="D526" s="560">
        <v>102600</v>
      </c>
      <c r="E526" s="188" t="s">
        <v>98</v>
      </c>
      <c r="F526" s="561">
        <v>1</v>
      </c>
      <c r="G526" s="188" t="s">
        <v>13</v>
      </c>
      <c r="H526" s="188" t="s">
        <v>537</v>
      </c>
      <c r="I526" s="562">
        <v>44483</v>
      </c>
      <c r="J526" s="562">
        <v>44500</v>
      </c>
      <c r="K526" s="6" t="str">
        <f t="shared" si="25"/>
        <v>LLD FILM</v>
      </c>
      <c r="L526" s="14">
        <f>VLOOKUP(J526,'USD to INR'!$B$2:$G$560,6,TRUE)</f>
        <v>75.313000000000002</v>
      </c>
      <c r="M526" s="216">
        <f t="shared" si="26"/>
        <v>1362.3146070399532</v>
      </c>
      <c r="N526" s="563">
        <f t="shared" si="24"/>
        <v>44500</v>
      </c>
    </row>
    <row r="527" spans="1:14" x14ac:dyDescent="0.25">
      <c r="A527" s="188" t="s">
        <v>530</v>
      </c>
      <c r="B527" s="188" t="s">
        <v>531</v>
      </c>
      <c r="C527" s="188" t="s">
        <v>532</v>
      </c>
      <c r="D527" s="560">
        <v>104890</v>
      </c>
      <c r="E527" s="188" t="s">
        <v>98</v>
      </c>
      <c r="F527" s="561">
        <v>1</v>
      </c>
      <c r="G527" s="188" t="s">
        <v>13</v>
      </c>
      <c r="H527" s="188" t="s">
        <v>537</v>
      </c>
      <c r="I527" s="562">
        <v>44501</v>
      </c>
      <c r="J527" s="562">
        <v>44530</v>
      </c>
      <c r="K527" s="6" t="str">
        <f t="shared" si="25"/>
        <v>LLD FILM</v>
      </c>
      <c r="L527" s="14">
        <f>VLOOKUP(J527,'USD to INR'!$B$2:$G$560,6,TRUE)</f>
        <v>75.313000000000002</v>
      </c>
      <c r="M527" s="216">
        <f t="shared" si="26"/>
        <v>1392.7210441756404</v>
      </c>
      <c r="N527" s="563">
        <f t="shared" si="24"/>
        <v>44530</v>
      </c>
    </row>
    <row r="528" spans="1:14" x14ac:dyDescent="0.25">
      <c r="A528" s="188" t="s">
        <v>530</v>
      </c>
      <c r="B528" s="188" t="s">
        <v>531</v>
      </c>
      <c r="C528" s="188" t="s">
        <v>532</v>
      </c>
      <c r="D528" s="560">
        <v>101240</v>
      </c>
      <c r="E528" s="188" t="s">
        <v>98</v>
      </c>
      <c r="F528" s="561">
        <v>1</v>
      </c>
      <c r="G528" s="188" t="s">
        <v>13</v>
      </c>
      <c r="H528" s="188" t="s">
        <v>537</v>
      </c>
      <c r="I528" s="562">
        <v>44531</v>
      </c>
      <c r="J528" s="562">
        <v>44538</v>
      </c>
      <c r="K528" s="6" t="str">
        <f t="shared" si="25"/>
        <v>LLD FILM</v>
      </c>
      <c r="L528" s="14">
        <f>VLOOKUP(J528,'USD to INR'!$B$2:$G$560,6,TRUE)</f>
        <v>75.313000000000002</v>
      </c>
      <c r="M528" s="216">
        <f t="shared" si="26"/>
        <v>1344.2566356405932</v>
      </c>
      <c r="N528" s="563">
        <f t="shared" si="24"/>
        <v>44538</v>
      </c>
    </row>
    <row r="529" spans="1:14" x14ac:dyDescent="0.25">
      <c r="A529" s="188" t="s">
        <v>530</v>
      </c>
      <c r="B529" s="188" t="s">
        <v>531</v>
      </c>
      <c r="C529" s="188" t="s">
        <v>532</v>
      </c>
      <c r="D529" s="560">
        <v>98470</v>
      </c>
      <c r="E529" s="188" t="s">
        <v>98</v>
      </c>
      <c r="F529" s="561">
        <v>1</v>
      </c>
      <c r="G529" s="188" t="s">
        <v>13</v>
      </c>
      <c r="H529" s="188" t="s">
        <v>537</v>
      </c>
      <c r="I529" s="562">
        <v>44539</v>
      </c>
      <c r="J529" s="562">
        <v>44545</v>
      </c>
      <c r="K529" s="6" t="str">
        <f t="shared" si="25"/>
        <v>LLD FILM</v>
      </c>
      <c r="L529" s="14">
        <f>VLOOKUP(J529,'USD to INR'!$B$2:$G$560,6,TRUE)</f>
        <v>75.313000000000002</v>
      </c>
      <c r="M529" s="216">
        <f t="shared" si="26"/>
        <v>1307.4767968345438</v>
      </c>
      <c r="N529" s="563">
        <f t="shared" si="24"/>
        <v>44545</v>
      </c>
    </row>
    <row r="530" spans="1:14" x14ac:dyDescent="0.25">
      <c r="A530" s="188" t="s">
        <v>530</v>
      </c>
      <c r="B530" s="188" t="s">
        <v>531</v>
      </c>
      <c r="C530" s="188" t="s">
        <v>532</v>
      </c>
      <c r="D530" s="560">
        <v>96630</v>
      </c>
      <c r="E530" s="188" t="s">
        <v>98</v>
      </c>
      <c r="F530" s="561">
        <v>1</v>
      </c>
      <c r="G530" s="188" t="s">
        <v>13</v>
      </c>
      <c r="H530" s="188" t="s">
        <v>537</v>
      </c>
      <c r="I530" s="562">
        <v>44546</v>
      </c>
      <c r="J530" s="562">
        <v>44561</v>
      </c>
      <c r="K530" s="6" t="str">
        <f t="shared" si="25"/>
        <v>LLD FILM</v>
      </c>
      <c r="L530" s="14">
        <f>VLOOKUP(J530,'USD to INR'!$B$2:$G$560,6,TRUE)</f>
        <v>75.313000000000002</v>
      </c>
      <c r="M530" s="216">
        <f t="shared" si="26"/>
        <v>1283.0454237648214</v>
      </c>
      <c r="N530" s="563">
        <f t="shared" si="24"/>
        <v>44561</v>
      </c>
    </row>
    <row r="531" spans="1:14" x14ac:dyDescent="0.25">
      <c r="A531" s="188" t="s">
        <v>530</v>
      </c>
      <c r="B531" s="188" t="s">
        <v>531</v>
      </c>
      <c r="C531" s="188" t="s">
        <v>532</v>
      </c>
      <c r="D531" s="560">
        <v>75450</v>
      </c>
      <c r="E531" s="188" t="s">
        <v>98</v>
      </c>
      <c r="F531" s="561">
        <v>1</v>
      </c>
      <c r="G531" s="188" t="s">
        <v>13</v>
      </c>
      <c r="H531" s="188" t="s">
        <v>538</v>
      </c>
      <c r="I531" s="562">
        <v>43101</v>
      </c>
      <c r="J531" s="562">
        <v>43110</v>
      </c>
      <c r="K531" s="6" t="str">
        <f t="shared" si="25"/>
        <v>HD YARN</v>
      </c>
      <c r="L531" s="14">
        <f>VLOOKUP(J531,'USD to INR'!$B$2:$G$560,6,TRUE)</f>
        <v>63.61</v>
      </c>
      <c r="M531" s="216">
        <f t="shared" si="26"/>
        <v>1186.1342556201855</v>
      </c>
      <c r="N531" s="563">
        <f t="shared" si="24"/>
        <v>43110</v>
      </c>
    </row>
    <row r="532" spans="1:14" x14ac:dyDescent="0.25">
      <c r="A532" s="188" t="s">
        <v>530</v>
      </c>
      <c r="B532" s="188" t="s">
        <v>531</v>
      </c>
      <c r="C532" s="188" t="s">
        <v>532</v>
      </c>
      <c r="D532" s="560">
        <v>77310</v>
      </c>
      <c r="E532" s="188" t="s">
        <v>98</v>
      </c>
      <c r="F532" s="561">
        <v>1</v>
      </c>
      <c r="G532" s="188" t="s">
        <v>13</v>
      </c>
      <c r="H532" s="188" t="s">
        <v>538</v>
      </c>
      <c r="I532" s="562">
        <v>43111</v>
      </c>
      <c r="J532" s="562">
        <v>43117</v>
      </c>
      <c r="K532" s="6" t="str">
        <f t="shared" si="25"/>
        <v>HD YARN</v>
      </c>
      <c r="L532" s="14">
        <f>VLOOKUP(J532,'USD to INR'!$B$2:$G$560,6,TRUE)</f>
        <v>63.83</v>
      </c>
      <c r="M532" s="216">
        <f t="shared" si="26"/>
        <v>1211.1859627134577</v>
      </c>
      <c r="N532" s="563">
        <f t="shared" si="24"/>
        <v>43117</v>
      </c>
    </row>
    <row r="533" spans="1:14" x14ac:dyDescent="0.25">
      <c r="A533" s="188" t="s">
        <v>530</v>
      </c>
      <c r="B533" s="188" t="s">
        <v>531</v>
      </c>
      <c r="C533" s="188" t="s">
        <v>532</v>
      </c>
      <c r="D533" s="560">
        <v>78240</v>
      </c>
      <c r="E533" s="188" t="s">
        <v>98</v>
      </c>
      <c r="F533" s="561">
        <v>1</v>
      </c>
      <c r="G533" s="188" t="s">
        <v>13</v>
      </c>
      <c r="H533" s="188" t="s">
        <v>538</v>
      </c>
      <c r="I533" s="562">
        <v>43118</v>
      </c>
      <c r="J533" s="562">
        <v>43124</v>
      </c>
      <c r="K533" s="6" t="str">
        <f t="shared" si="25"/>
        <v>HD YARN</v>
      </c>
      <c r="L533" s="14">
        <f>VLOOKUP(J533,'USD to INR'!$B$2:$G$560,6,TRUE)</f>
        <v>63.59</v>
      </c>
      <c r="M533" s="216">
        <f t="shared" si="26"/>
        <v>1230.3821355559051</v>
      </c>
      <c r="N533" s="563">
        <f t="shared" si="24"/>
        <v>43124</v>
      </c>
    </row>
    <row r="534" spans="1:14" x14ac:dyDescent="0.25">
      <c r="A534" s="188" t="s">
        <v>530</v>
      </c>
      <c r="B534" s="188" t="s">
        <v>531</v>
      </c>
      <c r="C534" s="188" t="s">
        <v>532</v>
      </c>
      <c r="D534" s="560">
        <v>78240</v>
      </c>
      <c r="E534" s="188" t="s">
        <v>98</v>
      </c>
      <c r="F534" s="561">
        <v>1</v>
      </c>
      <c r="G534" s="188" t="s">
        <v>13</v>
      </c>
      <c r="H534" s="188" t="s">
        <v>538</v>
      </c>
      <c r="I534" s="562">
        <v>43125</v>
      </c>
      <c r="J534" s="562">
        <v>43131</v>
      </c>
      <c r="K534" s="6" t="str">
        <f t="shared" si="25"/>
        <v>HD YARN</v>
      </c>
      <c r="L534" s="14">
        <f>VLOOKUP(J534,'USD to INR'!$B$2:$G$560,6,TRUE)</f>
        <v>64.13</v>
      </c>
      <c r="M534" s="216">
        <f t="shared" si="26"/>
        <v>1220.0218306564791</v>
      </c>
      <c r="N534" s="563">
        <f t="shared" si="24"/>
        <v>43131</v>
      </c>
    </row>
    <row r="535" spans="1:14" x14ac:dyDescent="0.25">
      <c r="A535" s="188" t="s">
        <v>530</v>
      </c>
      <c r="B535" s="188" t="s">
        <v>531</v>
      </c>
      <c r="C535" s="188" t="s">
        <v>532</v>
      </c>
      <c r="D535" s="560">
        <v>82470</v>
      </c>
      <c r="E535" s="188" t="s">
        <v>98</v>
      </c>
      <c r="F535" s="561">
        <v>1</v>
      </c>
      <c r="G535" s="188" t="s">
        <v>13</v>
      </c>
      <c r="H535" s="188" t="s">
        <v>538</v>
      </c>
      <c r="I535" s="562">
        <v>43132</v>
      </c>
      <c r="J535" s="562">
        <v>43145</v>
      </c>
      <c r="K535" s="6" t="str">
        <f t="shared" si="25"/>
        <v>HD YARN</v>
      </c>
      <c r="L535" s="14">
        <f>VLOOKUP(J535,'USD to INR'!$B$2:$G$560,6,TRUE)</f>
        <v>64.215000000000003</v>
      </c>
      <c r="M535" s="216">
        <f t="shared" si="26"/>
        <v>1284.2793739780425</v>
      </c>
      <c r="N535" s="563">
        <f t="shared" si="24"/>
        <v>43145</v>
      </c>
    </row>
    <row r="536" spans="1:14" x14ac:dyDescent="0.25">
      <c r="A536" s="188" t="s">
        <v>530</v>
      </c>
      <c r="B536" s="188" t="s">
        <v>531</v>
      </c>
      <c r="C536" s="188" t="s">
        <v>532</v>
      </c>
      <c r="D536" s="560">
        <v>84340</v>
      </c>
      <c r="E536" s="188" t="s">
        <v>98</v>
      </c>
      <c r="F536" s="561">
        <v>1</v>
      </c>
      <c r="G536" s="188" t="s">
        <v>13</v>
      </c>
      <c r="H536" s="188" t="s">
        <v>538</v>
      </c>
      <c r="I536" s="562">
        <v>43146</v>
      </c>
      <c r="J536" s="562">
        <v>43159</v>
      </c>
      <c r="K536" s="6" t="str">
        <f t="shared" si="25"/>
        <v>HD YARN</v>
      </c>
      <c r="L536" s="14">
        <f>VLOOKUP(J536,'USD to INR'!$B$2:$G$560,6,TRUE)</f>
        <v>65.22</v>
      </c>
      <c r="M536" s="216">
        <f t="shared" si="26"/>
        <v>1293.1616068690587</v>
      </c>
      <c r="N536" s="563">
        <f t="shared" si="24"/>
        <v>43159</v>
      </c>
    </row>
    <row r="537" spans="1:14" x14ac:dyDescent="0.25">
      <c r="A537" s="188" t="s">
        <v>530</v>
      </c>
      <c r="B537" s="188" t="s">
        <v>531</v>
      </c>
      <c r="C537" s="188" t="s">
        <v>532</v>
      </c>
      <c r="D537" s="560">
        <v>86190</v>
      </c>
      <c r="E537" s="188" t="s">
        <v>98</v>
      </c>
      <c r="F537" s="561">
        <v>1</v>
      </c>
      <c r="G537" s="188" t="s">
        <v>13</v>
      </c>
      <c r="H537" s="188" t="s">
        <v>538</v>
      </c>
      <c r="I537" s="562">
        <v>43160</v>
      </c>
      <c r="J537" s="562">
        <v>43190</v>
      </c>
      <c r="K537" s="6" t="str">
        <f t="shared" si="25"/>
        <v>HD YARN</v>
      </c>
      <c r="L537" s="14">
        <f>VLOOKUP(J537,'USD to INR'!$B$2:$G$560,6,TRUE)</f>
        <v>65.114999999999995</v>
      </c>
      <c r="M537" s="216">
        <f t="shared" si="26"/>
        <v>1323.6581432849575</v>
      </c>
      <c r="N537" s="563">
        <f t="shared" si="24"/>
        <v>43190</v>
      </c>
    </row>
    <row r="538" spans="1:14" x14ac:dyDescent="0.25">
      <c r="A538" s="188" t="s">
        <v>530</v>
      </c>
      <c r="B538" s="188" t="s">
        <v>531</v>
      </c>
      <c r="C538" s="188" t="s">
        <v>532</v>
      </c>
      <c r="D538" s="560">
        <v>85860</v>
      </c>
      <c r="E538" s="188" t="s">
        <v>98</v>
      </c>
      <c r="F538" s="561">
        <v>1</v>
      </c>
      <c r="G538" s="188" t="s">
        <v>13</v>
      </c>
      <c r="H538" s="188" t="s">
        <v>538</v>
      </c>
      <c r="I538" s="562">
        <v>43191</v>
      </c>
      <c r="J538" s="562">
        <v>43208</v>
      </c>
      <c r="K538" s="6" t="str">
        <f t="shared" si="25"/>
        <v>HD YARN</v>
      </c>
      <c r="L538" s="14">
        <f>VLOOKUP(J538,'USD to INR'!$B$2:$G$560,6,TRUE)</f>
        <v>66.209999999999994</v>
      </c>
      <c r="M538" s="216">
        <f t="shared" si="26"/>
        <v>1296.7829632985954</v>
      </c>
      <c r="N538" s="563">
        <f t="shared" si="24"/>
        <v>43208</v>
      </c>
    </row>
    <row r="539" spans="1:14" x14ac:dyDescent="0.25">
      <c r="A539" s="188" t="s">
        <v>530</v>
      </c>
      <c r="B539" s="188" t="s">
        <v>531</v>
      </c>
      <c r="C539" s="188" t="s">
        <v>532</v>
      </c>
      <c r="D539" s="560">
        <v>88630</v>
      </c>
      <c r="E539" s="188" t="s">
        <v>98</v>
      </c>
      <c r="F539" s="561">
        <v>1</v>
      </c>
      <c r="G539" s="188" t="s">
        <v>13</v>
      </c>
      <c r="H539" s="188" t="s">
        <v>538</v>
      </c>
      <c r="I539" s="562">
        <v>43209</v>
      </c>
      <c r="J539" s="562">
        <v>43220</v>
      </c>
      <c r="K539" s="6" t="str">
        <f t="shared" si="25"/>
        <v>HD YARN</v>
      </c>
      <c r="L539" s="14">
        <f>VLOOKUP(J539,'USD to INR'!$B$2:$G$560,6,TRUE)</f>
        <v>66.819999999999993</v>
      </c>
      <c r="M539" s="216">
        <f t="shared" si="26"/>
        <v>1326.3992816522</v>
      </c>
      <c r="N539" s="563">
        <f t="shared" si="24"/>
        <v>43220</v>
      </c>
    </row>
    <row r="540" spans="1:14" x14ac:dyDescent="0.25">
      <c r="A540" s="188" t="s">
        <v>530</v>
      </c>
      <c r="B540" s="188" t="s">
        <v>531</v>
      </c>
      <c r="C540" s="188" t="s">
        <v>532</v>
      </c>
      <c r="D540" s="560">
        <v>91240</v>
      </c>
      <c r="E540" s="188" t="s">
        <v>98</v>
      </c>
      <c r="F540" s="561">
        <v>1</v>
      </c>
      <c r="G540" s="188" t="s">
        <v>13</v>
      </c>
      <c r="H540" s="188" t="s">
        <v>538</v>
      </c>
      <c r="I540" s="562">
        <v>43221</v>
      </c>
      <c r="J540" s="562">
        <v>43236</v>
      </c>
      <c r="K540" s="6" t="str">
        <f t="shared" si="25"/>
        <v>HD YARN</v>
      </c>
      <c r="L540" s="14">
        <f>VLOOKUP(J540,'USD to INR'!$B$2:$G$560,6,TRUE)</f>
        <v>67.989999999999995</v>
      </c>
      <c r="M540" s="216">
        <f t="shared" si="26"/>
        <v>1341.962053243124</v>
      </c>
      <c r="N540" s="563">
        <f t="shared" si="24"/>
        <v>43236</v>
      </c>
    </row>
    <row r="541" spans="1:14" x14ac:dyDescent="0.25">
      <c r="A541" s="188" t="s">
        <v>530</v>
      </c>
      <c r="B541" s="188" t="s">
        <v>531</v>
      </c>
      <c r="C541" s="188" t="s">
        <v>532</v>
      </c>
      <c r="D541" s="560">
        <v>94010</v>
      </c>
      <c r="E541" s="188" t="s">
        <v>98</v>
      </c>
      <c r="F541" s="561">
        <v>1</v>
      </c>
      <c r="G541" s="188" t="s">
        <v>13</v>
      </c>
      <c r="H541" s="188" t="s">
        <v>538</v>
      </c>
      <c r="I541" s="562">
        <v>43237</v>
      </c>
      <c r="J541" s="562">
        <v>43251</v>
      </c>
      <c r="K541" s="6" t="str">
        <f t="shared" si="25"/>
        <v>HD YARN</v>
      </c>
      <c r="L541" s="14">
        <f>VLOOKUP(J541,'USD to INR'!$B$2:$G$560,6,TRUE)</f>
        <v>66.995000000000005</v>
      </c>
      <c r="M541" s="216">
        <f t="shared" si="26"/>
        <v>1403.239047690126</v>
      </c>
      <c r="N541" s="563">
        <f t="shared" si="24"/>
        <v>43251</v>
      </c>
    </row>
    <row r="542" spans="1:14" x14ac:dyDescent="0.25">
      <c r="A542" s="188" t="s">
        <v>530</v>
      </c>
      <c r="B542" s="188" t="s">
        <v>531</v>
      </c>
      <c r="C542" s="188" t="s">
        <v>532</v>
      </c>
      <c r="D542" s="560">
        <v>94930</v>
      </c>
      <c r="E542" s="188" t="s">
        <v>98</v>
      </c>
      <c r="F542" s="561">
        <v>1</v>
      </c>
      <c r="G542" s="188" t="s">
        <v>13</v>
      </c>
      <c r="H542" s="188" t="s">
        <v>538</v>
      </c>
      <c r="I542" s="562">
        <v>43252</v>
      </c>
      <c r="J542" s="562">
        <v>43281</v>
      </c>
      <c r="K542" s="6" t="str">
        <f t="shared" si="25"/>
        <v>HD YARN</v>
      </c>
      <c r="L542" s="14">
        <f>VLOOKUP(J542,'USD to INR'!$B$2:$G$560,6,TRUE)</f>
        <v>68.459999999999994</v>
      </c>
      <c r="M542" s="216">
        <f t="shared" si="26"/>
        <v>1386.6491381828807</v>
      </c>
      <c r="N542" s="563">
        <f t="shared" si="24"/>
        <v>43281</v>
      </c>
    </row>
    <row r="543" spans="1:14" x14ac:dyDescent="0.25">
      <c r="A543" s="188" t="s">
        <v>530</v>
      </c>
      <c r="B543" s="188" t="s">
        <v>531</v>
      </c>
      <c r="C543" s="188" t="s">
        <v>532</v>
      </c>
      <c r="D543" s="560">
        <v>94930</v>
      </c>
      <c r="E543" s="188" t="s">
        <v>98</v>
      </c>
      <c r="F543" s="561">
        <v>1</v>
      </c>
      <c r="G543" s="188" t="s">
        <v>13</v>
      </c>
      <c r="H543" s="188" t="s">
        <v>538</v>
      </c>
      <c r="I543" s="562">
        <v>43282</v>
      </c>
      <c r="J543" s="562">
        <v>43292</v>
      </c>
      <c r="K543" s="6" t="str">
        <f t="shared" si="25"/>
        <v>HD YARN</v>
      </c>
      <c r="L543" s="14">
        <f>VLOOKUP(J543,'USD to INR'!$B$2:$G$560,6,TRUE)</f>
        <v>68.5</v>
      </c>
      <c r="M543" s="216">
        <f t="shared" si="26"/>
        <v>1385.8394160583941</v>
      </c>
      <c r="N543" s="563">
        <f t="shared" si="24"/>
        <v>43292</v>
      </c>
    </row>
    <row r="544" spans="1:14" x14ac:dyDescent="0.25">
      <c r="A544" s="188" t="s">
        <v>530</v>
      </c>
      <c r="B544" s="188" t="s">
        <v>531</v>
      </c>
      <c r="C544" s="188" t="s">
        <v>532</v>
      </c>
      <c r="D544" s="560">
        <v>94930</v>
      </c>
      <c r="E544" s="188" t="s">
        <v>98</v>
      </c>
      <c r="F544" s="561">
        <v>1</v>
      </c>
      <c r="G544" s="188" t="s">
        <v>13</v>
      </c>
      <c r="H544" s="188" t="s">
        <v>538</v>
      </c>
      <c r="I544" s="562">
        <v>43293</v>
      </c>
      <c r="J544" s="562">
        <v>43312</v>
      </c>
      <c r="K544" s="6" t="str">
        <f t="shared" si="25"/>
        <v>HD YARN</v>
      </c>
      <c r="L544" s="14">
        <f>VLOOKUP(J544,'USD to INR'!$B$2:$G$560,6,TRUE)</f>
        <v>68.545000000000002</v>
      </c>
      <c r="M544" s="216">
        <f t="shared" si="26"/>
        <v>1384.9296082865271</v>
      </c>
      <c r="N544" s="563">
        <f t="shared" si="24"/>
        <v>43312</v>
      </c>
    </row>
    <row r="545" spans="1:14" x14ac:dyDescent="0.25">
      <c r="A545" s="188" t="s">
        <v>530</v>
      </c>
      <c r="B545" s="188" t="s">
        <v>531</v>
      </c>
      <c r="C545" s="188" t="s">
        <v>532</v>
      </c>
      <c r="D545" s="560">
        <v>94930</v>
      </c>
      <c r="E545" s="188" t="s">
        <v>98</v>
      </c>
      <c r="F545" s="561">
        <v>1</v>
      </c>
      <c r="G545" s="188" t="s">
        <v>13</v>
      </c>
      <c r="H545" s="188" t="s">
        <v>538</v>
      </c>
      <c r="I545" s="562">
        <v>43313</v>
      </c>
      <c r="J545" s="562">
        <v>43343</v>
      </c>
      <c r="K545" s="6" t="str">
        <f t="shared" si="25"/>
        <v>HD YARN</v>
      </c>
      <c r="L545" s="14">
        <f>VLOOKUP(J545,'USD to INR'!$B$2:$G$560,6,TRUE)</f>
        <v>71.004999999999995</v>
      </c>
      <c r="M545" s="216">
        <f t="shared" si="26"/>
        <v>1336.9481022463208</v>
      </c>
      <c r="N545" s="563">
        <f t="shared" si="24"/>
        <v>43343</v>
      </c>
    </row>
    <row r="546" spans="1:14" x14ac:dyDescent="0.25">
      <c r="A546" s="188" t="s">
        <v>530</v>
      </c>
      <c r="B546" s="188" t="s">
        <v>531</v>
      </c>
      <c r="C546" s="188" t="s">
        <v>532</v>
      </c>
      <c r="D546" s="560">
        <v>95850</v>
      </c>
      <c r="E546" s="188" t="s">
        <v>98</v>
      </c>
      <c r="F546" s="561">
        <v>1</v>
      </c>
      <c r="G546" s="188" t="s">
        <v>13</v>
      </c>
      <c r="H546" s="188" t="s">
        <v>538</v>
      </c>
      <c r="I546" s="562">
        <v>43344</v>
      </c>
      <c r="J546" s="562">
        <v>43373</v>
      </c>
      <c r="K546" s="6" t="str">
        <f t="shared" si="25"/>
        <v>HD YARN</v>
      </c>
      <c r="L546" s="14">
        <f>VLOOKUP(J546,'USD to INR'!$B$2:$G$560,6,TRUE)</f>
        <v>73.77</v>
      </c>
      <c r="M546" s="216">
        <f t="shared" si="26"/>
        <v>1299.3086620577471</v>
      </c>
      <c r="N546" s="563">
        <f t="shared" si="24"/>
        <v>43373</v>
      </c>
    </row>
    <row r="547" spans="1:14" x14ac:dyDescent="0.25">
      <c r="A547" s="188" t="s">
        <v>530</v>
      </c>
      <c r="B547" s="188" t="s">
        <v>531</v>
      </c>
      <c r="C547" s="188" t="s">
        <v>532</v>
      </c>
      <c r="D547" s="560">
        <v>95880</v>
      </c>
      <c r="E547" s="188" t="s">
        <v>98</v>
      </c>
      <c r="F547" s="561">
        <v>1</v>
      </c>
      <c r="G547" s="188" t="s">
        <v>13</v>
      </c>
      <c r="H547" s="188" t="s">
        <v>538</v>
      </c>
      <c r="I547" s="562">
        <v>43374</v>
      </c>
      <c r="J547" s="562">
        <v>43383</v>
      </c>
      <c r="K547" s="6" t="str">
        <f t="shared" si="25"/>
        <v>HD YARN</v>
      </c>
      <c r="L547" s="14">
        <f>VLOOKUP(J547,'USD to INR'!$B$2:$G$560,6,TRUE)</f>
        <v>73.61</v>
      </c>
      <c r="M547" s="216">
        <f t="shared" si="26"/>
        <v>1302.5404157043879</v>
      </c>
      <c r="N547" s="563">
        <f t="shared" si="24"/>
        <v>43383</v>
      </c>
    </row>
    <row r="548" spans="1:14" x14ac:dyDescent="0.25">
      <c r="A548" s="188" t="s">
        <v>530</v>
      </c>
      <c r="B548" s="188" t="s">
        <v>531</v>
      </c>
      <c r="C548" s="188" t="s">
        <v>532</v>
      </c>
      <c r="D548" s="560">
        <v>97260</v>
      </c>
      <c r="E548" s="188" t="s">
        <v>98</v>
      </c>
      <c r="F548" s="561">
        <v>1</v>
      </c>
      <c r="G548" s="188" t="s">
        <v>13</v>
      </c>
      <c r="H548" s="188" t="s">
        <v>538</v>
      </c>
      <c r="I548" s="562">
        <v>43384</v>
      </c>
      <c r="J548" s="562">
        <v>43404</v>
      </c>
      <c r="K548" s="6" t="str">
        <f t="shared" si="25"/>
        <v>HD YARN</v>
      </c>
      <c r="L548" s="14">
        <f>VLOOKUP(J548,'USD to INR'!$B$2:$G$560,6,TRUE)</f>
        <v>72.44</v>
      </c>
      <c r="M548" s="216">
        <f t="shared" si="26"/>
        <v>1342.6283821093318</v>
      </c>
      <c r="N548" s="563">
        <f t="shared" si="24"/>
        <v>43404</v>
      </c>
    </row>
    <row r="549" spans="1:14" x14ac:dyDescent="0.25">
      <c r="A549" s="188" t="s">
        <v>530</v>
      </c>
      <c r="B549" s="188" t="s">
        <v>531</v>
      </c>
      <c r="C549" s="188" t="s">
        <v>532</v>
      </c>
      <c r="D549" s="560">
        <v>97270</v>
      </c>
      <c r="E549" s="188" t="s">
        <v>98</v>
      </c>
      <c r="F549" s="561">
        <v>1</v>
      </c>
      <c r="G549" s="188" t="s">
        <v>13</v>
      </c>
      <c r="H549" s="188" t="s">
        <v>538</v>
      </c>
      <c r="I549" s="562">
        <v>43405</v>
      </c>
      <c r="J549" s="562">
        <v>43418</v>
      </c>
      <c r="K549" s="6" t="str">
        <f t="shared" si="25"/>
        <v>HD YARN</v>
      </c>
      <c r="L549" s="14">
        <f>VLOOKUP(J549,'USD to INR'!$B$2:$G$560,6,TRUE)</f>
        <v>71.98</v>
      </c>
      <c r="M549" s="216">
        <f t="shared" si="26"/>
        <v>1351.3475965545983</v>
      </c>
      <c r="N549" s="563">
        <f t="shared" si="24"/>
        <v>43418</v>
      </c>
    </row>
    <row r="550" spans="1:14" x14ac:dyDescent="0.25">
      <c r="A550" s="188" t="s">
        <v>530</v>
      </c>
      <c r="B550" s="188" t="s">
        <v>531</v>
      </c>
      <c r="C550" s="188" t="s">
        <v>532</v>
      </c>
      <c r="D550" s="560">
        <v>94500</v>
      </c>
      <c r="E550" s="188" t="s">
        <v>98</v>
      </c>
      <c r="F550" s="561">
        <v>1</v>
      </c>
      <c r="G550" s="188" t="s">
        <v>13</v>
      </c>
      <c r="H550" s="188" t="s">
        <v>538</v>
      </c>
      <c r="I550" s="562">
        <v>43419</v>
      </c>
      <c r="J550" s="562">
        <v>43425</v>
      </c>
      <c r="K550" s="6" t="str">
        <f t="shared" si="25"/>
        <v>HD YARN</v>
      </c>
      <c r="L550" s="14">
        <f>VLOOKUP(J550,'USD to INR'!$B$2:$G$560,6,TRUE)</f>
        <v>70.655000000000001</v>
      </c>
      <c r="M550" s="216">
        <f t="shared" si="26"/>
        <v>1337.484962139976</v>
      </c>
      <c r="N550" s="563">
        <f t="shared" si="24"/>
        <v>43425</v>
      </c>
    </row>
    <row r="551" spans="1:14" x14ac:dyDescent="0.25">
      <c r="A551" s="188" t="s">
        <v>530</v>
      </c>
      <c r="B551" s="188" t="s">
        <v>531</v>
      </c>
      <c r="C551" s="188" t="s">
        <v>532</v>
      </c>
      <c r="D551" s="560">
        <v>88030</v>
      </c>
      <c r="E551" s="188" t="s">
        <v>98</v>
      </c>
      <c r="F551" s="561">
        <v>1</v>
      </c>
      <c r="G551" s="188" t="s">
        <v>13</v>
      </c>
      <c r="H551" s="188" t="s">
        <v>538</v>
      </c>
      <c r="I551" s="562">
        <v>43426</v>
      </c>
      <c r="J551" s="562">
        <v>43434</v>
      </c>
      <c r="K551" s="6" t="str">
        <f t="shared" si="25"/>
        <v>HD YARN</v>
      </c>
      <c r="L551" s="14">
        <f>VLOOKUP(J551,'USD to INR'!$B$2:$G$560,6,TRUE)</f>
        <v>69.650000000000006</v>
      </c>
      <c r="M551" s="216">
        <f t="shared" si="26"/>
        <v>1263.8908829863603</v>
      </c>
      <c r="N551" s="563">
        <f t="shared" si="24"/>
        <v>43434</v>
      </c>
    </row>
    <row r="552" spans="1:14" x14ac:dyDescent="0.25">
      <c r="A552" s="188" t="s">
        <v>530</v>
      </c>
      <c r="B552" s="188" t="s">
        <v>531</v>
      </c>
      <c r="C552" s="188" t="s">
        <v>532</v>
      </c>
      <c r="D552" s="560">
        <v>84350</v>
      </c>
      <c r="E552" s="188" t="s">
        <v>98</v>
      </c>
      <c r="F552" s="561">
        <v>1</v>
      </c>
      <c r="G552" s="188" t="s">
        <v>13</v>
      </c>
      <c r="H552" s="188" t="s">
        <v>538</v>
      </c>
      <c r="I552" s="562">
        <v>43435</v>
      </c>
      <c r="J552" s="562">
        <v>43465</v>
      </c>
      <c r="K552" s="6" t="str">
        <f t="shared" si="25"/>
        <v>HD YARN</v>
      </c>
      <c r="L552" s="14">
        <f>VLOOKUP(J552,'USD to INR'!$B$2:$G$560,6,TRUE)</f>
        <v>69.55</v>
      </c>
      <c r="M552" s="216">
        <f t="shared" si="26"/>
        <v>1212.7965492451474</v>
      </c>
      <c r="N552" s="563">
        <f t="shared" si="24"/>
        <v>43465</v>
      </c>
    </row>
    <row r="553" spans="1:14" x14ac:dyDescent="0.25">
      <c r="A553" s="188" t="s">
        <v>530</v>
      </c>
      <c r="B553" s="188" t="s">
        <v>531</v>
      </c>
      <c r="C553" s="188" t="s">
        <v>532</v>
      </c>
      <c r="D553" s="560">
        <v>84475</v>
      </c>
      <c r="E553" s="188" t="s">
        <v>98</v>
      </c>
      <c r="F553" s="561">
        <v>1</v>
      </c>
      <c r="G553" s="188" t="s">
        <v>13</v>
      </c>
      <c r="H553" s="188" t="s">
        <v>538</v>
      </c>
      <c r="I553" s="562">
        <v>43466</v>
      </c>
      <c r="J553" s="562">
        <v>43474</v>
      </c>
      <c r="K553" s="6" t="str">
        <f t="shared" si="25"/>
        <v>HD YARN</v>
      </c>
      <c r="L553" s="14">
        <f>VLOOKUP(J553,'USD to INR'!$B$2:$G$560,6,TRUE)</f>
        <v>70.399000000000001</v>
      </c>
      <c r="M553" s="216">
        <f t="shared" si="26"/>
        <v>1199.9460219605392</v>
      </c>
      <c r="N553" s="563">
        <f t="shared" si="24"/>
        <v>43474</v>
      </c>
    </row>
    <row r="554" spans="1:14" x14ac:dyDescent="0.25">
      <c r="A554" s="188" t="s">
        <v>530</v>
      </c>
      <c r="B554" s="188" t="s">
        <v>531</v>
      </c>
      <c r="C554" s="188" t="s">
        <v>532</v>
      </c>
      <c r="D554" s="560">
        <v>82625</v>
      </c>
      <c r="E554" s="188" t="s">
        <v>98</v>
      </c>
      <c r="F554" s="561">
        <v>1</v>
      </c>
      <c r="G554" s="188" t="s">
        <v>13</v>
      </c>
      <c r="H554" s="188" t="s">
        <v>538</v>
      </c>
      <c r="I554" s="562">
        <v>43475</v>
      </c>
      <c r="J554" s="562">
        <v>43496</v>
      </c>
      <c r="K554" s="6" t="str">
        <f t="shared" si="25"/>
        <v>HD YARN</v>
      </c>
      <c r="L554" s="14">
        <f>VLOOKUP(J554,'USD to INR'!$B$2:$G$560,6,TRUE)</f>
        <v>71.435000000000002</v>
      </c>
      <c r="M554" s="216">
        <f t="shared" si="26"/>
        <v>1156.6459018688317</v>
      </c>
      <c r="N554" s="563">
        <f t="shared" si="24"/>
        <v>43496</v>
      </c>
    </row>
    <row r="555" spans="1:14" x14ac:dyDescent="0.25">
      <c r="A555" s="188" t="s">
        <v>530</v>
      </c>
      <c r="B555" s="188" t="s">
        <v>531</v>
      </c>
      <c r="C555" s="188" t="s">
        <v>532</v>
      </c>
      <c r="D555" s="560">
        <v>82615</v>
      </c>
      <c r="E555" s="188" t="s">
        <v>98</v>
      </c>
      <c r="F555" s="561">
        <v>1</v>
      </c>
      <c r="G555" s="188" t="s">
        <v>13</v>
      </c>
      <c r="H555" s="188" t="s">
        <v>538</v>
      </c>
      <c r="I555" s="562">
        <v>43497</v>
      </c>
      <c r="J555" s="562">
        <v>43524</v>
      </c>
      <c r="K555" s="6" t="str">
        <f t="shared" si="25"/>
        <v>HD YARN</v>
      </c>
      <c r="L555" s="14">
        <f>VLOOKUP(J555,'USD to INR'!$B$2:$G$560,6,TRUE)</f>
        <v>71</v>
      </c>
      <c r="M555" s="216">
        <f t="shared" si="26"/>
        <v>1163.5915492957747</v>
      </c>
      <c r="N555" s="563">
        <f t="shared" si="24"/>
        <v>43524</v>
      </c>
    </row>
    <row r="556" spans="1:14" x14ac:dyDescent="0.25">
      <c r="A556" s="188" t="s">
        <v>530</v>
      </c>
      <c r="B556" s="188" t="s">
        <v>531</v>
      </c>
      <c r="C556" s="188" t="s">
        <v>532</v>
      </c>
      <c r="D556" s="560">
        <v>82615</v>
      </c>
      <c r="E556" s="188" t="s">
        <v>98</v>
      </c>
      <c r="F556" s="561">
        <v>1</v>
      </c>
      <c r="G556" s="188" t="s">
        <v>13</v>
      </c>
      <c r="H556" s="188" t="s">
        <v>538</v>
      </c>
      <c r="I556" s="562">
        <v>43525</v>
      </c>
      <c r="J556" s="562">
        <v>43555</v>
      </c>
      <c r="K556" s="6" t="str">
        <f t="shared" si="25"/>
        <v>HD YARN</v>
      </c>
      <c r="L556" s="14">
        <f>VLOOKUP(J556,'USD to INR'!$B$2:$G$560,6,TRUE)</f>
        <v>69.17</v>
      </c>
      <c r="M556" s="216">
        <f t="shared" si="26"/>
        <v>1194.3761746421858</v>
      </c>
      <c r="N556" s="563">
        <f t="shared" si="24"/>
        <v>43555</v>
      </c>
    </row>
    <row r="557" spans="1:14" x14ac:dyDescent="0.25">
      <c r="A557" s="188" t="s">
        <v>530</v>
      </c>
      <c r="B557" s="188" t="s">
        <v>531</v>
      </c>
      <c r="C557" s="188" t="s">
        <v>532</v>
      </c>
      <c r="D557" s="560">
        <v>82615</v>
      </c>
      <c r="E557" s="188" t="s">
        <v>98</v>
      </c>
      <c r="F557" s="561">
        <v>1</v>
      </c>
      <c r="G557" s="188" t="s">
        <v>13</v>
      </c>
      <c r="H557" s="188" t="s">
        <v>538</v>
      </c>
      <c r="I557" s="562">
        <v>43556</v>
      </c>
      <c r="J557" s="562">
        <v>43585</v>
      </c>
      <c r="K557" s="6" t="str">
        <f t="shared" si="25"/>
        <v>HD YARN</v>
      </c>
      <c r="L557" s="14">
        <f>VLOOKUP(J557,'USD to INR'!$B$2:$G$560,6,TRUE)</f>
        <v>69.094999999999999</v>
      </c>
      <c r="M557" s="216">
        <f t="shared" si="26"/>
        <v>1195.6726246472249</v>
      </c>
      <c r="N557" s="563">
        <f t="shared" si="24"/>
        <v>43585</v>
      </c>
    </row>
    <row r="558" spans="1:14" x14ac:dyDescent="0.25">
      <c r="A558" s="188" t="s">
        <v>530</v>
      </c>
      <c r="B558" s="188" t="s">
        <v>531</v>
      </c>
      <c r="C558" s="188" t="s">
        <v>532</v>
      </c>
      <c r="D558" s="560">
        <v>82015</v>
      </c>
      <c r="E558" s="188" t="s">
        <v>98</v>
      </c>
      <c r="F558" s="561">
        <v>1</v>
      </c>
      <c r="G558" s="188" t="s">
        <v>13</v>
      </c>
      <c r="H558" s="188" t="s">
        <v>538</v>
      </c>
      <c r="I558" s="562">
        <v>43586</v>
      </c>
      <c r="J558" s="562">
        <v>43586</v>
      </c>
      <c r="K558" s="6" t="str">
        <f t="shared" si="25"/>
        <v>HD YARN</v>
      </c>
      <c r="L558" s="14">
        <f>VLOOKUP(J558,'USD to INR'!$B$2:$G$560,6,TRUE)</f>
        <v>69.094999999999999</v>
      </c>
      <c r="M558" s="216">
        <f t="shared" si="26"/>
        <v>1186.9889282871409</v>
      </c>
      <c r="N558" s="563">
        <f t="shared" si="24"/>
        <v>43586</v>
      </c>
    </row>
    <row r="559" spans="1:14" x14ac:dyDescent="0.25">
      <c r="A559" s="188" t="s">
        <v>530</v>
      </c>
      <c r="B559" s="188" t="s">
        <v>531</v>
      </c>
      <c r="C559" s="188" t="s">
        <v>532</v>
      </c>
      <c r="D559" s="560">
        <v>80175</v>
      </c>
      <c r="E559" s="188" t="s">
        <v>98</v>
      </c>
      <c r="F559" s="561">
        <v>1</v>
      </c>
      <c r="G559" s="188" t="s">
        <v>13</v>
      </c>
      <c r="H559" s="188" t="s">
        <v>538</v>
      </c>
      <c r="I559" s="562">
        <v>43587</v>
      </c>
      <c r="J559" s="562">
        <v>43593</v>
      </c>
      <c r="K559" s="6" t="str">
        <f t="shared" si="25"/>
        <v>HD YARN</v>
      </c>
      <c r="L559" s="14">
        <f>VLOOKUP(J559,'USD to INR'!$B$2:$G$560,6,TRUE)</f>
        <v>70.015000000000001</v>
      </c>
      <c r="M559" s="216">
        <f t="shared" si="26"/>
        <v>1145.111761765336</v>
      </c>
      <c r="N559" s="563">
        <f t="shared" si="24"/>
        <v>43593</v>
      </c>
    </row>
    <row r="560" spans="1:14" x14ac:dyDescent="0.25">
      <c r="A560" s="188" t="s">
        <v>530</v>
      </c>
      <c r="B560" s="188" t="s">
        <v>531</v>
      </c>
      <c r="C560" s="188" t="s">
        <v>532</v>
      </c>
      <c r="D560" s="560">
        <v>79175</v>
      </c>
      <c r="E560" s="188" t="s">
        <v>98</v>
      </c>
      <c r="F560" s="561">
        <v>1</v>
      </c>
      <c r="G560" s="188" t="s">
        <v>13</v>
      </c>
      <c r="H560" s="188" t="s">
        <v>538</v>
      </c>
      <c r="I560" s="562">
        <v>43594</v>
      </c>
      <c r="J560" s="562">
        <v>43600</v>
      </c>
      <c r="K560" s="6" t="str">
        <f t="shared" si="25"/>
        <v>HD YARN</v>
      </c>
      <c r="L560" s="14">
        <f>VLOOKUP(J560,'USD to INR'!$B$2:$G$560,6,TRUE)</f>
        <v>70.28</v>
      </c>
      <c r="M560" s="216">
        <f t="shared" si="26"/>
        <v>1126.5651678998292</v>
      </c>
      <c r="N560" s="563">
        <f t="shared" si="24"/>
        <v>43600</v>
      </c>
    </row>
    <row r="561" spans="1:14" x14ac:dyDescent="0.25">
      <c r="A561" s="188" t="s">
        <v>530</v>
      </c>
      <c r="B561" s="188" t="s">
        <v>531</v>
      </c>
      <c r="C561" s="188" t="s">
        <v>532</v>
      </c>
      <c r="D561" s="560">
        <v>77790</v>
      </c>
      <c r="E561" s="188" t="s">
        <v>98</v>
      </c>
      <c r="F561" s="561">
        <v>1</v>
      </c>
      <c r="G561" s="188" t="s">
        <v>13</v>
      </c>
      <c r="H561" s="188" t="s">
        <v>538</v>
      </c>
      <c r="I561" s="562">
        <v>43601</v>
      </c>
      <c r="J561" s="562">
        <v>43616</v>
      </c>
      <c r="K561" s="6" t="str">
        <f t="shared" si="25"/>
        <v>HD YARN</v>
      </c>
      <c r="L561" s="14">
        <f>VLOOKUP(J561,'USD to INR'!$B$2:$G$560,6,TRUE)</f>
        <v>69.58</v>
      </c>
      <c r="M561" s="216">
        <f t="shared" si="26"/>
        <v>1117.993676343777</v>
      </c>
      <c r="N561" s="563">
        <f t="shared" si="24"/>
        <v>43616</v>
      </c>
    </row>
    <row r="562" spans="1:14" x14ac:dyDescent="0.25">
      <c r="A562" s="188" t="s">
        <v>530</v>
      </c>
      <c r="B562" s="188" t="s">
        <v>531</v>
      </c>
      <c r="C562" s="188" t="s">
        <v>532</v>
      </c>
      <c r="D562" s="560">
        <v>76461</v>
      </c>
      <c r="E562" s="188" t="s">
        <v>98</v>
      </c>
      <c r="F562" s="561">
        <v>1</v>
      </c>
      <c r="G562" s="188" t="s">
        <v>13</v>
      </c>
      <c r="H562" s="188" t="s">
        <v>538</v>
      </c>
      <c r="I562" s="562">
        <v>43617</v>
      </c>
      <c r="J562" s="562">
        <v>43620</v>
      </c>
      <c r="K562" s="6" t="str">
        <f t="shared" si="25"/>
        <v>HD YARN</v>
      </c>
      <c r="L562" s="14">
        <f>VLOOKUP(J562,'USD to INR'!$B$2:$G$560,6,TRUE)</f>
        <v>69.355000000000004</v>
      </c>
      <c r="M562" s="216">
        <f t="shared" si="26"/>
        <v>1102.4583663758922</v>
      </c>
      <c r="N562" s="563">
        <f t="shared" si="24"/>
        <v>43620</v>
      </c>
    </row>
    <row r="563" spans="1:14" x14ac:dyDescent="0.25">
      <c r="A563" s="188" t="s">
        <v>530</v>
      </c>
      <c r="B563" s="188" t="s">
        <v>531</v>
      </c>
      <c r="C563" s="188" t="s">
        <v>532</v>
      </c>
      <c r="D563" s="560">
        <v>74156</v>
      </c>
      <c r="E563" s="188" t="s">
        <v>98</v>
      </c>
      <c r="F563" s="561">
        <v>1</v>
      </c>
      <c r="G563" s="188" t="s">
        <v>13</v>
      </c>
      <c r="H563" s="188" t="s">
        <v>538</v>
      </c>
      <c r="I563" s="562">
        <v>43621</v>
      </c>
      <c r="J563" s="562">
        <v>43628</v>
      </c>
      <c r="K563" s="6" t="str">
        <f t="shared" si="25"/>
        <v>HD YARN</v>
      </c>
      <c r="L563" s="14">
        <f>VLOOKUP(J563,'USD to INR'!$B$2:$G$560,6,TRUE)</f>
        <v>69.832999999999998</v>
      </c>
      <c r="M563" s="216">
        <f t="shared" si="26"/>
        <v>1061.9048300946545</v>
      </c>
      <c r="N563" s="563">
        <f t="shared" si="24"/>
        <v>43628</v>
      </c>
    </row>
    <row r="564" spans="1:14" x14ac:dyDescent="0.25">
      <c r="A564" s="188" t="s">
        <v>530</v>
      </c>
      <c r="B564" s="188" t="s">
        <v>531</v>
      </c>
      <c r="C564" s="188" t="s">
        <v>532</v>
      </c>
      <c r="D564" s="560">
        <v>72307</v>
      </c>
      <c r="E564" s="188" t="s">
        <v>98</v>
      </c>
      <c r="F564" s="561">
        <v>1</v>
      </c>
      <c r="G564" s="188" t="s">
        <v>13</v>
      </c>
      <c r="H564" s="188" t="s">
        <v>538</v>
      </c>
      <c r="I564" s="562">
        <v>43629</v>
      </c>
      <c r="J564" s="562">
        <v>43646</v>
      </c>
      <c r="K564" s="6" t="str">
        <f t="shared" si="25"/>
        <v>HD YARN</v>
      </c>
      <c r="L564" s="14">
        <f>VLOOKUP(J564,'USD to INR'!$B$2:$G$560,6,TRUE)</f>
        <v>68.45</v>
      </c>
      <c r="M564" s="216">
        <f t="shared" si="26"/>
        <v>1056.3476990504016</v>
      </c>
      <c r="N564" s="563">
        <f t="shared" si="24"/>
        <v>43646</v>
      </c>
    </row>
    <row r="565" spans="1:14" x14ac:dyDescent="0.25">
      <c r="A565" s="188" t="s">
        <v>530</v>
      </c>
      <c r="B565" s="188" t="s">
        <v>531</v>
      </c>
      <c r="C565" s="188" t="s">
        <v>532</v>
      </c>
      <c r="D565" s="560">
        <v>71311</v>
      </c>
      <c r="E565" s="188" t="s">
        <v>98</v>
      </c>
      <c r="F565" s="561">
        <v>1</v>
      </c>
      <c r="G565" s="188" t="s">
        <v>13</v>
      </c>
      <c r="H565" s="188" t="s">
        <v>538</v>
      </c>
      <c r="I565" s="562">
        <v>43647</v>
      </c>
      <c r="J565" s="562">
        <v>43677</v>
      </c>
      <c r="K565" s="6" t="str">
        <f t="shared" si="25"/>
        <v>HD YARN</v>
      </c>
      <c r="L565" s="14">
        <f>VLOOKUP(J565,'USD to INR'!$B$2:$G$560,6,TRUE)</f>
        <v>69.7</v>
      </c>
      <c r="M565" s="216">
        <f t="shared" si="26"/>
        <v>1023.1133428981349</v>
      </c>
      <c r="N565" s="563">
        <f t="shared" si="24"/>
        <v>43677</v>
      </c>
    </row>
    <row r="566" spans="1:14" x14ac:dyDescent="0.25">
      <c r="A566" s="188" t="s">
        <v>530</v>
      </c>
      <c r="B566" s="188" t="s">
        <v>531</v>
      </c>
      <c r="C566" s="188" t="s">
        <v>532</v>
      </c>
      <c r="D566" s="560">
        <v>70915</v>
      </c>
      <c r="E566" s="188" t="s">
        <v>98</v>
      </c>
      <c r="F566" s="561">
        <v>1</v>
      </c>
      <c r="G566" s="188" t="s">
        <v>13</v>
      </c>
      <c r="H566" s="188" t="s">
        <v>538</v>
      </c>
      <c r="I566" s="562">
        <v>43678</v>
      </c>
      <c r="J566" s="562">
        <v>43684</v>
      </c>
      <c r="K566" s="6" t="str">
        <f t="shared" si="25"/>
        <v>HD YARN</v>
      </c>
      <c r="L566" s="14">
        <f>VLOOKUP(J566,'USD to INR'!$B$2:$G$560,6,TRUE)</f>
        <v>70.924000000000007</v>
      </c>
      <c r="M566" s="216">
        <f t="shared" si="26"/>
        <v>999.87310360385754</v>
      </c>
      <c r="N566" s="563">
        <f t="shared" si="24"/>
        <v>43684</v>
      </c>
    </row>
    <row r="567" spans="1:14" x14ac:dyDescent="0.25">
      <c r="A567" s="188" t="s">
        <v>530</v>
      </c>
      <c r="B567" s="188" t="s">
        <v>531</v>
      </c>
      <c r="C567" s="188" t="s">
        <v>532</v>
      </c>
      <c r="D567" s="560">
        <v>72301</v>
      </c>
      <c r="E567" s="188" t="s">
        <v>98</v>
      </c>
      <c r="F567" s="561">
        <v>1</v>
      </c>
      <c r="G567" s="188" t="s">
        <v>13</v>
      </c>
      <c r="H567" s="188" t="s">
        <v>538</v>
      </c>
      <c r="I567" s="562">
        <v>43685</v>
      </c>
      <c r="J567" s="562">
        <v>43708</v>
      </c>
      <c r="K567" s="6" t="str">
        <f t="shared" si="25"/>
        <v>HD YARN</v>
      </c>
      <c r="L567" s="14">
        <f>VLOOKUP(J567,'USD to INR'!$B$2:$G$560,6,TRUE)</f>
        <v>71.453000000000003</v>
      </c>
      <c r="M567" s="216">
        <f t="shared" si="26"/>
        <v>1011.8679411641218</v>
      </c>
      <c r="N567" s="563">
        <f t="shared" si="24"/>
        <v>43708</v>
      </c>
    </row>
    <row r="568" spans="1:14" x14ac:dyDescent="0.25">
      <c r="A568" s="188" t="s">
        <v>530</v>
      </c>
      <c r="B568" s="188" t="s">
        <v>531</v>
      </c>
      <c r="C568" s="188" t="s">
        <v>532</v>
      </c>
      <c r="D568" s="560">
        <v>72295</v>
      </c>
      <c r="E568" s="188" t="s">
        <v>98</v>
      </c>
      <c r="F568" s="561">
        <v>1</v>
      </c>
      <c r="G568" s="188" t="s">
        <v>13</v>
      </c>
      <c r="H568" s="188" t="s">
        <v>538</v>
      </c>
      <c r="I568" s="562">
        <v>43709</v>
      </c>
      <c r="J568" s="562">
        <v>43719</v>
      </c>
      <c r="K568" s="6" t="str">
        <f t="shared" si="25"/>
        <v>HD YARN</v>
      </c>
      <c r="L568" s="14">
        <f>VLOOKUP(J568,'USD to INR'!$B$2:$G$560,6,TRUE)</f>
        <v>70.984999999999999</v>
      </c>
      <c r="M568" s="216">
        <f t="shared" si="26"/>
        <v>1018.4546030851589</v>
      </c>
      <c r="N568" s="563">
        <f t="shared" si="24"/>
        <v>43719</v>
      </c>
    </row>
    <row r="569" spans="1:14" x14ac:dyDescent="0.25">
      <c r="A569" s="188" t="s">
        <v>530</v>
      </c>
      <c r="B569" s="188" t="s">
        <v>531</v>
      </c>
      <c r="C569" s="188" t="s">
        <v>532</v>
      </c>
      <c r="D569" s="560">
        <v>69524</v>
      </c>
      <c r="E569" s="188" t="s">
        <v>98</v>
      </c>
      <c r="F569" s="561">
        <v>1</v>
      </c>
      <c r="G569" s="188" t="s">
        <v>13</v>
      </c>
      <c r="H569" s="188" t="s">
        <v>538</v>
      </c>
      <c r="I569" s="562">
        <v>43720</v>
      </c>
      <c r="J569" s="562">
        <v>43726</v>
      </c>
      <c r="K569" s="6" t="str">
        <f t="shared" si="25"/>
        <v>HD YARN</v>
      </c>
      <c r="L569" s="14">
        <f>VLOOKUP(J569,'USD to INR'!$B$2:$G$560,6,TRUE)</f>
        <v>71.075000000000003</v>
      </c>
      <c r="M569" s="216">
        <f t="shared" si="26"/>
        <v>978.17798100597952</v>
      </c>
      <c r="N569" s="563">
        <f t="shared" si="24"/>
        <v>43726</v>
      </c>
    </row>
    <row r="570" spans="1:14" x14ac:dyDescent="0.25">
      <c r="A570" s="188" t="s">
        <v>530</v>
      </c>
      <c r="B570" s="188" t="s">
        <v>531</v>
      </c>
      <c r="C570" s="188" t="s">
        <v>532</v>
      </c>
      <c r="D570" s="560">
        <v>70449</v>
      </c>
      <c r="E570" s="188" t="s">
        <v>98</v>
      </c>
      <c r="F570" s="561">
        <v>1</v>
      </c>
      <c r="G570" s="188" t="s">
        <v>13</v>
      </c>
      <c r="H570" s="188" t="s">
        <v>538</v>
      </c>
      <c r="I570" s="562">
        <v>43727</v>
      </c>
      <c r="J570" s="562">
        <v>43738</v>
      </c>
      <c r="K570" s="6" t="str">
        <f t="shared" si="25"/>
        <v>HD YARN</v>
      </c>
      <c r="L570" s="14">
        <f>VLOOKUP(J570,'USD to INR'!$B$2:$G$560,6,TRUE)</f>
        <v>70.825000000000003</v>
      </c>
      <c r="M570" s="216">
        <f t="shared" si="26"/>
        <v>994.69114013413343</v>
      </c>
      <c r="N570" s="563">
        <f t="shared" si="24"/>
        <v>43738</v>
      </c>
    </row>
    <row r="571" spans="1:14" x14ac:dyDescent="0.25">
      <c r="A571" s="188" t="s">
        <v>530</v>
      </c>
      <c r="B571" s="188" t="s">
        <v>531</v>
      </c>
      <c r="C571" s="188" t="s">
        <v>532</v>
      </c>
      <c r="D571" s="560">
        <v>72290</v>
      </c>
      <c r="E571" s="188" t="s">
        <v>98</v>
      </c>
      <c r="F571" s="561">
        <v>1</v>
      </c>
      <c r="G571" s="188" t="s">
        <v>13</v>
      </c>
      <c r="H571" s="188" t="s">
        <v>538</v>
      </c>
      <c r="I571" s="562">
        <v>43739</v>
      </c>
      <c r="J571" s="562">
        <v>43747</v>
      </c>
      <c r="K571" s="6" t="str">
        <f t="shared" si="25"/>
        <v>HD YARN</v>
      </c>
      <c r="L571" s="14">
        <f>VLOOKUP(J571,'USD to INR'!$B$2:$G$560,6,TRUE)</f>
        <v>70.924000000000007</v>
      </c>
      <c r="M571" s="216">
        <f t="shared" si="26"/>
        <v>1019.2600530144942</v>
      </c>
      <c r="N571" s="563">
        <f t="shared" si="24"/>
        <v>43747</v>
      </c>
    </row>
    <row r="572" spans="1:14" x14ac:dyDescent="0.25">
      <c r="A572" s="188" t="s">
        <v>530</v>
      </c>
      <c r="B572" s="188" t="s">
        <v>531</v>
      </c>
      <c r="C572" s="188" t="s">
        <v>532</v>
      </c>
      <c r="D572" s="560">
        <v>70450</v>
      </c>
      <c r="E572" s="188" t="s">
        <v>98</v>
      </c>
      <c r="F572" s="561">
        <v>1</v>
      </c>
      <c r="G572" s="188" t="s">
        <v>13</v>
      </c>
      <c r="H572" s="188" t="s">
        <v>538</v>
      </c>
      <c r="I572" s="562">
        <v>43748</v>
      </c>
      <c r="J572" s="562">
        <v>43754</v>
      </c>
      <c r="K572" s="6" t="str">
        <f t="shared" si="25"/>
        <v>HD YARN</v>
      </c>
      <c r="L572" s="14">
        <f>VLOOKUP(J572,'USD to INR'!$B$2:$G$560,6,TRUE)</f>
        <v>71.09</v>
      </c>
      <c r="M572" s="216">
        <f t="shared" si="26"/>
        <v>990.99732733155156</v>
      </c>
      <c r="N572" s="563">
        <f t="shared" si="24"/>
        <v>43754</v>
      </c>
    </row>
    <row r="573" spans="1:14" x14ac:dyDescent="0.25">
      <c r="A573" s="188" t="s">
        <v>530</v>
      </c>
      <c r="B573" s="188" t="s">
        <v>531</v>
      </c>
      <c r="C573" s="188" t="s">
        <v>532</v>
      </c>
      <c r="D573" s="560">
        <v>69060</v>
      </c>
      <c r="E573" s="188" t="s">
        <v>98</v>
      </c>
      <c r="F573" s="561">
        <v>1</v>
      </c>
      <c r="G573" s="188" t="s">
        <v>13</v>
      </c>
      <c r="H573" s="188" t="s">
        <v>538</v>
      </c>
      <c r="I573" s="562">
        <v>43755</v>
      </c>
      <c r="J573" s="562">
        <v>43769</v>
      </c>
      <c r="K573" s="6" t="str">
        <f t="shared" si="25"/>
        <v>HD YARN</v>
      </c>
      <c r="L573" s="14">
        <f>VLOOKUP(J573,'USD to INR'!$B$2:$G$560,6,TRUE)</f>
        <v>70.760000000000005</v>
      </c>
      <c r="M573" s="216">
        <f t="shared" si="26"/>
        <v>975.97512719050303</v>
      </c>
      <c r="N573" s="563">
        <f t="shared" si="24"/>
        <v>43769</v>
      </c>
    </row>
    <row r="574" spans="1:14" x14ac:dyDescent="0.25">
      <c r="A574" s="188" t="s">
        <v>530</v>
      </c>
      <c r="B574" s="188" t="s">
        <v>531</v>
      </c>
      <c r="C574" s="188" t="s">
        <v>532</v>
      </c>
      <c r="D574" s="560">
        <v>68140</v>
      </c>
      <c r="E574" s="188" t="s">
        <v>98</v>
      </c>
      <c r="F574" s="561">
        <v>1</v>
      </c>
      <c r="G574" s="188" t="s">
        <v>13</v>
      </c>
      <c r="H574" s="188" t="s">
        <v>538</v>
      </c>
      <c r="I574" s="562">
        <v>43770</v>
      </c>
      <c r="J574" s="562">
        <v>43789</v>
      </c>
      <c r="K574" s="6" t="str">
        <f t="shared" si="25"/>
        <v>HD YARN</v>
      </c>
      <c r="L574" s="14">
        <f>VLOOKUP(J574,'USD to INR'!$B$2:$G$560,6,TRUE)</f>
        <v>71.792000000000002</v>
      </c>
      <c r="M574" s="216">
        <f t="shared" si="26"/>
        <v>949.13082237575213</v>
      </c>
      <c r="N574" s="563">
        <f t="shared" si="24"/>
        <v>43789</v>
      </c>
    </row>
    <row r="575" spans="1:14" x14ac:dyDescent="0.25">
      <c r="A575" s="188" t="s">
        <v>530</v>
      </c>
      <c r="B575" s="188" t="s">
        <v>531</v>
      </c>
      <c r="C575" s="188" t="s">
        <v>532</v>
      </c>
      <c r="D575" s="560">
        <v>67220</v>
      </c>
      <c r="E575" s="188" t="s">
        <v>98</v>
      </c>
      <c r="F575" s="561">
        <v>1</v>
      </c>
      <c r="G575" s="188" t="s">
        <v>13</v>
      </c>
      <c r="H575" s="188" t="s">
        <v>538</v>
      </c>
      <c r="I575" s="562">
        <v>43790</v>
      </c>
      <c r="J575" s="562">
        <v>43799</v>
      </c>
      <c r="K575" s="6" t="str">
        <f t="shared" si="25"/>
        <v>HD YARN</v>
      </c>
      <c r="L575" s="14">
        <f>VLOOKUP(J575,'USD to INR'!$B$2:$G$560,6,TRUE)</f>
        <v>71.748999999999995</v>
      </c>
      <c r="M575" s="216">
        <f t="shared" si="26"/>
        <v>936.8771690197774</v>
      </c>
      <c r="N575" s="563">
        <f t="shared" si="24"/>
        <v>43799</v>
      </c>
    </row>
    <row r="576" spans="1:14" x14ac:dyDescent="0.25">
      <c r="A576" s="188" t="s">
        <v>530</v>
      </c>
      <c r="B576" s="188" t="s">
        <v>531</v>
      </c>
      <c r="C576" s="188" t="s">
        <v>532</v>
      </c>
      <c r="D576" s="560">
        <v>67220</v>
      </c>
      <c r="E576" s="188" t="s">
        <v>98</v>
      </c>
      <c r="F576" s="561">
        <v>1</v>
      </c>
      <c r="G576" s="188" t="s">
        <v>13</v>
      </c>
      <c r="H576" s="188" t="s">
        <v>538</v>
      </c>
      <c r="I576" s="562">
        <v>43800</v>
      </c>
      <c r="J576" s="562">
        <v>43830</v>
      </c>
      <c r="K576" s="6" t="str">
        <f t="shared" si="25"/>
        <v>HD YARN</v>
      </c>
      <c r="L576" s="14">
        <f>VLOOKUP(J576,'USD to INR'!$B$2:$G$560,6,TRUE)</f>
        <v>71.77</v>
      </c>
      <c r="M576" s="216">
        <f t="shared" si="26"/>
        <v>936.60303748084164</v>
      </c>
      <c r="N576" s="563">
        <f t="shared" si="24"/>
        <v>43830</v>
      </c>
    </row>
    <row r="577" spans="1:14" x14ac:dyDescent="0.25">
      <c r="A577" s="188" t="s">
        <v>530</v>
      </c>
      <c r="B577" s="188" t="s">
        <v>531</v>
      </c>
      <c r="C577" s="188" t="s">
        <v>532</v>
      </c>
      <c r="D577" s="560">
        <v>67210</v>
      </c>
      <c r="E577" s="188" t="s">
        <v>98</v>
      </c>
      <c r="F577" s="561">
        <v>1</v>
      </c>
      <c r="G577" s="188" t="s">
        <v>13</v>
      </c>
      <c r="H577" s="188" t="s">
        <v>538</v>
      </c>
      <c r="I577" s="562">
        <v>43831</v>
      </c>
      <c r="J577" s="562">
        <v>43838</v>
      </c>
      <c r="K577" s="6" t="str">
        <f t="shared" si="25"/>
        <v>HD YARN</v>
      </c>
      <c r="L577" s="14">
        <f>VLOOKUP(J577,'USD to INR'!$B$2:$G$560,6,TRUE)</f>
        <v>70.959999999999994</v>
      </c>
      <c r="M577" s="216">
        <f t="shared" si="26"/>
        <v>947.15332581736197</v>
      </c>
      <c r="N577" s="563">
        <f t="shared" si="24"/>
        <v>43838</v>
      </c>
    </row>
    <row r="578" spans="1:14" x14ac:dyDescent="0.25">
      <c r="A578" s="188" t="s">
        <v>530</v>
      </c>
      <c r="B578" s="188" t="s">
        <v>531</v>
      </c>
      <c r="C578" s="188" t="s">
        <v>532</v>
      </c>
      <c r="D578" s="560">
        <v>68140</v>
      </c>
      <c r="E578" s="188" t="s">
        <v>98</v>
      </c>
      <c r="F578" s="561">
        <v>1</v>
      </c>
      <c r="G578" s="188" t="s">
        <v>13</v>
      </c>
      <c r="H578" s="188" t="s">
        <v>538</v>
      </c>
      <c r="I578" s="562">
        <v>43839</v>
      </c>
      <c r="J578" s="562">
        <v>43861</v>
      </c>
      <c r="K578" s="6" t="str">
        <f t="shared" si="25"/>
        <v>HD YARN</v>
      </c>
      <c r="L578" s="14">
        <f>VLOOKUP(J578,'USD to INR'!$B$2:$G$560,6,TRUE)</f>
        <v>71.555000000000007</v>
      </c>
      <c r="M578" s="216">
        <f t="shared" si="26"/>
        <v>952.27447418070005</v>
      </c>
      <c r="N578" s="563">
        <f t="shared" ref="N578:N641" si="27">J578</f>
        <v>43861</v>
      </c>
    </row>
    <row r="579" spans="1:14" x14ac:dyDescent="0.25">
      <c r="A579" s="188" t="s">
        <v>530</v>
      </c>
      <c r="B579" s="188" t="s">
        <v>531</v>
      </c>
      <c r="C579" s="188" t="s">
        <v>532</v>
      </c>
      <c r="D579" s="560">
        <v>68140</v>
      </c>
      <c r="E579" s="188" t="s">
        <v>98</v>
      </c>
      <c r="F579" s="561">
        <v>1</v>
      </c>
      <c r="G579" s="188" t="s">
        <v>13</v>
      </c>
      <c r="H579" s="188" t="s">
        <v>538</v>
      </c>
      <c r="I579" s="562">
        <v>43862</v>
      </c>
      <c r="J579" s="562">
        <v>43880</v>
      </c>
      <c r="K579" s="6" t="str">
        <f t="shared" ref="K579:K642" si="28">VLOOKUP(H579,$V$2:$W$10,2,TRUE)</f>
        <v>HD YARN</v>
      </c>
      <c r="L579" s="14">
        <f>VLOOKUP(J579,'USD to INR'!$B$2:$G$560,6,TRUE)</f>
        <v>71.88</v>
      </c>
      <c r="M579" s="216">
        <f t="shared" ref="M579:M642" si="29">D579/L579</f>
        <v>947.96883695047302</v>
      </c>
      <c r="N579" s="563">
        <f t="shared" si="27"/>
        <v>43880</v>
      </c>
    </row>
    <row r="580" spans="1:14" x14ac:dyDescent="0.25">
      <c r="A580" s="188" t="s">
        <v>530</v>
      </c>
      <c r="B580" s="188" t="s">
        <v>531</v>
      </c>
      <c r="C580" s="188" t="s">
        <v>532</v>
      </c>
      <c r="D580" s="560">
        <v>68140</v>
      </c>
      <c r="E580" s="188" t="s">
        <v>98</v>
      </c>
      <c r="F580" s="561">
        <v>1</v>
      </c>
      <c r="G580" s="188" t="s">
        <v>13</v>
      </c>
      <c r="H580" s="188" t="s">
        <v>538</v>
      </c>
      <c r="I580" s="562">
        <v>43881</v>
      </c>
      <c r="J580" s="562">
        <v>43890</v>
      </c>
      <c r="K580" s="6" t="str">
        <f t="shared" si="28"/>
        <v>HD YARN</v>
      </c>
      <c r="L580" s="14">
        <f>VLOOKUP(J580,'USD to INR'!$B$2:$G$560,6,TRUE)</f>
        <v>72.539000000000001</v>
      </c>
      <c r="M580" s="216">
        <f t="shared" si="29"/>
        <v>939.35675981196323</v>
      </c>
      <c r="N580" s="563">
        <f t="shared" si="27"/>
        <v>43890</v>
      </c>
    </row>
    <row r="581" spans="1:14" x14ac:dyDescent="0.25">
      <c r="A581" s="188" t="s">
        <v>530</v>
      </c>
      <c r="B581" s="188" t="s">
        <v>531</v>
      </c>
      <c r="C581" s="188" t="s">
        <v>532</v>
      </c>
      <c r="D581" s="560">
        <v>68150</v>
      </c>
      <c r="E581" s="188" t="s">
        <v>98</v>
      </c>
      <c r="F581" s="561">
        <v>1</v>
      </c>
      <c r="G581" s="188" t="s">
        <v>13</v>
      </c>
      <c r="H581" s="188" t="s">
        <v>538</v>
      </c>
      <c r="I581" s="562">
        <v>43891</v>
      </c>
      <c r="J581" s="562">
        <v>43921</v>
      </c>
      <c r="K581" s="6" t="str">
        <f t="shared" si="28"/>
        <v>HD YARN</v>
      </c>
      <c r="L581" s="14">
        <f>VLOOKUP(J581,'USD to INR'!$B$2:$G$560,6,TRUE)</f>
        <v>76.241</v>
      </c>
      <c r="M581" s="216">
        <f t="shared" si="29"/>
        <v>893.8759984785089</v>
      </c>
      <c r="N581" s="563">
        <f t="shared" si="27"/>
        <v>43921</v>
      </c>
    </row>
    <row r="582" spans="1:14" x14ac:dyDescent="0.25">
      <c r="A582" s="188" t="s">
        <v>530</v>
      </c>
      <c r="B582" s="188" t="s">
        <v>531</v>
      </c>
      <c r="C582" s="188" t="s">
        <v>532</v>
      </c>
      <c r="D582" s="560">
        <v>67240</v>
      </c>
      <c r="E582" s="188" t="s">
        <v>98</v>
      </c>
      <c r="F582" s="561">
        <v>1</v>
      </c>
      <c r="G582" s="188" t="s">
        <v>13</v>
      </c>
      <c r="H582" s="188" t="s">
        <v>538</v>
      </c>
      <c r="I582" s="562">
        <v>43922</v>
      </c>
      <c r="J582" s="562">
        <v>43930</v>
      </c>
      <c r="K582" s="6" t="str">
        <f t="shared" si="28"/>
        <v>HD YARN</v>
      </c>
      <c r="L582" s="14">
        <f>VLOOKUP(J582,'USD to INR'!$B$2:$G$560,6,TRUE)</f>
        <v>75.879000000000005</v>
      </c>
      <c r="M582" s="216">
        <f t="shared" si="29"/>
        <v>886.14768249449776</v>
      </c>
      <c r="N582" s="563">
        <f t="shared" si="27"/>
        <v>43930</v>
      </c>
    </row>
    <row r="583" spans="1:14" x14ac:dyDescent="0.25">
      <c r="A583" s="188" t="s">
        <v>530</v>
      </c>
      <c r="B583" s="188" t="s">
        <v>531</v>
      </c>
      <c r="C583" s="188" t="s">
        <v>532</v>
      </c>
      <c r="D583" s="560">
        <v>64470</v>
      </c>
      <c r="E583" s="188" t="s">
        <v>98</v>
      </c>
      <c r="F583" s="561">
        <v>1</v>
      </c>
      <c r="G583" s="188" t="s">
        <v>13</v>
      </c>
      <c r="H583" s="188" t="s">
        <v>538</v>
      </c>
      <c r="I583" s="562">
        <v>43931</v>
      </c>
      <c r="J583" s="562">
        <v>43951</v>
      </c>
      <c r="K583" s="6" t="str">
        <f t="shared" si="28"/>
        <v>HD YARN</v>
      </c>
      <c r="L583" s="14">
        <f>VLOOKUP(J583,'USD to INR'!$B$2:$G$560,6,TRUE)</f>
        <v>75.748999999999995</v>
      </c>
      <c r="M583" s="216">
        <f t="shared" si="29"/>
        <v>851.10034455900416</v>
      </c>
      <c r="N583" s="563">
        <f t="shared" si="27"/>
        <v>43951</v>
      </c>
    </row>
    <row r="584" spans="1:14" x14ac:dyDescent="0.25">
      <c r="A584" s="188" t="s">
        <v>530</v>
      </c>
      <c r="B584" s="188" t="s">
        <v>531</v>
      </c>
      <c r="C584" s="188" t="s">
        <v>532</v>
      </c>
      <c r="D584" s="560">
        <v>64470</v>
      </c>
      <c r="E584" s="188" t="s">
        <v>98</v>
      </c>
      <c r="F584" s="561">
        <v>1</v>
      </c>
      <c r="G584" s="188" t="s">
        <v>13</v>
      </c>
      <c r="H584" s="188" t="s">
        <v>538</v>
      </c>
      <c r="I584" s="562">
        <v>43952</v>
      </c>
      <c r="J584" s="562">
        <v>43971</v>
      </c>
      <c r="K584" s="6" t="str">
        <f t="shared" si="28"/>
        <v>HD YARN</v>
      </c>
      <c r="L584" s="14">
        <f>VLOOKUP(J584,'USD to INR'!$B$2:$G$560,6,TRUE)</f>
        <v>75.95</v>
      </c>
      <c r="M584" s="216">
        <f t="shared" si="29"/>
        <v>848.84792626728108</v>
      </c>
      <c r="N584" s="563">
        <f t="shared" si="27"/>
        <v>43971</v>
      </c>
    </row>
    <row r="585" spans="1:14" x14ac:dyDescent="0.25">
      <c r="A585" s="188" t="s">
        <v>530</v>
      </c>
      <c r="B585" s="188" t="s">
        <v>531</v>
      </c>
      <c r="C585" s="188" t="s">
        <v>532</v>
      </c>
      <c r="D585" s="560">
        <v>65400</v>
      </c>
      <c r="E585" s="188" t="s">
        <v>98</v>
      </c>
      <c r="F585" s="561">
        <v>1</v>
      </c>
      <c r="G585" s="188" t="s">
        <v>13</v>
      </c>
      <c r="H585" s="188" t="s">
        <v>538</v>
      </c>
      <c r="I585" s="562">
        <v>43972</v>
      </c>
      <c r="J585" s="562">
        <v>43982</v>
      </c>
      <c r="K585" s="6" t="str">
        <f t="shared" si="28"/>
        <v>HD YARN</v>
      </c>
      <c r="L585" s="14">
        <f>VLOOKUP(J585,'USD to INR'!$B$2:$G$560,6,TRUE)</f>
        <v>75.56</v>
      </c>
      <c r="M585" s="216">
        <f t="shared" si="29"/>
        <v>865.53732133403912</v>
      </c>
      <c r="N585" s="563">
        <f t="shared" si="27"/>
        <v>43982</v>
      </c>
    </row>
    <row r="586" spans="1:14" x14ac:dyDescent="0.25">
      <c r="A586" s="188" t="s">
        <v>530</v>
      </c>
      <c r="B586" s="188" t="s">
        <v>531</v>
      </c>
      <c r="C586" s="188" t="s">
        <v>532</v>
      </c>
      <c r="D586" s="560">
        <v>66330</v>
      </c>
      <c r="E586" s="188" t="s">
        <v>98</v>
      </c>
      <c r="F586" s="561">
        <v>1</v>
      </c>
      <c r="G586" s="188" t="s">
        <v>13</v>
      </c>
      <c r="H586" s="188" t="s">
        <v>538</v>
      </c>
      <c r="I586" s="562">
        <v>43983</v>
      </c>
      <c r="J586" s="562">
        <v>43992</v>
      </c>
      <c r="K586" s="6" t="str">
        <f t="shared" si="28"/>
        <v>HD YARN</v>
      </c>
      <c r="L586" s="14">
        <f>VLOOKUP(J586,'USD to INR'!$B$2:$G$560,6,TRUE)</f>
        <v>76.05</v>
      </c>
      <c r="M586" s="216">
        <f t="shared" si="29"/>
        <v>872.18934911242604</v>
      </c>
      <c r="N586" s="563">
        <f t="shared" si="27"/>
        <v>43992</v>
      </c>
    </row>
    <row r="587" spans="1:14" x14ac:dyDescent="0.25">
      <c r="A587" s="188" t="s">
        <v>530</v>
      </c>
      <c r="B587" s="188" t="s">
        <v>531</v>
      </c>
      <c r="C587" s="188" t="s">
        <v>532</v>
      </c>
      <c r="D587" s="560">
        <v>67260</v>
      </c>
      <c r="E587" s="188" t="s">
        <v>98</v>
      </c>
      <c r="F587" s="561">
        <v>1</v>
      </c>
      <c r="G587" s="188" t="s">
        <v>13</v>
      </c>
      <c r="H587" s="188" t="s">
        <v>538</v>
      </c>
      <c r="I587" s="562">
        <v>43993</v>
      </c>
      <c r="J587" s="562">
        <v>43999</v>
      </c>
      <c r="K587" s="6" t="str">
        <f t="shared" si="28"/>
        <v>HD YARN</v>
      </c>
      <c r="L587" s="14">
        <f>VLOOKUP(J587,'USD to INR'!$B$2:$G$560,6,TRUE)</f>
        <v>76.260000000000005</v>
      </c>
      <c r="M587" s="216">
        <f t="shared" si="29"/>
        <v>881.98269079464978</v>
      </c>
      <c r="N587" s="563">
        <f t="shared" si="27"/>
        <v>43999</v>
      </c>
    </row>
    <row r="588" spans="1:14" x14ac:dyDescent="0.25">
      <c r="A588" s="188" t="s">
        <v>530</v>
      </c>
      <c r="B588" s="188" t="s">
        <v>531</v>
      </c>
      <c r="C588" s="188" t="s">
        <v>532</v>
      </c>
      <c r="D588" s="560">
        <v>67260</v>
      </c>
      <c r="E588" s="188" t="s">
        <v>98</v>
      </c>
      <c r="F588" s="561">
        <v>1</v>
      </c>
      <c r="G588" s="188" t="s">
        <v>13</v>
      </c>
      <c r="H588" s="188" t="s">
        <v>538</v>
      </c>
      <c r="I588" s="562">
        <v>44000</v>
      </c>
      <c r="J588" s="562">
        <v>44012</v>
      </c>
      <c r="K588" s="6" t="str">
        <f t="shared" si="28"/>
        <v>HD YARN</v>
      </c>
      <c r="L588" s="14">
        <f>VLOOKUP(J588,'USD to INR'!$B$2:$G$560,6,TRUE)</f>
        <v>74.635999999999996</v>
      </c>
      <c r="M588" s="216">
        <f t="shared" si="29"/>
        <v>901.1736963395681</v>
      </c>
      <c r="N588" s="563">
        <f t="shared" si="27"/>
        <v>44012</v>
      </c>
    </row>
    <row r="589" spans="1:14" x14ac:dyDescent="0.25">
      <c r="A589" s="188" t="s">
        <v>530</v>
      </c>
      <c r="B589" s="188" t="s">
        <v>531</v>
      </c>
      <c r="C589" s="188" t="s">
        <v>532</v>
      </c>
      <c r="D589" s="560">
        <v>69080</v>
      </c>
      <c r="E589" s="188" t="s">
        <v>98</v>
      </c>
      <c r="F589" s="561">
        <v>1</v>
      </c>
      <c r="G589" s="188" t="s">
        <v>13</v>
      </c>
      <c r="H589" s="188" t="s">
        <v>538</v>
      </c>
      <c r="I589" s="562">
        <v>44013</v>
      </c>
      <c r="J589" s="562">
        <v>44027</v>
      </c>
      <c r="K589" s="6" t="str">
        <f t="shared" si="28"/>
        <v>HD YARN</v>
      </c>
      <c r="L589" s="14">
        <f>VLOOKUP(J589,'USD to INR'!$B$2:$G$560,6,TRUE)</f>
        <v>74.897000000000006</v>
      </c>
      <c r="M589" s="216">
        <f t="shared" si="29"/>
        <v>922.33333778388976</v>
      </c>
      <c r="N589" s="563">
        <f t="shared" si="27"/>
        <v>44027</v>
      </c>
    </row>
    <row r="590" spans="1:14" x14ac:dyDescent="0.25">
      <c r="A590" s="188" t="s">
        <v>530</v>
      </c>
      <c r="B590" s="188" t="s">
        <v>531</v>
      </c>
      <c r="C590" s="188" t="s">
        <v>532</v>
      </c>
      <c r="D590" s="560">
        <v>70930</v>
      </c>
      <c r="E590" s="188" t="s">
        <v>98</v>
      </c>
      <c r="F590" s="561">
        <v>1</v>
      </c>
      <c r="G590" s="188" t="s">
        <v>13</v>
      </c>
      <c r="H590" s="188" t="s">
        <v>538</v>
      </c>
      <c r="I590" s="562">
        <v>44028</v>
      </c>
      <c r="J590" s="562">
        <v>44043</v>
      </c>
      <c r="K590" s="6" t="str">
        <f t="shared" si="28"/>
        <v>HD YARN</v>
      </c>
      <c r="L590" s="14">
        <f>VLOOKUP(J590,'USD to INR'!$B$2:$G$560,6,TRUE)</f>
        <v>74.915999999999997</v>
      </c>
      <c r="M590" s="216">
        <f t="shared" si="29"/>
        <v>946.79374232473708</v>
      </c>
      <c r="N590" s="563">
        <f t="shared" si="27"/>
        <v>44043</v>
      </c>
    </row>
    <row r="591" spans="1:14" x14ac:dyDescent="0.25">
      <c r="A591" s="188" t="s">
        <v>530</v>
      </c>
      <c r="B591" s="188" t="s">
        <v>531</v>
      </c>
      <c r="C591" s="188" t="s">
        <v>532</v>
      </c>
      <c r="D591" s="560">
        <v>70930</v>
      </c>
      <c r="E591" s="188" t="s">
        <v>98</v>
      </c>
      <c r="F591" s="561">
        <v>1</v>
      </c>
      <c r="G591" s="188" t="s">
        <v>13</v>
      </c>
      <c r="H591" s="188" t="s">
        <v>538</v>
      </c>
      <c r="I591" s="562">
        <v>44044</v>
      </c>
      <c r="J591" s="562">
        <v>44074</v>
      </c>
      <c r="K591" s="6" t="str">
        <f t="shared" si="28"/>
        <v>HD YARN</v>
      </c>
      <c r="L591" s="14">
        <f>VLOOKUP(J591,'USD to INR'!$B$2:$G$560,6,TRUE)</f>
        <v>73.289000000000001</v>
      </c>
      <c r="M591" s="216">
        <f t="shared" si="29"/>
        <v>967.81235928993431</v>
      </c>
      <c r="N591" s="563">
        <f t="shared" si="27"/>
        <v>44074</v>
      </c>
    </row>
    <row r="592" spans="1:14" x14ac:dyDescent="0.25">
      <c r="A592" s="188" t="s">
        <v>530</v>
      </c>
      <c r="B592" s="188" t="s">
        <v>531</v>
      </c>
      <c r="C592" s="188" t="s">
        <v>532</v>
      </c>
      <c r="D592" s="560">
        <v>70930</v>
      </c>
      <c r="E592" s="188" t="s">
        <v>98</v>
      </c>
      <c r="F592" s="561">
        <v>1</v>
      </c>
      <c r="G592" s="188" t="s">
        <v>13</v>
      </c>
      <c r="H592" s="188" t="s">
        <v>538</v>
      </c>
      <c r="I592" s="562">
        <v>44075</v>
      </c>
      <c r="J592" s="562">
        <v>44076</v>
      </c>
      <c r="K592" s="6" t="str">
        <f t="shared" si="28"/>
        <v>HD YARN</v>
      </c>
      <c r="L592" s="14">
        <f>VLOOKUP(J592,'USD to INR'!$B$2:$G$560,6,TRUE)</f>
        <v>73.289000000000001</v>
      </c>
      <c r="M592" s="216">
        <f t="shared" si="29"/>
        <v>967.81235928993431</v>
      </c>
      <c r="N592" s="563">
        <f t="shared" si="27"/>
        <v>44076</v>
      </c>
    </row>
    <row r="593" spans="1:14" x14ac:dyDescent="0.25">
      <c r="A593" s="188" t="s">
        <v>530</v>
      </c>
      <c r="B593" s="188" t="s">
        <v>531</v>
      </c>
      <c r="C593" s="188" t="s">
        <v>532</v>
      </c>
      <c r="D593" s="560">
        <v>72320</v>
      </c>
      <c r="E593" s="188" t="s">
        <v>98</v>
      </c>
      <c r="F593" s="561">
        <v>1</v>
      </c>
      <c r="G593" s="188" t="s">
        <v>13</v>
      </c>
      <c r="H593" s="188" t="s">
        <v>538</v>
      </c>
      <c r="I593" s="562">
        <v>44077</v>
      </c>
      <c r="J593" s="562">
        <v>44083</v>
      </c>
      <c r="K593" s="6" t="str">
        <f t="shared" si="28"/>
        <v>HD YARN</v>
      </c>
      <c r="L593" s="14">
        <f>VLOOKUP(J593,'USD to INR'!$B$2:$G$560,6,TRUE)</f>
        <v>73.430000000000007</v>
      </c>
      <c r="M593" s="216">
        <f t="shared" si="29"/>
        <v>984.88356257660348</v>
      </c>
      <c r="N593" s="563">
        <f t="shared" si="27"/>
        <v>44083</v>
      </c>
    </row>
    <row r="594" spans="1:14" x14ac:dyDescent="0.25">
      <c r="A594" s="188" t="s">
        <v>530</v>
      </c>
      <c r="B594" s="188" t="s">
        <v>531</v>
      </c>
      <c r="C594" s="188" t="s">
        <v>532</v>
      </c>
      <c r="D594" s="560">
        <v>73250</v>
      </c>
      <c r="E594" s="188" t="s">
        <v>98</v>
      </c>
      <c r="F594" s="561">
        <v>1</v>
      </c>
      <c r="G594" s="188" t="s">
        <v>13</v>
      </c>
      <c r="H594" s="188" t="s">
        <v>538</v>
      </c>
      <c r="I594" s="562">
        <v>44084</v>
      </c>
      <c r="J594" s="562">
        <v>44104</v>
      </c>
      <c r="K594" s="6" t="str">
        <f t="shared" si="28"/>
        <v>HD YARN</v>
      </c>
      <c r="L594" s="14">
        <f>VLOOKUP(J594,'USD to INR'!$B$2:$G$560,6,TRUE)</f>
        <v>73.290000000000006</v>
      </c>
      <c r="M594" s="216">
        <f t="shared" si="29"/>
        <v>999.45422294992488</v>
      </c>
      <c r="N594" s="563">
        <f t="shared" si="27"/>
        <v>44104</v>
      </c>
    </row>
    <row r="595" spans="1:14" x14ac:dyDescent="0.25">
      <c r="A595" s="188" t="s">
        <v>530</v>
      </c>
      <c r="B595" s="188" t="s">
        <v>531</v>
      </c>
      <c r="C595" s="188" t="s">
        <v>532</v>
      </c>
      <c r="D595" s="560">
        <v>74190</v>
      </c>
      <c r="E595" s="188" t="s">
        <v>98</v>
      </c>
      <c r="F595" s="561">
        <v>1</v>
      </c>
      <c r="G595" s="188" t="s">
        <v>13</v>
      </c>
      <c r="H595" s="188" t="s">
        <v>538</v>
      </c>
      <c r="I595" s="562">
        <v>44105</v>
      </c>
      <c r="J595" s="562">
        <v>44135</v>
      </c>
      <c r="K595" s="6" t="str">
        <f t="shared" si="28"/>
        <v>HD YARN</v>
      </c>
      <c r="L595" s="14">
        <f>VLOOKUP(J595,'USD to INR'!$B$2:$G$560,6,TRUE)</f>
        <v>74.554000000000002</v>
      </c>
      <c r="M595" s="216">
        <f t="shared" si="29"/>
        <v>995.11763285672123</v>
      </c>
      <c r="N595" s="563">
        <f t="shared" si="27"/>
        <v>44135</v>
      </c>
    </row>
    <row r="596" spans="1:14" x14ac:dyDescent="0.25">
      <c r="A596" s="188" t="s">
        <v>530</v>
      </c>
      <c r="B596" s="188" t="s">
        <v>531</v>
      </c>
      <c r="C596" s="188" t="s">
        <v>532</v>
      </c>
      <c r="D596" s="560">
        <v>75120</v>
      </c>
      <c r="E596" s="188" t="s">
        <v>98</v>
      </c>
      <c r="F596" s="561">
        <v>1</v>
      </c>
      <c r="G596" s="188" t="s">
        <v>13</v>
      </c>
      <c r="H596" s="188" t="s">
        <v>538</v>
      </c>
      <c r="I596" s="562">
        <v>44136</v>
      </c>
      <c r="J596" s="562">
        <v>44153</v>
      </c>
      <c r="K596" s="6" t="str">
        <f t="shared" si="28"/>
        <v>HD YARN</v>
      </c>
      <c r="L596" s="14">
        <f>VLOOKUP(J596,'USD to INR'!$B$2:$G$560,6,TRUE)</f>
        <v>74.11</v>
      </c>
      <c r="M596" s="216">
        <f t="shared" si="29"/>
        <v>1013.6283902307381</v>
      </c>
      <c r="N596" s="563">
        <f t="shared" si="27"/>
        <v>44153</v>
      </c>
    </row>
    <row r="597" spans="1:14" x14ac:dyDescent="0.25">
      <c r="A597" s="188" t="s">
        <v>530</v>
      </c>
      <c r="B597" s="188" t="s">
        <v>531</v>
      </c>
      <c r="C597" s="188" t="s">
        <v>532</v>
      </c>
      <c r="D597" s="560">
        <v>76050</v>
      </c>
      <c r="E597" s="188" t="s">
        <v>98</v>
      </c>
      <c r="F597" s="561">
        <v>1</v>
      </c>
      <c r="G597" s="188" t="s">
        <v>13</v>
      </c>
      <c r="H597" s="188" t="s">
        <v>538</v>
      </c>
      <c r="I597" s="562">
        <v>44154</v>
      </c>
      <c r="J597" s="562">
        <v>44160</v>
      </c>
      <c r="K597" s="6" t="str">
        <f t="shared" si="28"/>
        <v>HD YARN</v>
      </c>
      <c r="L597" s="14">
        <f>VLOOKUP(J597,'USD to INR'!$B$2:$G$560,6,TRUE)</f>
        <v>73.933000000000007</v>
      </c>
      <c r="M597" s="216">
        <f t="shared" si="29"/>
        <v>1028.6340335168327</v>
      </c>
      <c r="N597" s="563">
        <f t="shared" si="27"/>
        <v>44160</v>
      </c>
    </row>
    <row r="598" spans="1:14" x14ac:dyDescent="0.25">
      <c r="A598" s="188" t="s">
        <v>530</v>
      </c>
      <c r="B598" s="188" t="s">
        <v>531</v>
      </c>
      <c r="C598" s="188" t="s">
        <v>532</v>
      </c>
      <c r="D598" s="560">
        <v>78830</v>
      </c>
      <c r="E598" s="188" t="s">
        <v>98</v>
      </c>
      <c r="F598" s="561">
        <v>1</v>
      </c>
      <c r="G598" s="188" t="s">
        <v>13</v>
      </c>
      <c r="H598" s="188" t="s">
        <v>538</v>
      </c>
      <c r="I598" s="562">
        <v>44161</v>
      </c>
      <c r="J598" s="562">
        <v>44165</v>
      </c>
      <c r="K598" s="6" t="str">
        <f t="shared" si="28"/>
        <v>HD YARN</v>
      </c>
      <c r="L598" s="14">
        <f>VLOOKUP(J598,'USD to INR'!$B$2:$G$560,6,TRUE)</f>
        <v>73.757000000000005</v>
      </c>
      <c r="M598" s="216">
        <f t="shared" si="29"/>
        <v>1068.7799124150927</v>
      </c>
      <c r="N598" s="563">
        <f t="shared" si="27"/>
        <v>44165</v>
      </c>
    </row>
    <row r="599" spans="1:14" x14ac:dyDescent="0.25">
      <c r="A599" s="188" t="s">
        <v>530</v>
      </c>
      <c r="B599" s="188" t="s">
        <v>531</v>
      </c>
      <c r="C599" s="188" t="s">
        <v>532</v>
      </c>
      <c r="D599" s="560">
        <v>80680</v>
      </c>
      <c r="E599" s="188" t="s">
        <v>98</v>
      </c>
      <c r="F599" s="561">
        <v>1</v>
      </c>
      <c r="G599" s="188" t="s">
        <v>13</v>
      </c>
      <c r="H599" s="188" t="s">
        <v>538</v>
      </c>
      <c r="I599" s="562">
        <v>44166</v>
      </c>
      <c r="J599" s="562">
        <v>44196</v>
      </c>
      <c r="K599" s="6" t="str">
        <f t="shared" si="28"/>
        <v>HD YARN</v>
      </c>
      <c r="L599" s="14">
        <f>VLOOKUP(J599,'USD to INR'!$B$2:$G$560,6,TRUE)</f>
        <v>73.12</v>
      </c>
      <c r="M599" s="216">
        <f t="shared" si="29"/>
        <v>1103.3916849015316</v>
      </c>
      <c r="N599" s="563">
        <f t="shared" si="27"/>
        <v>44196</v>
      </c>
    </row>
    <row r="600" spans="1:14" x14ac:dyDescent="0.25">
      <c r="A600" s="188" t="s">
        <v>530</v>
      </c>
      <c r="B600" s="188" t="s">
        <v>531</v>
      </c>
      <c r="C600" s="188" t="s">
        <v>532</v>
      </c>
      <c r="D600" s="560">
        <v>80680</v>
      </c>
      <c r="E600" s="188" t="s">
        <v>98</v>
      </c>
      <c r="F600" s="561">
        <v>1</v>
      </c>
      <c r="G600" s="188" t="s">
        <v>13</v>
      </c>
      <c r="H600" s="188" t="s">
        <v>538</v>
      </c>
      <c r="I600" s="562">
        <v>44197</v>
      </c>
      <c r="J600" s="562">
        <v>44227</v>
      </c>
      <c r="K600" s="6" t="str">
        <f t="shared" si="28"/>
        <v>HD YARN</v>
      </c>
      <c r="L600" s="14">
        <f>VLOOKUP(J600,'USD to INR'!$B$2:$G$560,6,TRUE)</f>
        <v>72.81</v>
      </c>
      <c r="M600" s="216">
        <f t="shared" si="29"/>
        <v>1108.0895481389919</v>
      </c>
      <c r="N600" s="563">
        <f t="shared" si="27"/>
        <v>44227</v>
      </c>
    </row>
    <row r="601" spans="1:14" x14ac:dyDescent="0.25">
      <c r="A601" s="188" t="s">
        <v>530</v>
      </c>
      <c r="B601" s="188" t="s">
        <v>531</v>
      </c>
      <c r="C601" s="188" t="s">
        <v>532</v>
      </c>
      <c r="D601" s="560">
        <v>80680</v>
      </c>
      <c r="E601" s="188" t="s">
        <v>98</v>
      </c>
      <c r="F601" s="561">
        <v>1</v>
      </c>
      <c r="G601" s="188" t="s">
        <v>13</v>
      </c>
      <c r="H601" s="188" t="s">
        <v>538</v>
      </c>
      <c r="I601" s="562">
        <v>44228</v>
      </c>
      <c r="J601" s="562">
        <v>44244</v>
      </c>
      <c r="K601" s="6" t="str">
        <f t="shared" si="28"/>
        <v>HD YARN</v>
      </c>
      <c r="L601" s="14">
        <f>VLOOKUP(J601,'USD to INR'!$B$2:$G$560,6,TRUE)</f>
        <v>72.55</v>
      </c>
      <c r="M601" s="216">
        <f t="shared" si="29"/>
        <v>1112.0606478290833</v>
      </c>
      <c r="N601" s="563">
        <f t="shared" si="27"/>
        <v>44244</v>
      </c>
    </row>
    <row r="602" spans="1:14" x14ac:dyDescent="0.25">
      <c r="A602" s="188" t="s">
        <v>530</v>
      </c>
      <c r="B602" s="188" t="s">
        <v>531</v>
      </c>
      <c r="C602" s="188" t="s">
        <v>532</v>
      </c>
      <c r="D602" s="560">
        <v>83000</v>
      </c>
      <c r="E602" s="188" t="s">
        <v>98</v>
      </c>
      <c r="F602" s="561">
        <v>1</v>
      </c>
      <c r="G602" s="188" t="s">
        <v>13</v>
      </c>
      <c r="H602" s="188" t="s">
        <v>538</v>
      </c>
      <c r="I602" s="562">
        <v>44245</v>
      </c>
      <c r="J602" s="562">
        <v>44251</v>
      </c>
      <c r="K602" s="6" t="str">
        <f t="shared" si="28"/>
        <v>HD YARN</v>
      </c>
      <c r="L602" s="14">
        <f>VLOOKUP(J602,'USD to INR'!$B$2:$G$560,6,TRUE)</f>
        <v>73.92</v>
      </c>
      <c r="M602" s="216">
        <f t="shared" si="29"/>
        <v>1122.8354978354978</v>
      </c>
      <c r="N602" s="563">
        <f t="shared" si="27"/>
        <v>44251</v>
      </c>
    </row>
    <row r="603" spans="1:14" x14ac:dyDescent="0.25">
      <c r="A603" s="188" t="s">
        <v>530</v>
      </c>
      <c r="B603" s="188" t="s">
        <v>531</v>
      </c>
      <c r="C603" s="188" t="s">
        <v>532</v>
      </c>
      <c r="D603" s="560">
        <v>87620</v>
      </c>
      <c r="E603" s="188" t="s">
        <v>98</v>
      </c>
      <c r="F603" s="561">
        <v>1</v>
      </c>
      <c r="G603" s="188" t="s">
        <v>13</v>
      </c>
      <c r="H603" s="188" t="s">
        <v>538</v>
      </c>
      <c r="I603" s="562">
        <v>44252</v>
      </c>
      <c r="J603" s="562">
        <v>44255</v>
      </c>
      <c r="K603" s="6" t="str">
        <f t="shared" si="28"/>
        <v>HD YARN</v>
      </c>
      <c r="L603" s="14">
        <f>VLOOKUP(J603,'USD to INR'!$B$2:$G$560,6,TRUE)</f>
        <v>73.180000000000007</v>
      </c>
      <c r="M603" s="216">
        <f t="shared" si="29"/>
        <v>1197.3216725881387</v>
      </c>
      <c r="N603" s="563">
        <f t="shared" si="27"/>
        <v>44255</v>
      </c>
    </row>
    <row r="604" spans="1:14" x14ac:dyDescent="0.25">
      <c r="A604" s="188" t="s">
        <v>530</v>
      </c>
      <c r="B604" s="188" t="s">
        <v>531</v>
      </c>
      <c r="C604" s="188" t="s">
        <v>532</v>
      </c>
      <c r="D604" s="560">
        <v>87610</v>
      </c>
      <c r="E604" s="188" t="s">
        <v>98</v>
      </c>
      <c r="F604" s="561">
        <v>1</v>
      </c>
      <c r="G604" s="188" t="s">
        <v>13</v>
      </c>
      <c r="H604" s="188" t="s">
        <v>538</v>
      </c>
      <c r="I604" s="562">
        <v>44256</v>
      </c>
      <c r="J604" s="562">
        <v>44258</v>
      </c>
      <c r="K604" s="6" t="str">
        <f t="shared" si="28"/>
        <v>HD YARN</v>
      </c>
      <c r="L604" s="14">
        <f>VLOOKUP(J604,'USD to INR'!$B$2:$G$560,6,TRUE)</f>
        <v>73.180000000000007</v>
      </c>
      <c r="M604" s="216">
        <f t="shared" si="29"/>
        <v>1197.1850232303907</v>
      </c>
      <c r="N604" s="563">
        <f t="shared" si="27"/>
        <v>44258</v>
      </c>
    </row>
    <row r="605" spans="1:14" x14ac:dyDescent="0.25">
      <c r="A605" s="188" t="s">
        <v>530</v>
      </c>
      <c r="B605" s="188" t="s">
        <v>531</v>
      </c>
      <c r="C605" s="188" t="s">
        <v>532</v>
      </c>
      <c r="D605" s="560">
        <v>91310</v>
      </c>
      <c r="E605" s="188" t="s">
        <v>98</v>
      </c>
      <c r="F605" s="561">
        <v>1</v>
      </c>
      <c r="G605" s="188" t="s">
        <v>13</v>
      </c>
      <c r="H605" s="188" t="s">
        <v>538</v>
      </c>
      <c r="I605" s="562">
        <v>44259</v>
      </c>
      <c r="J605" s="562">
        <v>44265</v>
      </c>
      <c r="K605" s="6" t="str">
        <f t="shared" si="28"/>
        <v>HD YARN</v>
      </c>
      <c r="L605" s="14">
        <f>VLOOKUP(J605,'USD to INR'!$B$2:$G$560,6,TRUE)</f>
        <v>72.680000000000007</v>
      </c>
      <c r="M605" s="216">
        <f t="shared" si="29"/>
        <v>1256.3291139240505</v>
      </c>
      <c r="N605" s="563">
        <f t="shared" si="27"/>
        <v>44265</v>
      </c>
    </row>
    <row r="606" spans="1:14" x14ac:dyDescent="0.25">
      <c r="A606" s="188" t="s">
        <v>530</v>
      </c>
      <c r="B606" s="188" t="s">
        <v>531</v>
      </c>
      <c r="C606" s="188" t="s">
        <v>532</v>
      </c>
      <c r="D606" s="560">
        <v>94090</v>
      </c>
      <c r="E606" s="188" t="s">
        <v>98</v>
      </c>
      <c r="F606" s="561">
        <v>1</v>
      </c>
      <c r="G606" s="188" t="s">
        <v>13</v>
      </c>
      <c r="H606" s="188" t="s">
        <v>538</v>
      </c>
      <c r="I606" s="562">
        <v>44266</v>
      </c>
      <c r="J606" s="562">
        <v>44286</v>
      </c>
      <c r="K606" s="6" t="str">
        <f t="shared" si="28"/>
        <v>HD YARN</v>
      </c>
      <c r="L606" s="14">
        <f>VLOOKUP(J606,'USD to INR'!$B$2:$G$560,6,TRUE)</f>
        <v>73.37</v>
      </c>
      <c r="M606" s="216">
        <f t="shared" si="29"/>
        <v>1282.4042524192448</v>
      </c>
      <c r="N606" s="563">
        <f t="shared" si="27"/>
        <v>44286</v>
      </c>
    </row>
    <row r="607" spans="1:14" x14ac:dyDescent="0.25">
      <c r="A607" s="188" t="s">
        <v>530</v>
      </c>
      <c r="B607" s="188" t="s">
        <v>531</v>
      </c>
      <c r="C607" s="188" t="s">
        <v>532</v>
      </c>
      <c r="D607" s="560">
        <v>96870</v>
      </c>
      <c r="E607" s="188" t="s">
        <v>98</v>
      </c>
      <c r="F607" s="561">
        <v>1</v>
      </c>
      <c r="G607" s="188" t="s">
        <v>13</v>
      </c>
      <c r="H607" s="188" t="s">
        <v>538</v>
      </c>
      <c r="I607" s="562">
        <v>44287</v>
      </c>
      <c r="J607" s="562">
        <v>44300</v>
      </c>
      <c r="K607" s="6" t="str">
        <f t="shared" si="28"/>
        <v>HD YARN</v>
      </c>
      <c r="L607" s="14">
        <f>VLOOKUP(J607,'USD to INR'!$B$2:$G$560,6,TRUE)</f>
        <v>74.53</v>
      </c>
      <c r="M607" s="216">
        <f t="shared" si="29"/>
        <v>1299.7450690996914</v>
      </c>
      <c r="N607" s="563">
        <f t="shared" si="27"/>
        <v>44300</v>
      </c>
    </row>
    <row r="608" spans="1:14" x14ac:dyDescent="0.25">
      <c r="A608" s="188" t="s">
        <v>530</v>
      </c>
      <c r="B608" s="188" t="s">
        <v>531</v>
      </c>
      <c r="C608" s="188" t="s">
        <v>532</v>
      </c>
      <c r="D608" s="560">
        <v>96870</v>
      </c>
      <c r="E608" s="188" t="s">
        <v>98</v>
      </c>
      <c r="F608" s="561">
        <v>1</v>
      </c>
      <c r="G608" s="188" t="s">
        <v>13</v>
      </c>
      <c r="H608" s="188" t="s">
        <v>538</v>
      </c>
      <c r="I608" s="562">
        <v>44301</v>
      </c>
      <c r="J608" s="562">
        <v>44307</v>
      </c>
      <c r="K608" s="6" t="str">
        <f t="shared" si="28"/>
        <v>HD YARN</v>
      </c>
      <c r="L608" s="14">
        <f>VLOOKUP(J608,'USD to INR'!$B$2:$G$560,6,TRUE)</f>
        <v>74.92</v>
      </c>
      <c r="M608" s="216">
        <f t="shared" si="29"/>
        <v>1292.9791777896423</v>
      </c>
      <c r="N608" s="563">
        <f t="shared" si="27"/>
        <v>44307</v>
      </c>
    </row>
    <row r="609" spans="1:14" x14ac:dyDescent="0.25">
      <c r="A609" s="188" t="s">
        <v>530</v>
      </c>
      <c r="B609" s="188" t="s">
        <v>531</v>
      </c>
      <c r="C609" s="188" t="s">
        <v>532</v>
      </c>
      <c r="D609" s="560">
        <v>95030</v>
      </c>
      <c r="E609" s="188" t="s">
        <v>98</v>
      </c>
      <c r="F609" s="561">
        <v>1</v>
      </c>
      <c r="G609" s="188" t="s">
        <v>13</v>
      </c>
      <c r="H609" s="188" t="s">
        <v>538</v>
      </c>
      <c r="I609" s="562">
        <v>44308</v>
      </c>
      <c r="J609" s="562">
        <v>44316</v>
      </c>
      <c r="K609" s="6" t="str">
        <f t="shared" si="28"/>
        <v>HD YARN</v>
      </c>
      <c r="L609" s="14">
        <f>VLOOKUP(J609,'USD to INR'!$B$2:$G$560,6,TRUE)</f>
        <v>74.05</v>
      </c>
      <c r="M609" s="216">
        <f t="shared" si="29"/>
        <v>1283.3220796758947</v>
      </c>
      <c r="N609" s="563">
        <f t="shared" si="27"/>
        <v>44316</v>
      </c>
    </row>
    <row r="610" spans="1:14" x14ac:dyDescent="0.25">
      <c r="A610" s="188" t="s">
        <v>530</v>
      </c>
      <c r="B610" s="188" t="s">
        <v>531</v>
      </c>
      <c r="C610" s="188" t="s">
        <v>532</v>
      </c>
      <c r="D610" s="560">
        <v>93190</v>
      </c>
      <c r="E610" s="188" t="s">
        <v>98</v>
      </c>
      <c r="F610" s="561">
        <v>1</v>
      </c>
      <c r="G610" s="188" t="s">
        <v>13</v>
      </c>
      <c r="H610" s="188" t="s">
        <v>538</v>
      </c>
      <c r="I610" s="562">
        <v>44317</v>
      </c>
      <c r="J610" s="562">
        <v>44321</v>
      </c>
      <c r="K610" s="6" t="str">
        <f t="shared" si="28"/>
        <v>HD YARN</v>
      </c>
      <c r="L610" s="14">
        <f>VLOOKUP(J610,'USD to INR'!$B$2:$G$560,6,TRUE)</f>
        <v>73.251999999999995</v>
      </c>
      <c r="M610" s="216">
        <f t="shared" si="29"/>
        <v>1272.1836946431497</v>
      </c>
      <c r="N610" s="563">
        <f t="shared" si="27"/>
        <v>44321</v>
      </c>
    </row>
    <row r="611" spans="1:14" x14ac:dyDescent="0.25">
      <c r="A611" s="188" t="s">
        <v>530</v>
      </c>
      <c r="B611" s="188" t="s">
        <v>531</v>
      </c>
      <c r="C611" s="188" t="s">
        <v>532</v>
      </c>
      <c r="D611" s="560">
        <v>90420</v>
      </c>
      <c r="E611" s="188" t="s">
        <v>98</v>
      </c>
      <c r="F611" s="561">
        <v>1</v>
      </c>
      <c r="G611" s="188" t="s">
        <v>13</v>
      </c>
      <c r="H611" s="188" t="s">
        <v>538</v>
      </c>
      <c r="I611" s="562">
        <v>44322</v>
      </c>
      <c r="J611" s="562">
        <v>44335</v>
      </c>
      <c r="K611" s="6" t="str">
        <f t="shared" si="28"/>
        <v>HD YARN</v>
      </c>
      <c r="L611" s="14">
        <f>VLOOKUP(J611,'USD to INR'!$B$2:$G$560,6,TRUE)</f>
        <v>72.816999999999993</v>
      </c>
      <c r="M611" s="216">
        <f t="shared" si="29"/>
        <v>1241.7429995742752</v>
      </c>
      <c r="N611" s="563">
        <f t="shared" si="27"/>
        <v>44335</v>
      </c>
    </row>
    <row r="612" spans="1:14" x14ac:dyDescent="0.25">
      <c r="A612" s="188" t="s">
        <v>530</v>
      </c>
      <c r="B612" s="188" t="s">
        <v>531</v>
      </c>
      <c r="C612" s="188" t="s">
        <v>532</v>
      </c>
      <c r="D612" s="560">
        <v>90420</v>
      </c>
      <c r="E612" s="188" t="s">
        <v>98</v>
      </c>
      <c r="F612" s="561">
        <v>1</v>
      </c>
      <c r="G612" s="188" t="s">
        <v>13</v>
      </c>
      <c r="H612" s="188" t="s">
        <v>538</v>
      </c>
      <c r="I612" s="562">
        <v>44336</v>
      </c>
      <c r="J612" s="562">
        <v>44347</v>
      </c>
      <c r="K612" s="6" t="str">
        <f t="shared" si="28"/>
        <v>HD YARN</v>
      </c>
      <c r="L612" s="14">
        <f>VLOOKUP(J612,'USD to INR'!$B$2:$G$560,6,TRUE)</f>
        <v>72.86</v>
      </c>
      <c r="M612" s="216">
        <f t="shared" si="29"/>
        <v>1241.0101564644524</v>
      </c>
      <c r="N612" s="563">
        <f t="shared" si="27"/>
        <v>44347</v>
      </c>
    </row>
    <row r="613" spans="1:14" x14ac:dyDescent="0.25">
      <c r="A613" s="188" t="s">
        <v>530</v>
      </c>
      <c r="B613" s="188" t="s">
        <v>531</v>
      </c>
      <c r="C613" s="188" t="s">
        <v>532</v>
      </c>
      <c r="D613" s="560">
        <v>90410</v>
      </c>
      <c r="E613" s="188" t="s">
        <v>98</v>
      </c>
      <c r="F613" s="561">
        <v>1</v>
      </c>
      <c r="G613" s="188" t="s">
        <v>13</v>
      </c>
      <c r="H613" s="188" t="s">
        <v>538</v>
      </c>
      <c r="I613" s="562">
        <v>44348</v>
      </c>
      <c r="J613" s="562">
        <v>44356</v>
      </c>
      <c r="K613" s="6" t="str">
        <f t="shared" si="28"/>
        <v>HD YARN</v>
      </c>
      <c r="L613" s="14">
        <f>VLOOKUP(J613,'USD to INR'!$B$2:$G$560,6,TRUE)</f>
        <v>73.239999999999995</v>
      </c>
      <c r="M613" s="216">
        <f t="shared" si="29"/>
        <v>1234.4347351174222</v>
      </c>
      <c r="N613" s="563">
        <f t="shared" si="27"/>
        <v>44356</v>
      </c>
    </row>
    <row r="614" spans="1:14" x14ac:dyDescent="0.25">
      <c r="A614" s="188" t="s">
        <v>530</v>
      </c>
      <c r="B614" s="188" t="s">
        <v>531</v>
      </c>
      <c r="C614" s="188" t="s">
        <v>532</v>
      </c>
      <c r="D614" s="560">
        <v>88570</v>
      </c>
      <c r="E614" s="188" t="s">
        <v>98</v>
      </c>
      <c r="F614" s="561">
        <v>1</v>
      </c>
      <c r="G614" s="188" t="s">
        <v>13</v>
      </c>
      <c r="H614" s="188" t="s">
        <v>538</v>
      </c>
      <c r="I614" s="562">
        <v>44357</v>
      </c>
      <c r="J614" s="562">
        <v>44377</v>
      </c>
      <c r="K614" s="6" t="str">
        <f t="shared" si="28"/>
        <v>HD YARN</v>
      </c>
      <c r="L614" s="14">
        <f>VLOOKUP(J614,'USD to INR'!$B$2:$G$560,6,TRUE)</f>
        <v>74.512</v>
      </c>
      <c r="M614" s="216">
        <f t="shared" si="29"/>
        <v>1188.6675971655573</v>
      </c>
      <c r="N614" s="563">
        <f t="shared" si="27"/>
        <v>44377</v>
      </c>
    </row>
    <row r="615" spans="1:14" x14ac:dyDescent="0.25">
      <c r="A615" s="188" t="s">
        <v>530</v>
      </c>
      <c r="B615" s="188" t="s">
        <v>531</v>
      </c>
      <c r="C615" s="188" t="s">
        <v>532</v>
      </c>
      <c r="D615" s="560">
        <v>88560</v>
      </c>
      <c r="E615" s="188" t="s">
        <v>98</v>
      </c>
      <c r="F615" s="561">
        <v>1</v>
      </c>
      <c r="G615" s="188" t="s">
        <v>13</v>
      </c>
      <c r="H615" s="188" t="s">
        <v>538</v>
      </c>
      <c r="I615" s="562">
        <v>44378</v>
      </c>
      <c r="J615" s="562">
        <v>44384</v>
      </c>
      <c r="K615" s="6" t="str">
        <f t="shared" si="28"/>
        <v>HD YARN</v>
      </c>
      <c r="L615" s="14">
        <f>VLOOKUP(J615,'USD to INR'!$B$2:$G$560,6,TRUE)</f>
        <v>74.484999999999999</v>
      </c>
      <c r="M615" s="216">
        <f t="shared" si="29"/>
        <v>1188.9642209840908</v>
      </c>
      <c r="N615" s="563">
        <f t="shared" si="27"/>
        <v>44384</v>
      </c>
    </row>
    <row r="616" spans="1:14" x14ac:dyDescent="0.25">
      <c r="A616" s="188" t="s">
        <v>530</v>
      </c>
      <c r="B616" s="188" t="s">
        <v>531</v>
      </c>
      <c r="C616" s="188" t="s">
        <v>532</v>
      </c>
      <c r="D616" s="560">
        <v>90410</v>
      </c>
      <c r="E616" s="188" t="s">
        <v>98</v>
      </c>
      <c r="F616" s="561">
        <v>1</v>
      </c>
      <c r="G616" s="188" t="s">
        <v>13</v>
      </c>
      <c r="H616" s="188" t="s">
        <v>538</v>
      </c>
      <c r="I616" s="562">
        <v>44385</v>
      </c>
      <c r="J616" s="562">
        <v>44391</v>
      </c>
      <c r="K616" s="6" t="str">
        <f t="shared" si="28"/>
        <v>HD YARN</v>
      </c>
      <c r="L616" s="14">
        <f>VLOOKUP(J616,'USD to INR'!$B$2:$G$560,6,TRUE)</f>
        <v>74.605999999999995</v>
      </c>
      <c r="M616" s="216">
        <f t="shared" si="29"/>
        <v>1211.8328284588372</v>
      </c>
      <c r="N616" s="563">
        <f t="shared" si="27"/>
        <v>44391</v>
      </c>
    </row>
    <row r="617" spans="1:14" x14ac:dyDescent="0.25">
      <c r="A617" s="188" t="s">
        <v>530</v>
      </c>
      <c r="B617" s="188" t="s">
        <v>531</v>
      </c>
      <c r="C617" s="188" t="s">
        <v>532</v>
      </c>
      <c r="D617" s="560">
        <v>91340</v>
      </c>
      <c r="E617" s="188" t="s">
        <v>98</v>
      </c>
      <c r="F617" s="561">
        <v>1</v>
      </c>
      <c r="G617" s="188" t="s">
        <v>13</v>
      </c>
      <c r="H617" s="188" t="s">
        <v>538</v>
      </c>
      <c r="I617" s="562">
        <v>44392</v>
      </c>
      <c r="J617" s="562">
        <v>44408</v>
      </c>
      <c r="K617" s="6" t="str">
        <f t="shared" si="28"/>
        <v>HD YARN</v>
      </c>
      <c r="L617" s="14">
        <f>VLOOKUP(J617,'USD to INR'!$B$2:$G$560,6,TRUE)</f>
        <v>74.337000000000003</v>
      </c>
      <c r="M617" s="216">
        <f t="shared" si="29"/>
        <v>1228.7286277358514</v>
      </c>
      <c r="N617" s="563">
        <f t="shared" si="27"/>
        <v>44408</v>
      </c>
    </row>
    <row r="618" spans="1:14" x14ac:dyDescent="0.25">
      <c r="A618" s="188" t="s">
        <v>530</v>
      </c>
      <c r="B618" s="188" t="s">
        <v>531</v>
      </c>
      <c r="C618" s="188" t="s">
        <v>532</v>
      </c>
      <c r="D618" s="560">
        <v>92260</v>
      </c>
      <c r="E618" s="188" t="s">
        <v>98</v>
      </c>
      <c r="F618" s="561">
        <v>1</v>
      </c>
      <c r="G618" s="188" t="s">
        <v>13</v>
      </c>
      <c r="H618" s="188" t="s">
        <v>538</v>
      </c>
      <c r="I618" s="562">
        <v>44409</v>
      </c>
      <c r="J618" s="562">
        <v>44419</v>
      </c>
      <c r="K618" s="6" t="str">
        <f t="shared" si="28"/>
        <v>HD YARN</v>
      </c>
      <c r="L618" s="14">
        <f>VLOOKUP(J618,'USD to INR'!$B$2:$G$560,6,TRUE)</f>
        <v>74.239000000000004</v>
      </c>
      <c r="M618" s="216">
        <f t="shared" si="29"/>
        <v>1242.7430326378319</v>
      </c>
      <c r="N618" s="563">
        <f t="shared" si="27"/>
        <v>44419</v>
      </c>
    </row>
    <row r="619" spans="1:14" x14ac:dyDescent="0.25">
      <c r="A619" s="188" t="s">
        <v>530</v>
      </c>
      <c r="B619" s="188" t="s">
        <v>531</v>
      </c>
      <c r="C619" s="188" t="s">
        <v>532</v>
      </c>
      <c r="D619" s="560">
        <v>93190</v>
      </c>
      <c r="E619" s="188" t="s">
        <v>98</v>
      </c>
      <c r="F619" s="561">
        <v>1</v>
      </c>
      <c r="G619" s="188" t="s">
        <v>13</v>
      </c>
      <c r="H619" s="188" t="s">
        <v>538</v>
      </c>
      <c r="I619" s="562">
        <v>44420</v>
      </c>
      <c r="J619" s="562">
        <v>44426</v>
      </c>
      <c r="K619" s="6" t="str">
        <f t="shared" si="28"/>
        <v>HD YARN</v>
      </c>
      <c r="L619" s="14">
        <f>VLOOKUP(J619,'USD to INR'!$B$2:$G$560,6,TRUE)</f>
        <v>74.346999999999994</v>
      </c>
      <c r="M619" s="216">
        <f t="shared" si="29"/>
        <v>1253.4466757232976</v>
      </c>
      <c r="N619" s="563">
        <f t="shared" si="27"/>
        <v>44426</v>
      </c>
    </row>
    <row r="620" spans="1:14" x14ac:dyDescent="0.25">
      <c r="A620" s="188" t="s">
        <v>530</v>
      </c>
      <c r="B620" s="188" t="s">
        <v>531</v>
      </c>
      <c r="C620" s="188" t="s">
        <v>532</v>
      </c>
      <c r="D620" s="560">
        <v>94120</v>
      </c>
      <c r="E620" s="188" t="s">
        <v>98</v>
      </c>
      <c r="F620" s="561">
        <v>1</v>
      </c>
      <c r="G620" s="188" t="s">
        <v>13</v>
      </c>
      <c r="H620" s="188" t="s">
        <v>538</v>
      </c>
      <c r="I620" s="562">
        <v>44427</v>
      </c>
      <c r="J620" s="562">
        <v>44439</v>
      </c>
      <c r="K620" s="6" t="str">
        <f t="shared" si="28"/>
        <v>HD YARN</v>
      </c>
      <c r="L620" s="14">
        <f>VLOOKUP(J620,'USD to INR'!$B$2:$G$560,6,TRUE)</f>
        <v>72.981999999999999</v>
      </c>
      <c r="M620" s="216">
        <f t="shared" si="29"/>
        <v>1289.6330602066264</v>
      </c>
      <c r="N620" s="563">
        <f t="shared" si="27"/>
        <v>44439</v>
      </c>
    </row>
    <row r="621" spans="1:14" x14ac:dyDescent="0.25">
      <c r="A621" s="188" t="s">
        <v>530</v>
      </c>
      <c r="B621" s="188" t="s">
        <v>531</v>
      </c>
      <c r="C621" s="188" t="s">
        <v>532</v>
      </c>
      <c r="D621" s="560">
        <v>94130</v>
      </c>
      <c r="E621" s="188" t="s">
        <v>98</v>
      </c>
      <c r="F621" s="561">
        <v>1</v>
      </c>
      <c r="G621" s="188" t="s">
        <v>13</v>
      </c>
      <c r="H621" s="188" t="s">
        <v>538</v>
      </c>
      <c r="I621" s="562">
        <v>44440</v>
      </c>
      <c r="J621" s="562">
        <v>44469</v>
      </c>
      <c r="K621" s="6" t="str">
        <f t="shared" si="28"/>
        <v>HD YARN</v>
      </c>
      <c r="L621" s="14">
        <f>VLOOKUP(J621,'USD to INR'!$B$2:$G$560,6,TRUE)</f>
        <v>74.131</v>
      </c>
      <c r="M621" s="216">
        <f t="shared" si="29"/>
        <v>1269.7791747042397</v>
      </c>
      <c r="N621" s="563">
        <f t="shared" si="27"/>
        <v>44469</v>
      </c>
    </row>
    <row r="622" spans="1:14" x14ac:dyDescent="0.25">
      <c r="A622" s="188" t="s">
        <v>530</v>
      </c>
      <c r="B622" s="188" t="s">
        <v>531</v>
      </c>
      <c r="C622" s="188" t="s">
        <v>532</v>
      </c>
      <c r="D622" s="560">
        <v>95520</v>
      </c>
      <c r="E622" s="188" t="s">
        <v>98</v>
      </c>
      <c r="F622" s="561">
        <v>1</v>
      </c>
      <c r="G622" s="188" t="s">
        <v>13</v>
      </c>
      <c r="H622" s="188" t="s">
        <v>538</v>
      </c>
      <c r="I622" s="562">
        <v>44470</v>
      </c>
      <c r="J622" s="562">
        <v>44482</v>
      </c>
      <c r="K622" s="6" t="str">
        <f t="shared" si="28"/>
        <v>HD YARN</v>
      </c>
      <c r="L622" s="14">
        <f>VLOOKUP(J622,'USD to INR'!$B$2:$G$560,6,TRUE)</f>
        <v>75.013000000000005</v>
      </c>
      <c r="M622" s="216">
        <f t="shared" si="29"/>
        <v>1273.3792809246397</v>
      </c>
      <c r="N622" s="563">
        <f t="shared" si="27"/>
        <v>44482</v>
      </c>
    </row>
    <row r="623" spans="1:14" x14ac:dyDescent="0.25">
      <c r="A623" s="188" t="s">
        <v>530</v>
      </c>
      <c r="B623" s="188" t="s">
        <v>531</v>
      </c>
      <c r="C623" s="188" t="s">
        <v>532</v>
      </c>
      <c r="D623" s="560">
        <v>101070</v>
      </c>
      <c r="E623" s="188" t="s">
        <v>98</v>
      </c>
      <c r="F623" s="561">
        <v>1</v>
      </c>
      <c r="G623" s="188" t="s">
        <v>13</v>
      </c>
      <c r="H623" s="188" t="s">
        <v>538</v>
      </c>
      <c r="I623" s="562">
        <v>44483</v>
      </c>
      <c r="J623" s="562">
        <v>44500</v>
      </c>
      <c r="K623" s="6" t="str">
        <f t="shared" si="28"/>
        <v>HD YARN</v>
      </c>
      <c r="L623" s="14">
        <f>VLOOKUP(J623,'USD to INR'!$B$2:$G$560,6,TRUE)</f>
        <v>75.313000000000002</v>
      </c>
      <c r="M623" s="216">
        <f t="shared" si="29"/>
        <v>1341.9993892156733</v>
      </c>
      <c r="N623" s="563">
        <f t="shared" si="27"/>
        <v>44500</v>
      </c>
    </row>
    <row r="624" spans="1:14" x14ac:dyDescent="0.25">
      <c r="A624" s="188" t="s">
        <v>530</v>
      </c>
      <c r="B624" s="188" t="s">
        <v>531</v>
      </c>
      <c r="C624" s="188" t="s">
        <v>532</v>
      </c>
      <c r="D624" s="560">
        <v>102440</v>
      </c>
      <c r="E624" s="188" t="s">
        <v>98</v>
      </c>
      <c r="F624" s="561">
        <v>1</v>
      </c>
      <c r="G624" s="188" t="s">
        <v>13</v>
      </c>
      <c r="H624" s="188" t="s">
        <v>538</v>
      </c>
      <c r="I624" s="562">
        <v>44501</v>
      </c>
      <c r="J624" s="562">
        <v>44530</v>
      </c>
      <c r="K624" s="6" t="str">
        <f t="shared" si="28"/>
        <v>HD YARN</v>
      </c>
      <c r="L624" s="14">
        <f>VLOOKUP(J624,'USD to INR'!$B$2:$G$560,6,TRUE)</f>
        <v>75.313000000000002</v>
      </c>
      <c r="M624" s="216">
        <f t="shared" si="29"/>
        <v>1360.1901398164991</v>
      </c>
      <c r="N624" s="563">
        <f t="shared" si="27"/>
        <v>44530</v>
      </c>
    </row>
    <row r="625" spans="1:15" x14ac:dyDescent="0.25">
      <c r="A625" s="188" t="s">
        <v>530</v>
      </c>
      <c r="B625" s="188" t="s">
        <v>531</v>
      </c>
      <c r="C625" s="188" t="s">
        <v>532</v>
      </c>
      <c r="D625" s="560">
        <v>99710</v>
      </c>
      <c r="E625" s="188" t="s">
        <v>98</v>
      </c>
      <c r="F625" s="561">
        <v>1</v>
      </c>
      <c r="G625" s="188" t="s">
        <v>13</v>
      </c>
      <c r="H625" s="188" t="s">
        <v>538</v>
      </c>
      <c r="I625" s="562">
        <v>44531</v>
      </c>
      <c r="J625" s="562">
        <v>44538</v>
      </c>
      <c r="K625" s="6" t="str">
        <f t="shared" si="28"/>
        <v>HD YARN</v>
      </c>
      <c r="L625" s="14">
        <f>VLOOKUP(J625,'USD to INR'!$B$2:$G$560,6,TRUE)</f>
        <v>75.313000000000002</v>
      </c>
      <c r="M625" s="216">
        <f t="shared" si="29"/>
        <v>1323.9414178163131</v>
      </c>
      <c r="N625" s="563">
        <f t="shared" si="27"/>
        <v>44538</v>
      </c>
    </row>
    <row r="626" spans="1:15" x14ac:dyDescent="0.25">
      <c r="A626" s="188" t="s">
        <v>530</v>
      </c>
      <c r="B626" s="188" t="s">
        <v>531</v>
      </c>
      <c r="C626" s="188" t="s">
        <v>532</v>
      </c>
      <c r="D626" s="560">
        <v>96940</v>
      </c>
      <c r="E626" s="188" t="s">
        <v>98</v>
      </c>
      <c r="F626" s="561">
        <v>1</v>
      </c>
      <c r="G626" s="188" t="s">
        <v>13</v>
      </c>
      <c r="H626" s="188" t="s">
        <v>538</v>
      </c>
      <c r="I626" s="562">
        <v>44539</v>
      </c>
      <c r="J626" s="562">
        <v>44545</v>
      </c>
      <c r="K626" s="6" t="str">
        <f t="shared" si="28"/>
        <v>HD YARN</v>
      </c>
      <c r="L626" s="14">
        <f>VLOOKUP(J626,'USD to INR'!$B$2:$G$560,6,TRUE)</f>
        <v>75.313000000000002</v>
      </c>
      <c r="M626" s="216">
        <f t="shared" si="29"/>
        <v>1287.1615790102637</v>
      </c>
      <c r="N626" s="563">
        <f t="shared" si="27"/>
        <v>44545</v>
      </c>
    </row>
    <row r="627" spans="1:15" x14ac:dyDescent="0.25">
      <c r="A627" s="188" t="s">
        <v>530</v>
      </c>
      <c r="B627" s="188" t="s">
        <v>531</v>
      </c>
      <c r="C627" s="188" t="s">
        <v>532</v>
      </c>
      <c r="D627" s="560">
        <v>96020</v>
      </c>
      <c r="E627" s="188" t="s">
        <v>98</v>
      </c>
      <c r="F627" s="561">
        <v>1</v>
      </c>
      <c r="G627" s="188" t="s">
        <v>13</v>
      </c>
      <c r="H627" s="188" t="s">
        <v>538</v>
      </c>
      <c r="I627" s="562">
        <v>44546</v>
      </c>
      <c r="J627" s="562">
        <v>44561</v>
      </c>
      <c r="K627" s="6" t="str">
        <f t="shared" si="28"/>
        <v>HD YARN</v>
      </c>
      <c r="L627" s="14">
        <f>VLOOKUP(J627,'USD to INR'!$B$2:$G$560,6,TRUE)</f>
        <v>75.313000000000002</v>
      </c>
      <c r="M627" s="216">
        <f t="shared" si="29"/>
        <v>1274.9458924754026</v>
      </c>
      <c r="N627" s="563">
        <f t="shared" si="27"/>
        <v>44561</v>
      </c>
    </row>
    <row r="628" spans="1:15" x14ac:dyDescent="0.25">
      <c r="A628" s="188" t="s">
        <v>530</v>
      </c>
      <c r="B628" s="188" t="s">
        <v>531</v>
      </c>
      <c r="C628" s="188" t="s">
        <v>532</v>
      </c>
      <c r="D628" s="560">
        <v>77450</v>
      </c>
      <c r="E628" s="188" t="s">
        <v>98</v>
      </c>
      <c r="F628" s="561">
        <v>1</v>
      </c>
      <c r="G628" s="188" t="s">
        <v>13</v>
      </c>
      <c r="H628" s="188" t="s">
        <v>539</v>
      </c>
      <c r="I628" s="562">
        <v>43101</v>
      </c>
      <c r="J628" s="562">
        <v>43110</v>
      </c>
      <c r="K628" s="6" t="str">
        <f t="shared" si="28"/>
        <v>HD BLOW MOLDING</v>
      </c>
      <c r="L628" s="14">
        <f>VLOOKUP(J628,'USD to INR'!$B$2:$G$560,6,TRUE)</f>
        <v>63.61</v>
      </c>
      <c r="M628" s="216">
        <f t="shared" si="29"/>
        <v>1217.5758528533249</v>
      </c>
      <c r="N628" s="563">
        <f t="shared" si="27"/>
        <v>43110</v>
      </c>
      <c r="O628" s="454">
        <f>AVERAGE(M628,M629,M630,M631)</f>
        <v>1261.43559989399</v>
      </c>
    </row>
    <row r="629" spans="1:15" x14ac:dyDescent="0.25">
      <c r="A629" s="188" t="s">
        <v>530</v>
      </c>
      <c r="B629" s="188" t="s">
        <v>531</v>
      </c>
      <c r="C629" s="188" t="s">
        <v>532</v>
      </c>
      <c r="D629" s="560">
        <v>80240</v>
      </c>
      <c r="E629" s="188" t="s">
        <v>98</v>
      </c>
      <c r="F629" s="561">
        <v>1</v>
      </c>
      <c r="G629" s="188" t="s">
        <v>13</v>
      </c>
      <c r="H629" s="188" t="s">
        <v>539</v>
      </c>
      <c r="I629" s="562">
        <v>43111</v>
      </c>
      <c r="J629" s="562">
        <v>43117</v>
      </c>
      <c r="K629" s="6" t="str">
        <f t="shared" si="28"/>
        <v>HD BLOW MOLDING</v>
      </c>
      <c r="L629" s="14">
        <f>VLOOKUP(J629,'USD to INR'!$B$2:$G$560,6,TRUE)</f>
        <v>63.83</v>
      </c>
      <c r="M629" s="216">
        <f t="shared" si="29"/>
        <v>1257.0891430361899</v>
      </c>
      <c r="N629" s="563">
        <f t="shared" si="27"/>
        <v>43117</v>
      </c>
    </row>
    <row r="630" spans="1:15" x14ac:dyDescent="0.25">
      <c r="A630" s="188" t="s">
        <v>530</v>
      </c>
      <c r="B630" s="188" t="s">
        <v>531</v>
      </c>
      <c r="C630" s="188" t="s">
        <v>532</v>
      </c>
      <c r="D630" s="560">
        <v>81630</v>
      </c>
      <c r="E630" s="188" t="s">
        <v>98</v>
      </c>
      <c r="F630" s="561">
        <v>1</v>
      </c>
      <c r="G630" s="188" t="s">
        <v>13</v>
      </c>
      <c r="H630" s="188" t="s">
        <v>539</v>
      </c>
      <c r="I630" s="562">
        <v>43118</v>
      </c>
      <c r="J630" s="562">
        <v>43124</v>
      </c>
      <c r="K630" s="6" t="str">
        <f t="shared" si="28"/>
        <v>HD BLOW MOLDING</v>
      </c>
      <c r="L630" s="14">
        <f>VLOOKUP(J630,'USD to INR'!$B$2:$G$560,6,TRUE)</f>
        <v>63.59</v>
      </c>
      <c r="M630" s="216">
        <f t="shared" si="29"/>
        <v>1283.6924044661109</v>
      </c>
      <c r="N630" s="563">
        <f t="shared" si="27"/>
        <v>43124</v>
      </c>
    </row>
    <row r="631" spans="1:15" x14ac:dyDescent="0.25">
      <c r="A631" s="188" t="s">
        <v>530</v>
      </c>
      <c r="B631" s="188" t="s">
        <v>531</v>
      </c>
      <c r="C631" s="188" t="s">
        <v>532</v>
      </c>
      <c r="D631" s="560">
        <v>82560</v>
      </c>
      <c r="E631" s="188" t="s">
        <v>98</v>
      </c>
      <c r="F631" s="561">
        <v>1</v>
      </c>
      <c r="G631" s="188" t="s">
        <v>13</v>
      </c>
      <c r="H631" s="188" t="s">
        <v>539</v>
      </c>
      <c r="I631" s="562">
        <v>43125</v>
      </c>
      <c r="J631" s="562">
        <v>43131</v>
      </c>
      <c r="K631" s="6" t="str">
        <f t="shared" si="28"/>
        <v>HD BLOW MOLDING</v>
      </c>
      <c r="L631" s="14">
        <f>VLOOKUP(J631,'USD to INR'!$B$2:$G$560,6,TRUE)</f>
        <v>64.13</v>
      </c>
      <c r="M631" s="216">
        <f t="shared" si="29"/>
        <v>1287.3849992203338</v>
      </c>
      <c r="N631" s="563">
        <f t="shared" si="27"/>
        <v>43131</v>
      </c>
    </row>
    <row r="632" spans="1:15" x14ac:dyDescent="0.25">
      <c r="A632" s="188" t="s">
        <v>530</v>
      </c>
      <c r="B632" s="188" t="s">
        <v>531</v>
      </c>
      <c r="C632" s="188" t="s">
        <v>532</v>
      </c>
      <c r="D632" s="560">
        <v>86260</v>
      </c>
      <c r="E632" s="188" t="s">
        <v>98</v>
      </c>
      <c r="F632" s="561">
        <v>1</v>
      </c>
      <c r="G632" s="188" t="s">
        <v>13</v>
      </c>
      <c r="H632" s="188" t="s">
        <v>539</v>
      </c>
      <c r="I632" s="562">
        <v>43132</v>
      </c>
      <c r="J632" s="562">
        <v>43145</v>
      </c>
      <c r="K632" s="6" t="str">
        <f t="shared" si="28"/>
        <v>HD BLOW MOLDING</v>
      </c>
      <c r="L632" s="14">
        <f>VLOOKUP(J632,'USD to INR'!$B$2:$G$560,6,TRUE)</f>
        <v>64.215000000000003</v>
      </c>
      <c r="M632" s="216">
        <f t="shared" si="29"/>
        <v>1343.2998520594876</v>
      </c>
      <c r="N632" s="563">
        <f t="shared" si="27"/>
        <v>43145</v>
      </c>
    </row>
    <row r="633" spans="1:15" x14ac:dyDescent="0.25">
      <c r="A633" s="188" t="s">
        <v>530</v>
      </c>
      <c r="B633" s="188" t="s">
        <v>531</v>
      </c>
      <c r="C633" s="188" t="s">
        <v>532</v>
      </c>
      <c r="D633" s="560">
        <v>88560</v>
      </c>
      <c r="E633" s="188" t="s">
        <v>98</v>
      </c>
      <c r="F633" s="561">
        <v>1</v>
      </c>
      <c r="G633" s="188" t="s">
        <v>13</v>
      </c>
      <c r="H633" s="188" t="s">
        <v>539</v>
      </c>
      <c r="I633" s="562">
        <v>43146</v>
      </c>
      <c r="J633" s="562">
        <v>43159</v>
      </c>
      <c r="K633" s="6" t="str">
        <f t="shared" si="28"/>
        <v>HD BLOW MOLDING</v>
      </c>
      <c r="L633" s="14">
        <f>VLOOKUP(J633,'USD to INR'!$B$2:$G$560,6,TRUE)</f>
        <v>65.22</v>
      </c>
      <c r="M633" s="216">
        <f t="shared" si="29"/>
        <v>1357.8656853725852</v>
      </c>
      <c r="N633" s="563">
        <f t="shared" si="27"/>
        <v>43159</v>
      </c>
    </row>
    <row r="634" spans="1:15" x14ac:dyDescent="0.25">
      <c r="A634" s="188" t="s">
        <v>530</v>
      </c>
      <c r="B634" s="188" t="s">
        <v>531</v>
      </c>
      <c r="C634" s="188" t="s">
        <v>532</v>
      </c>
      <c r="D634" s="560">
        <v>90410</v>
      </c>
      <c r="E634" s="188" t="s">
        <v>98</v>
      </c>
      <c r="F634" s="561">
        <v>1</v>
      </c>
      <c r="G634" s="188" t="s">
        <v>13</v>
      </c>
      <c r="H634" s="188" t="s">
        <v>539</v>
      </c>
      <c r="I634" s="562">
        <v>43160</v>
      </c>
      <c r="J634" s="562">
        <v>43190</v>
      </c>
      <c r="K634" s="6" t="str">
        <f t="shared" si="28"/>
        <v>HD BLOW MOLDING</v>
      </c>
      <c r="L634" s="14">
        <f>VLOOKUP(J634,'USD to INR'!$B$2:$G$560,6,TRUE)</f>
        <v>65.114999999999995</v>
      </c>
      <c r="M634" s="216">
        <f t="shared" si="29"/>
        <v>1388.4665591645551</v>
      </c>
      <c r="N634" s="563">
        <f t="shared" si="27"/>
        <v>43190</v>
      </c>
    </row>
    <row r="635" spans="1:15" x14ac:dyDescent="0.25">
      <c r="A635" s="188" t="s">
        <v>530</v>
      </c>
      <c r="B635" s="188" t="s">
        <v>531</v>
      </c>
      <c r="C635" s="188" t="s">
        <v>532</v>
      </c>
      <c r="D635" s="560">
        <v>91790</v>
      </c>
      <c r="E635" s="188" t="s">
        <v>98</v>
      </c>
      <c r="F635" s="561">
        <v>1</v>
      </c>
      <c r="G635" s="188" t="s">
        <v>13</v>
      </c>
      <c r="H635" s="188" t="s">
        <v>539</v>
      </c>
      <c r="I635" s="562">
        <v>43191</v>
      </c>
      <c r="J635" s="562">
        <v>43208</v>
      </c>
      <c r="K635" s="6" t="str">
        <f t="shared" si="28"/>
        <v>HD BLOW MOLDING</v>
      </c>
      <c r="L635" s="14">
        <f>VLOOKUP(J635,'USD to INR'!$B$2:$G$560,6,TRUE)</f>
        <v>66.209999999999994</v>
      </c>
      <c r="M635" s="216">
        <f t="shared" si="29"/>
        <v>1386.3464733423955</v>
      </c>
      <c r="N635" s="563">
        <f t="shared" si="27"/>
        <v>43208</v>
      </c>
    </row>
    <row r="636" spans="1:15" x14ac:dyDescent="0.25">
      <c r="A636" s="188" t="s">
        <v>530</v>
      </c>
      <c r="B636" s="188" t="s">
        <v>531</v>
      </c>
      <c r="C636" s="188" t="s">
        <v>532</v>
      </c>
      <c r="D636" s="560">
        <v>93180</v>
      </c>
      <c r="E636" s="188" t="s">
        <v>98</v>
      </c>
      <c r="F636" s="561">
        <v>1</v>
      </c>
      <c r="G636" s="188" t="s">
        <v>13</v>
      </c>
      <c r="H636" s="188" t="s">
        <v>539</v>
      </c>
      <c r="I636" s="562">
        <v>43209</v>
      </c>
      <c r="J636" s="562">
        <v>43220</v>
      </c>
      <c r="K636" s="6" t="str">
        <f t="shared" si="28"/>
        <v>HD BLOW MOLDING</v>
      </c>
      <c r="L636" s="14">
        <f>VLOOKUP(J636,'USD to INR'!$B$2:$G$560,6,TRUE)</f>
        <v>66.819999999999993</v>
      </c>
      <c r="M636" s="216">
        <f t="shared" si="29"/>
        <v>1394.4926668662079</v>
      </c>
      <c r="N636" s="563">
        <f t="shared" si="27"/>
        <v>43220</v>
      </c>
    </row>
    <row r="637" spans="1:15" x14ac:dyDescent="0.25">
      <c r="A637" s="188" t="s">
        <v>530</v>
      </c>
      <c r="B637" s="188" t="s">
        <v>531</v>
      </c>
      <c r="C637" s="188" t="s">
        <v>532</v>
      </c>
      <c r="D637" s="560">
        <v>95320</v>
      </c>
      <c r="E637" s="188" t="s">
        <v>98</v>
      </c>
      <c r="F637" s="561">
        <v>1</v>
      </c>
      <c r="G637" s="188" t="s">
        <v>13</v>
      </c>
      <c r="H637" s="188" t="s">
        <v>539</v>
      </c>
      <c r="I637" s="562">
        <v>43221</v>
      </c>
      <c r="J637" s="562">
        <v>43236</v>
      </c>
      <c r="K637" s="6" t="str">
        <f t="shared" si="28"/>
        <v>HD BLOW MOLDING</v>
      </c>
      <c r="L637" s="14">
        <f>VLOOKUP(J637,'USD to INR'!$B$2:$G$560,6,TRUE)</f>
        <v>67.989999999999995</v>
      </c>
      <c r="M637" s="216">
        <f t="shared" si="29"/>
        <v>1401.9708780703045</v>
      </c>
      <c r="N637" s="563">
        <f t="shared" si="27"/>
        <v>43236</v>
      </c>
    </row>
    <row r="638" spans="1:15" x14ac:dyDescent="0.25">
      <c r="A638" s="188" t="s">
        <v>530</v>
      </c>
      <c r="B638" s="188" t="s">
        <v>531</v>
      </c>
      <c r="C638" s="188" t="s">
        <v>532</v>
      </c>
      <c r="D638" s="560">
        <v>98090</v>
      </c>
      <c r="E638" s="188" t="s">
        <v>98</v>
      </c>
      <c r="F638" s="561">
        <v>1</v>
      </c>
      <c r="G638" s="188" t="s">
        <v>13</v>
      </c>
      <c r="H638" s="188" t="s">
        <v>539</v>
      </c>
      <c r="I638" s="562">
        <v>43237</v>
      </c>
      <c r="J638" s="562">
        <v>43251</v>
      </c>
      <c r="K638" s="6" t="str">
        <f t="shared" si="28"/>
        <v>HD BLOW MOLDING</v>
      </c>
      <c r="L638" s="14">
        <f>VLOOKUP(J638,'USD to INR'!$B$2:$G$560,6,TRUE)</f>
        <v>66.995000000000005</v>
      </c>
      <c r="M638" s="216">
        <f t="shared" si="29"/>
        <v>1464.1391148593177</v>
      </c>
      <c r="N638" s="563">
        <f t="shared" si="27"/>
        <v>43251</v>
      </c>
    </row>
    <row r="639" spans="1:15" x14ac:dyDescent="0.25">
      <c r="A639" s="188" t="s">
        <v>530</v>
      </c>
      <c r="B639" s="188" t="s">
        <v>531</v>
      </c>
      <c r="C639" s="188" t="s">
        <v>532</v>
      </c>
      <c r="D639" s="560">
        <v>98080</v>
      </c>
      <c r="E639" s="188" t="s">
        <v>98</v>
      </c>
      <c r="F639" s="561">
        <v>1</v>
      </c>
      <c r="G639" s="188" t="s">
        <v>13</v>
      </c>
      <c r="H639" s="188" t="s">
        <v>539</v>
      </c>
      <c r="I639" s="562">
        <v>43252</v>
      </c>
      <c r="J639" s="562">
        <v>43281</v>
      </c>
      <c r="K639" s="6" t="str">
        <f t="shared" si="28"/>
        <v>HD BLOW MOLDING</v>
      </c>
      <c r="L639" s="14">
        <f>VLOOKUP(J639,'USD to INR'!$B$2:$G$560,6,TRUE)</f>
        <v>68.459999999999994</v>
      </c>
      <c r="M639" s="216">
        <f t="shared" si="29"/>
        <v>1432.6614081215309</v>
      </c>
      <c r="N639" s="563">
        <f t="shared" si="27"/>
        <v>43281</v>
      </c>
    </row>
    <row r="640" spans="1:15" x14ac:dyDescent="0.25">
      <c r="A640" s="188" t="s">
        <v>530</v>
      </c>
      <c r="B640" s="188" t="s">
        <v>531</v>
      </c>
      <c r="C640" s="188" t="s">
        <v>532</v>
      </c>
      <c r="D640" s="560">
        <v>98090</v>
      </c>
      <c r="E640" s="188" t="s">
        <v>98</v>
      </c>
      <c r="F640" s="561">
        <v>1</v>
      </c>
      <c r="G640" s="188" t="s">
        <v>13</v>
      </c>
      <c r="H640" s="188" t="s">
        <v>539</v>
      </c>
      <c r="I640" s="562">
        <v>43282</v>
      </c>
      <c r="J640" s="562">
        <v>43292</v>
      </c>
      <c r="K640" s="6" t="str">
        <f t="shared" si="28"/>
        <v>HD BLOW MOLDING</v>
      </c>
      <c r="L640" s="14">
        <f>VLOOKUP(J640,'USD to INR'!$B$2:$G$560,6,TRUE)</f>
        <v>68.5</v>
      </c>
      <c r="M640" s="216">
        <f t="shared" si="29"/>
        <v>1431.9708029197079</v>
      </c>
      <c r="N640" s="563">
        <f t="shared" si="27"/>
        <v>43292</v>
      </c>
    </row>
    <row r="641" spans="1:14" x14ac:dyDescent="0.25">
      <c r="A641" s="188" t="s">
        <v>530</v>
      </c>
      <c r="B641" s="188" t="s">
        <v>531</v>
      </c>
      <c r="C641" s="188" t="s">
        <v>532</v>
      </c>
      <c r="D641" s="560">
        <v>98090</v>
      </c>
      <c r="E641" s="188" t="s">
        <v>98</v>
      </c>
      <c r="F641" s="561">
        <v>1</v>
      </c>
      <c r="G641" s="188" t="s">
        <v>13</v>
      </c>
      <c r="H641" s="188" t="s">
        <v>539</v>
      </c>
      <c r="I641" s="562">
        <v>43293</v>
      </c>
      <c r="J641" s="562">
        <v>43312</v>
      </c>
      <c r="K641" s="6" t="str">
        <f t="shared" si="28"/>
        <v>HD BLOW MOLDING</v>
      </c>
      <c r="L641" s="14">
        <f>VLOOKUP(J641,'USD to INR'!$B$2:$G$560,6,TRUE)</f>
        <v>68.545000000000002</v>
      </c>
      <c r="M641" s="216">
        <f t="shared" si="29"/>
        <v>1431.0307097527173</v>
      </c>
      <c r="N641" s="563">
        <f t="shared" si="27"/>
        <v>43312</v>
      </c>
    </row>
    <row r="642" spans="1:14" x14ac:dyDescent="0.25">
      <c r="A642" s="188" t="s">
        <v>530</v>
      </c>
      <c r="B642" s="188" t="s">
        <v>531</v>
      </c>
      <c r="C642" s="188" t="s">
        <v>532</v>
      </c>
      <c r="D642" s="560">
        <v>98080</v>
      </c>
      <c r="E642" s="188" t="s">
        <v>98</v>
      </c>
      <c r="F642" s="561">
        <v>1</v>
      </c>
      <c r="G642" s="188" t="s">
        <v>13</v>
      </c>
      <c r="H642" s="188" t="s">
        <v>539</v>
      </c>
      <c r="I642" s="562">
        <v>43313</v>
      </c>
      <c r="J642" s="562">
        <v>43343</v>
      </c>
      <c r="K642" s="6" t="str">
        <f t="shared" si="28"/>
        <v>HD BLOW MOLDING</v>
      </c>
      <c r="L642" s="14">
        <f>VLOOKUP(J642,'USD to INR'!$B$2:$G$560,6,TRUE)</f>
        <v>71.004999999999995</v>
      </c>
      <c r="M642" s="216">
        <f t="shared" si="29"/>
        <v>1381.3111752693474</v>
      </c>
      <c r="N642" s="563">
        <f t="shared" ref="N642:N705" si="30">J642</f>
        <v>43343</v>
      </c>
    </row>
    <row r="643" spans="1:14" x14ac:dyDescent="0.25">
      <c r="A643" s="188" t="s">
        <v>530</v>
      </c>
      <c r="B643" s="188" t="s">
        <v>531</v>
      </c>
      <c r="C643" s="188" t="s">
        <v>532</v>
      </c>
      <c r="D643" s="560">
        <v>98080</v>
      </c>
      <c r="E643" s="188" t="s">
        <v>98</v>
      </c>
      <c r="F643" s="561">
        <v>1</v>
      </c>
      <c r="G643" s="188" t="s">
        <v>13</v>
      </c>
      <c r="H643" s="188" t="s">
        <v>539</v>
      </c>
      <c r="I643" s="562">
        <v>43344</v>
      </c>
      <c r="J643" s="562">
        <v>43373</v>
      </c>
      <c r="K643" s="6" t="str">
        <f t="shared" ref="K643:K706" si="31">VLOOKUP(H643,$V$2:$W$10,2,TRUE)</f>
        <v>HD BLOW MOLDING</v>
      </c>
      <c r="L643" s="14">
        <f>VLOOKUP(J643,'USD to INR'!$B$2:$G$560,6,TRUE)</f>
        <v>73.77</v>
      </c>
      <c r="M643" s="216">
        <f t="shared" ref="M643:M706" si="32">D643/L643</f>
        <v>1329.5377524739054</v>
      </c>
      <c r="N643" s="563">
        <f t="shared" si="30"/>
        <v>43373</v>
      </c>
    </row>
    <row r="644" spans="1:14" x14ac:dyDescent="0.25">
      <c r="A644" s="188" t="s">
        <v>530</v>
      </c>
      <c r="B644" s="188" t="s">
        <v>531</v>
      </c>
      <c r="C644" s="188" t="s">
        <v>532</v>
      </c>
      <c r="D644" s="560">
        <v>98110</v>
      </c>
      <c r="E644" s="188" t="s">
        <v>98</v>
      </c>
      <c r="F644" s="561">
        <v>1</v>
      </c>
      <c r="G644" s="188" t="s">
        <v>13</v>
      </c>
      <c r="H644" s="188" t="s">
        <v>539</v>
      </c>
      <c r="I644" s="562">
        <v>43374</v>
      </c>
      <c r="J644" s="562">
        <v>43383</v>
      </c>
      <c r="K644" s="6" t="str">
        <f t="shared" si="31"/>
        <v>HD BLOW MOLDING</v>
      </c>
      <c r="L644" s="14">
        <f>VLOOKUP(J644,'USD to INR'!$B$2:$G$560,6,TRUE)</f>
        <v>73.61</v>
      </c>
      <c r="M644" s="216">
        <f t="shared" si="32"/>
        <v>1332.8352126069829</v>
      </c>
      <c r="N644" s="563">
        <f t="shared" si="30"/>
        <v>43383</v>
      </c>
    </row>
    <row r="645" spans="1:14" x14ac:dyDescent="0.25">
      <c r="A645" s="188" t="s">
        <v>530</v>
      </c>
      <c r="B645" s="188" t="s">
        <v>531</v>
      </c>
      <c r="C645" s="188" t="s">
        <v>532</v>
      </c>
      <c r="D645" s="560">
        <v>99490</v>
      </c>
      <c r="E645" s="188" t="s">
        <v>98</v>
      </c>
      <c r="F645" s="561">
        <v>1</v>
      </c>
      <c r="G645" s="188" t="s">
        <v>13</v>
      </c>
      <c r="H645" s="188" t="s">
        <v>539</v>
      </c>
      <c r="I645" s="562">
        <v>43384</v>
      </c>
      <c r="J645" s="562">
        <v>43404</v>
      </c>
      <c r="K645" s="6" t="str">
        <f t="shared" si="31"/>
        <v>HD BLOW MOLDING</v>
      </c>
      <c r="L645" s="14">
        <f>VLOOKUP(J645,'USD to INR'!$B$2:$G$560,6,TRUE)</f>
        <v>72.44</v>
      </c>
      <c r="M645" s="216">
        <f t="shared" si="32"/>
        <v>1373.4124792932082</v>
      </c>
      <c r="N645" s="563">
        <f t="shared" si="30"/>
        <v>43404</v>
      </c>
    </row>
    <row r="646" spans="1:14" x14ac:dyDescent="0.25">
      <c r="A646" s="188" t="s">
        <v>530</v>
      </c>
      <c r="B646" s="188" t="s">
        <v>531</v>
      </c>
      <c r="C646" s="188" t="s">
        <v>532</v>
      </c>
      <c r="D646" s="560">
        <v>99500</v>
      </c>
      <c r="E646" s="188" t="s">
        <v>98</v>
      </c>
      <c r="F646" s="561">
        <v>1</v>
      </c>
      <c r="G646" s="188" t="s">
        <v>13</v>
      </c>
      <c r="H646" s="188" t="s">
        <v>539</v>
      </c>
      <c r="I646" s="562">
        <v>43405</v>
      </c>
      <c r="J646" s="562">
        <v>43418</v>
      </c>
      <c r="K646" s="6" t="str">
        <f t="shared" si="31"/>
        <v>HD BLOW MOLDING</v>
      </c>
      <c r="L646" s="14">
        <f>VLOOKUP(J646,'USD to INR'!$B$2:$G$560,6,TRUE)</f>
        <v>71.98</v>
      </c>
      <c r="M646" s="216">
        <f t="shared" si="32"/>
        <v>1382.3284245623784</v>
      </c>
      <c r="N646" s="563">
        <f t="shared" si="30"/>
        <v>43418</v>
      </c>
    </row>
    <row r="647" spans="1:14" x14ac:dyDescent="0.25">
      <c r="A647" s="188" t="s">
        <v>530</v>
      </c>
      <c r="B647" s="188" t="s">
        <v>531</v>
      </c>
      <c r="C647" s="188" t="s">
        <v>532</v>
      </c>
      <c r="D647" s="560">
        <v>94880</v>
      </c>
      <c r="E647" s="188" t="s">
        <v>98</v>
      </c>
      <c r="F647" s="561">
        <v>1</v>
      </c>
      <c r="G647" s="188" t="s">
        <v>13</v>
      </c>
      <c r="H647" s="188" t="s">
        <v>539</v>
      </c>
      <c r="I647" s="562">
        <v>43419</v>
      </c>
      <c r="J647" s="562">
        <v>43425</v>
      </c>
      <c r="K647" s="6" t="str">
        <f t="shared" si="31"/>
        <v>HD BLOW MOLDING</v>
      </c>
      <c r="L647" s="14">
        <f>VLOOKUP(J647,'USD to INR'!$B$2:$G$560,6,TRUE)</f>
        <v>70.655000000000001</v>
      </c>
      <c r="M647" s="216">
        <f t="shared" si="32"/>
        <v>1342.863208548581</v>
      </c>
      <c r="N647" s="563">
        <f t="shared" si="30"/>
        <v>43425</v>
      </c>
    </row>
    <row r="648" spans="1:14" x14ac:dyDescent="0.25">
      <c r="A648" s="188" t="s">
        <v>530</v>
      </c>
      <c r="B648" s="188" t="s">
        <v>531</v>
      </c>
      <c r="C648" s="188" t="s">
        <v>532</v>
      </c>
      <c r="D648" s="560">
        <v>88410</v>
      </c>
      <c r="E648" s="188" t="s">
        <v>98</v>
      </c>
      <c r="F648" s="561">
        <v>1</v>
      </c>
      <c r="G648" s="188" t="s">
        <v>13</v>
      </c>
      <c r="H648" s="188" t="s">
        <v>539</v>
      </c>
      <c r="I648" s="562">
        <v>43426</v>
      </c>
      <c r="J648" s="562">
        <v>43434</v>
      </c>
      <c r="K648" s="6" t="str">
        <f t="shared" si="31"/>
        <v>HD BLOW MOLDING</v>
      </c>
      <c r="L648" s="14">
        <f>VLOOKUP(J648,'USD to INR'!$B$2:$G$560,6,TRUE)</f>
        <v>69.650000000000006</v>
      </c>
      <c r="M648" s="216">
        <f t="shared" si="32"/>
        <v>1269.3467336683416</v>
      </c>
      <c r="N648" s="563">
        <f t="shared" si="30"/>
        <v>43434</v>
      </c>
    </row>
    <row r="649" spans="1:14" x14ac:dyDescent="0.25">
      <c r="A649" s="188" t="s">
        <v>530</v>
      </c>
      <c r="B649" s="188" t="s">
        <v>531</v>
      </c>
      <c r="C649" s="188" t="s">
        <v>532</v>
      </c>
      <c r="D649" s="560">
        <v>84730</v>
      </c>
      <c r="E649" s="188" t="s">
        <v>98</v>
      </c>
      <c r="F649" s="561">
        <v>1</v>
      </c>
      <c r="G649" s="188" t="s">
        <v>13</v>
      </c>
      <c r="H649" s="188" t="s">
        <v>539</v>
      </c>
      <c r="I649" s="562">
        <v>43435</v>
      </c>
      <c r="J649" s="562">
        <v>43465</v>
      </c>
      <c r="K649" s="6" t="str">
        <f t="shared" si="31"/>
        <v>HD BLOW MOLDING</v>
      </c>
      <c r="L649" s="14">
        <f>VLOOKUP(J649,'USD to INR'!$B$2:$G$560,6,TRUE)</f>
        <v>69.55</v>
      </c>
      <c r="M649" s="216">
        <f t="shared" si="32"/>
        <v>1218.2602444284687</v>
      </c>
      <c r="N649" s="563">
        <f t="shared" si="30"/>
        <v>43465</v>
      </c>
    </row>
    <row r="650" spans="1:14" x14ac:dyDescent="0.25">
      <c r="A650" s="188" t="s">
        <v>530</v>
      </c>
      <c r="B650" s="188" t="s">
        <v>531</v>
      </c>
      <c r="C650" s="188" t="s">
        <v>532</v>
      </c>
      <c r="D650" s="560">
        <v>82085</v>
      </c>
      <c r="E650" s="188" t="s">
        <v>98</v>
      </c>
      <c r="F650" s="561">
        <v>1</v>
      </c>
      <c r="G650" s="188" t="s">
        <v>13</v>
      </c>
      <c r="H650" s="188" t="s">
        <v>539</v>
      </c>
      <c r="I650" s="562">
        <v>43466</v>
      </c>
      <c r="J650" s="562">
        <v>43474</v>
      </c>
      <c r="K650" s="6" t="str">
        <f t="shared" si="31"/>
        <v>HD BLOW MOLDING</v>
      </c>
      <c r="L650" s="14">
        <f>VLOOKUP(J650,'USD to INR'!$B$2:$G$560,6,TRUE)</f>
        <v>70.399000000000001</v>
      </c>
      <c r="M650" s="216">
        <f t="shared" si="32"/>
        <v>1165.9966760891489</v>
      </c>
      <c r="N650" s="563">
        <f t="shared" si="30"/>
        <v>43474</v>
      </c>
    </row>
    <row r="651" spans="1:14" x14ac:dyDescent="0.25">
      <c r="A651" s="188" t="s">
        <v>530</v>
      </c>
      <c r="B651" s="188" t="s">
        <v>531</v>
      </c>
      <c r="C651" s="188" t="s">
        <v>532</v>
      </c>
      <c r="D651" s="560">
        <v>79315</v>
      </c>
      <c r="E651" s="188" t="s">
        <v>98</v>
      </c>
      <c r="F651" s="561">
        <v>1</v>
      </c>
      <c r="G651" s="188" t="s">
        <v>13</v>
      </c>
      <c r="H651" s="188" t="s">
        <v>539</v>
      </c>
      <c r="I651" s="562">
        <v>43475</v>
      </c>
      <c r="J651" s="562">
        <v>43496</v>
      </c>
      <c r="K651" s="6" t="str">
        <f t="shared" si="31"/>
        <v>HD BLOW MOLDING</v>
      </c>
      <c r="L651" s="14">
        <f>VLOOKUP(J651,'USD to INR'!$B$2:$G$560,6,TRUE)</f>
        <v>71.435000000000002</v>
      </c>
      <c r="M651" s="216">
        <f t="shared" si="32"/>
        <v>1110.3100720935115</v>
      </c>
      <c r="N651" s="563">
        <f t="shared" si="30"/>
        <v>43496</v>
      </c>
    </row>
    <row r="652" spans="1:14" x14ac:dyDescent="0.25">
      <c r="A652" s="188" t="s">
        <v>530</v>
      </c>
      <c r="B652" s="188" t="s">
        <v>531</v>
      </c>
      <c r="C652" s="188" t="s">
        <v>532</v>
      </c>
      <c r="D652" s="560">
        <v>79305</v>
      </c>
      <c r="E652" s="188" t="s">
        <v>98</v>
      </c>
      <c r="F652" s="561">
        <v>1</v>
      </c>
      <c r="G652" s="188" t="s">
        <v>13</v>
      </c>
      <c r="H652" s="188" t="s">
        <v>539</v>
      </c>
      <c r="I652" s="562">
        <v>43497</v>
      </c>
      <c r="J652" s="562">
        <v>43524</v>
      </c>
      <c r="K652" s="6" t="str">
        <f t="shared" si="31"/>
        <v>HD BLOW MOLDING</v>
      </c>
      <c r="L652" s="14">
        <f>VLOOKUP(J652,'USD to INR'!$B$2:$G$560,6,TRUE)</f>
        <v>71</v>
      </c>
      <c r="M652" s="216">
        <f t="shared" si="32"/>
        <v>1116.9718309859154</v>
      </c>
      <c r="N652" s="563">
        <f t="shared" si="30"/>
        <v>43524</v>
      </c>
    </row>
    <row r="653" spans="1:14" x14ac:dyDescent="0.25">
      <c r="A653" s="188" t="s">
        <v>530</v>
      </c>
      <c r="B653" s="188" t="s">
        <v>531</v>
      </c>
      <c r="C653" s="188" t="s">
        <v>532</v>
      </c>
      <c r="D653" s="560">
        <v>79305</v>
      </c>
      <c r="E653" s="188" t="s">
        <v>98</v>
      </c>
      <c r="F653" s="561">
        <v>1</v>
      </c>
      <c r="G653" s="188" t="s">
        <v>13</v>
      </c>
      <c r="H653" s="188" t="s">
        <v>539</v>
      </c>
      <c r="I653" s="562">
        <v>43525</v>
      </c>
      <c r="J653" s="562">
        <v>43555</v>
      </c>
      <c r="K653" s="6" t="str">
        <f t="shared" si="31"/>
        <v>HD BLOW MOLDING</v>
      </c>
      <c r="L653" s="14">
        <f>VLOOKUP(J653,'USD to INR'!$B$2:$G$560,6,TRUE)</f>
        <v>69.17</v>
      </c>
      <c r="M653" s="216">
        <f t="shared" si="32"/>
        <v>1146.5230591296804</v>
      </c>
      <c r="N653" s="563">
        <f t="shared" si="30"/>
        <v>43555</v>
      </c>
    </row>
    <row r="654" spans="1:14" x14ac:dyDescent="0.25">
      <c r="A654" s="188" t="s">
        <v>530</v>
      </c>
      <c r="B654" s="188" t="s">
        <v>531</v>
      </c>
      <c r="C654" s="188" t="s">
        <v>532</v>
      </c>
      <c r="D654" s="560">
        <v>79305</v>
      </c>
      <c r="E654" s="188" t="s">
        <v>98</v>
      </c>
      <c r="F654" s="561">
        <v>1</v>
      </c>
      <c r="G654" s="188" t="s">
        <v>13</v>
      </c>
      <c r="H654" s="188" t="s">
        <v>539</v>
      </c>
      <c r="I654" s="562">
        <v>43556</v>
      </c>
      <c r="J654" s="562">
        <v>43585</v>
      </c>
      <c r="K654" s="6" t="str">
        <f t="shared" si="31"/>
        <v>HD BLOW MOLDING</v>
      </c>
      <c r="L654" s="14">
        <f>VLOOKUP(J654,'USD to INR'!$B$2:$G$560,6,TRUE)</f>
        <v>69.094999999999999</v>
      </c>
      <c r="M654" s="216">
        <f t="shared" si="32"/>
        <v>1147.7675663940952</v>
      </c>
      <c r="N654" s="563">
        <f t="shared" si="30"/>
        <v>43585</v>
      </c>
    </row>
    <row r="655" spans="1:14" x14ac:dyDescent="0.25">
      <c r="A655" s="188" t="s">
        <v>530</v>
      </c>
      <c r="B655" s="188" t="s">
        <v>531</v>
      </c>
      <c r="C655" s="188" t="s">
        <v>532</v>
      </c>
      <c r="D655" s="560">
        <v>78705</v>
      </c>
      <c r="E655" s="188" t="s">
        <v>98</v>
      </c>
      <c r="F655" s="561">
        <v>1</v>
      </c>
      <c r="G655" s="188" t="s">
        <v>13</v>
      </c>
      <c r="H655" s="188" t="s">
        <v>539</v>
      </c>
      <c r="I655" s="562">
        <v>43586</v>
      </c>
      <c r="J655" s="562">
        <v>43586</v>
      </c>
      <c r="K655" s="6" t="str">
        <f t="shared" si="31"/>
        <v>HD BLOW MOLDING</v>
      </c>
      <c r="L655" s="14">
        <f>VLOOKUP(J655,'USD to INR'!$B$2:$G$560,6,TRUE)</f>
        <v>69.094999999999999</v>
      </c>
      <c r="M655" s="216">
        <f t="shared" si="32"/>
        <v>1139.0838700340112</v>
      </c>
      <c r="N655" s="563">
        <f t="shared" si="30"/>
        <v>43586</v>
      </c>
    </row>
    <row r="656" spans="1:14" x14ac:dyDescent="0.25">
      <c r="A656" s="188" t="s">
        <v>530</v>
      </c>
      <c r="B656" s="188" t="s">
        <v>531</v>
      </c>
      <c r="C656" s="188" t="s">
        <v>532</v>
      </c>
      <c r="D656" s="560">
        <v>76855</v>
      </c>
      <c r="E656" s="188" t="s">
        <v>98</v>
      </c>
      <c r="F656" s="561">
        <v>1</v>
      </c>
      <c r="G656" s="188" t="s">
        <v>13</v>
      </c>
      <c r="H656" s="188" t="s">
        <v>539</v>
      </c>
      <c r="I656" s="562">
        <v>43587</v>
      </c>
      <c r="J656" s="562">
        <v>43593</v>
      </c>
      <c r="K656" s="6" t="str">
        <f t="shared" si="31"/>
        <v>HD BLOW MOLDING</v>
      </c>
      <c r="L656" s="14">
        <f>VLOOKUP(J656,'USD to INR'!$B$2:$G$560,6,TRUE)</f>
        <v>70.015000000000001</v>
      </c>
      <c r="M656" s="216">
        <f t="shared" si="32"/>
        <v>1097.6933514246948</v>
      </c>
      <c r="N656" s="563">
        <f t="shared" si="30"/>
        <v>43593</v>
      </c>
    </row>
    <row r="657" spans="1:14" x14ac:dyDescent="0.25">
      <c r="A657" s="188" t="s">
        <v>530</v>
      </c>
      <c r="B657" s="188" t="s">
        <v>531</v>
      </c>
      <c r="C657" s="188" t="s">
        <v>532</v>
      </c>
      <c r="D657" s="560">
        <v>76855</v>
      </c>
      <c r="E657" s="188" t="s">
        <v>98</v>
      </c>
      <c r="F657" s="561">
        <v>1</v>
      </c>
      <c r="G657" s="188" t="s">
        <v>13</v>
      </c>
      <c r="H657" s="188" t="s">
        <v>539</v>
      </c>
      <c r="I657" s="562">
        <v>43594</v>
      </c>
      <c r="J657" s="562">
        <v>43600</v>
      </c>
      <c r="K657" s="6" t="str">
        <f t="shared" si="31"/>
        <v>HD BLOW MOLDING</v>
      </c>
      <c r="L657" s="14">
        <f>VLOOKUP(J657,'USD to INR'!$B$2:$G$560,6,TRUE)</f>
        <v>70.28</v>
      </c>
      <c r="M657" s="216">
        <f t="shared" si="32"/>
        <v>1093.5543540125213</v>
      </c>
      <c r="N657" s="563">
        <f t="shared" si="30"/>
        <v>43600</v>
      </c>
    </row>
    <row r="658" spans="1:14" x14ac:dyDescent="0.25">
      <c r="A658" s="188" t="s">
        <v>530</v>
      </c>
      <c r="B658" s="188" t="s">
        <v>531</v>
      </c>
      <c r="C658" s="188" t="s">
        <v>532</v>
      </c>
      <c r="D658" s="560">
        <v>75470</v>
      </c>
      <c r="E658" s="188" t="s">
        <v>98</v>
      </c>
      <c r="F658" s="561">
        <v>1</v>
      </c>
      <c r="G658" s="188" t="s">
        <v>13</v>
      </c>
      <c r="H658" s="188" t="s">
        <v>539</v>
      </c>
      <c r="I658" s="562">
        <v>43601</v>
      </c>
      <c r="J658" s="562">
        <v>43616</v>
      </c>
      <c r="K658" s="6" t="str">
        <f t="shared" si="31"/>
        <v>HD BLOW MOLDING</v>
      </c>
      <c r="L658" s="14">
        <f>VLOOKUP(J658,'USD to INR'!$B$2:$G$560,6,TRUE)</f>
        <v>69.58</v>
      </c>
      <c r="M658" s="216">
        <f t="shared" si="32"/>
        <v>1084.650761713136</v>
      </c>
      <c r="N658" s="563">
        <f t="shared" si="30"/>
        <v>43616</v>
      </c>
    </row>
    <row r="659" spans="1:14" x14ac:dyDescent="0.25">
      <c r="A659" s="188" t="s">
        <v>530</v>
      </c>
      <c r="B659" s="188" t="s">
        <v>531</v>
      </c>
      <c r="C659" s="188" t="s">
        <v>532</v>
      </c>
      <c r="D659" s="560">
        <v>73166</v>
      </c>
      <c r="E659" s="188" t="s">
        <v>98</v>
      </c>
      <c r="F659" s="561">
        <v>1</v>
      </c>
      <c r="G659" s="188" t="s">
        <v>13</v>
      </c>
      <c r="H659" s="188" t="s">
        <v>539</v>
      </c>
      <c r="I659" s="562">
        <v>43617</v>
      </c>
      <c r="J659" s="562">
        <v>43620</v>
      </c>
      <c r="K659" s="6" t="str">
        <f t="shared" si="31"/>
        <v>HD BLOW MOLDING</v>
      </c>
      <c r="L659" s="14">
        <f>VLOOKUP(J659,'USD to INR'!$B$2:$G$560,6,TRUE)</f>
        <v>69.355000000000004</v>
      </c>
      <c r="M659" s="216">
        <f t="shared" si="32"/>
        <v>1054.9491745368034</v>
      </c>
      <c r="N659" s="563">
        <f t="shared" si="30"/>
        <v>43620</v>
      </c>
    </row>
    <row r="660" spans="1:14" x14ac:dyDescent="0.25">
      <c r="A660" s="188" t="s">
        <v>530</v>
      </c>
      <c r="B660" s="188" t="s">
        <v>531</v>
      </c>
      <c r="C660" s="188" t="s">
        <v>532</v>
      </c>
      <c r="D660" s="560">
        <v>71779</v>
      </c>
      <c r="E660" s="188" t="s">
        <v>98</v>
      </c>
      <c r="F660" s="561">
        <v>1</v>
      </c>
      <c r="G660" s="188" t="s">
        <v>13</v>
      </c>
      <c r="H660" s="188" t="s">
        <v>539</v>
      </c>
      <c r="I660" s="562">
        <v>43621</v>
      </c>
      <c r="J660" s="562">
        <v>43628</v>
      </c>
      <c r="K660" s="6" t="str">
        <f t="shared" si="31"/>
        <v>HD BLOW MOLDING</v>
      </c>
      <c r="L660" s="14">
        <f>VLOOKUP(J660,'USD to INR'!$B$2:$G$560,6,TRUE)</f>
        <v>69.832999999999998</v>
      </c>
      <c r="M660" s="216">
        <f t="shared" si="32"/>
        <v>1027.8664814629187</v>
      </c>
      <c r="N660" s="563">
        <f t="shared" si="30"/>
        <v>43628</v>
      </c>
    </row>
    <row r="661" spans="1:14" x14ac:dyDescent="0.25">
      <c r="A661" s="188" t="s">
        <v>530</v>
      </c>
      <c r="B661" s="188" t="s">
        <v>531</v>
      </c>
      <c r="C661" s="188" t="s">
        <v>532</v>
      </c>
      <c r="D661" s="560">
        <v>69927</v>
      </c>
      <c r="E661" s="188" t="s">
        <v>98</v>
      </c>
      <c r="F661" s="561">
        <v>1</v>
      </c>
      <c r="G661" s="188" t="s">
        <v>13</v>
      </c>
      <c r="H661" s="188" t="s">
        <v>539</v>
      </c>
      <c r="I661" s="562">
        <v>43629</v>
      </c>
      <c r="J661" s="562">
        <v>43646</v>
      </c>
      <c r="K661" s="6" t="str">
        <f t="shared" si="31"/>
        <v>HD BLOW MOLDING</v>
      </c>
      <c r="L661" s="14">
        <f>VLOOKUP(J661,'USD to INR'!$B$2:$G$560,6,TRUE)</f>
        <v>68.45</v>
      </c>
      <c r="M661" s="216">
        <f t="shared" si="32"/>
        <v>1021.5777940102264</v>
      </c>
      <c r="N661" s="563">
        <f t="shared" si="30"/>
        <v>43646</v>
      </c>
    </row>
    <row r="662" spans="1:14" x14ac:dyDescent="0.25">
      <c r="A662" s="188" t="s">
        <v>530</v>
      </c>
      <c r="B662" s="188" t="s">
        <v>531</v>
      </c>
      <c r="C662" s="188" t="s">
        <v>532</v>
      </c>
      <c r="D662" s="560">
        <v>69865</v>
      </c>
      <c r="E662" s="188" t="s">
        <v>98</v>
      </c>
      <c r="F662" s="561">
        <v>1</v>
      </c>
      <c r="G662" s="188" t="s">
        <v>13</v>
      </c>
      <c r="H662" s="188" t="s">
        <v>539</v>
      </c>
      <c r="I662" s="562">
        <v>43647</v>
      </c>
      <c r="J662" s="562">
        <v>43677</v>
      </c>
      <c r="K662" s="6" t="str">
        <f t="shared" si="31"/>
        <v>HD BLOW MOLDING</v>
      </c>
      <c r="L662" s="14">
        <f>VLOOKUP(J662,'USD to INR'!$B$2:$G$560,6,TRUE)</f>
        <v>69.7</v>
      </c>
      <c r="M662" s="216">
        <f t="shared" si="32"/>
        <v>1002.3672883787661</v>
      </c>
      <c r="N662" s="563">
        <f t="shared" si="30"/>
        <v>43677</v>
      </c>
    </row>
    <row r="663" spans="1:14" x14ac:dyDescent="0.25">
      <c r="A663" s="188" t="s">
        <v>530</v>
      </c>
      <c r="B663" s="188" t="s">
        <v>531</v>
      </c>
      <c r="C663" s="188" t="s">
        <v>532</v>
      </c>
      <c r="D663" s="560">
        <v>69865</v>
      </c>
      <c r="E663" s="188" t="s">
        <v>98</v>
      </c>
      <c r="F663" s="561">
        <v>1</v>
      </c>
      <c r="G663" s="188" t="s">
        <v>13</v>
      </c>
      <c r="H663" s="188" t="s">
        <v>539</v>
      </c>
      <c r="I663" s="562">
        <v>43678</v>
      </c>
      <c r="J663" s="562">
        <v>43684</v>
      </c>
      <c r="K663" s="6" t="str">
        <f t="shared" si="31"/>
        <v>HD BLOW MOLDING</v>
      </c>
      <c r="L663" s="14">
        <f>VLOOKUP(J663,'USD to INR'!$B$2:$G$560,6,TRUE)</f>
        <v>70.924000000000007</v>
      </c>
      <c r="M663" s="216">
        <f t="shared" si="32"/>
        <v>985.0685240539168</v>
      </c>
      <c r="N663" s="563">
        <f t="shared" si="30"/>
        <v>43684</v>
      </c>
    </row>
    <row r="664" spans="1:14" x14ac:dyDescent="0.25">
      <c r="A664" s="188" t="s">
        <v>530</v>
      </c>
      <c r="B664" s="188" t="s">
        <v>531</v>
      </c>
      <c r="C664" s="188" t="s">
        <v>532</v>
      </c>
      <c r="D664" s="560">
        <v>71251</v>
      </c>
      <c r="E664" s="188" t="s">
        <v>98</v>
      </c>
      <c r="F664" s="561">
        <v>1</v>
      </c>
      <c r="G664" s="188" t="s">
        <v>13</v>
      </c>
      <c r="H664" s="188" t="s">
        <v>539</v>
      </c>
      <c r="I664" s="562">
        <v>43685</v>
      </c>
      <c r="J664" s="562">
        <v>43708</v>
      </c>
      <c r="K664" s="6" t="str">
        <f t="shared" si="31"/>
        <v>HD BLOW MOLDING</v>
      </c>
      <c r="L664" s="14">
        <f>VLOOKUP(J664,'USD to INR'!$B$2:$G$560,6,TRUE)</f>
        <v>71.453000000000003</v>
      </c>
      <c r="M664" s="216">
        <f t="shared" si="32"/>
        <v>997.17296684533881</v>
      </c>
      <c r="N664" s="563">
        <f t="shared" si="30"/>
        <v>43708</v>
      </c>
    </row>
    <row r="665" spans="1:14" x14ac:dyDescent="0.25">
      <c r="A665" s="188" t="s">
        <v>530</v>
      </c>
      <c r="B665" s="188" t="s">
        <v>531</v>
      </c>
      <c r="C665" s="188" t="s">
        <v>532</v>
      </c>
      <c r="D665" s="560">
        <v>71255</v>
      </c>
      <c r="E665" s="188" t="s">
        <v>98</v>
      </c>
      <c r="F665" s="561">
        <v>1</v>
      </c>
      <c r="G665" s="188" t="s">
        <v>13</v>
      </c>
      <c r="H665" s="188" t="s">
        <v>539</v>
      </c>
      <c r="I665" s="562">
        <v>43709</v>
      </c>
      <c r="J665" s="562">
        <v>43719</v>
      </c>
      <c r="K665" s="6" t="str">
        <f t="shared" si="31"/>
        <v>HD BLOW MOLDING</v>
      </c>
      <c r="L665" s="14">
        <f>VLOOKUP(J665,'USD to INR'!$B$2:$G$560,6,TRUE)</f>
        <v>70.984999999999999</v>
      </c>
      <c r="M665" s="216">
        <f t="shared" si="32"/>
        <v>1003.8036204832007</v>
      </c>
      <c r="N665" s="563">
        <f t="shared" si="30"/>
        <v>43719</v>
      </c>
    </row>
    <row r="666" spans="1:14" x14ac:dyDescent="0.25">
      <c r="A666" s="188" t="s">
        <v>530</v>
      </c>
      <c r="B666" s="188" t="s">
        <v>531</v>
      </c>
      <c r="C666" s="188" t="s">
        <v>532</v>
      </c>
      <c r="D666" s="560">
        <v>68484</v>
      </c>
      <c r="E666" s="188" t="s">
        <v>98</v>
      </c>
      <c r="F666" s="561">
        <v>1</v>
      </c>
      <c r="G666" s="188" t="s">
        <v>13</v>
      </c>
      <c r="H666" s="188" t="s">
        <v>539</v>
      </c>
      <c r="I666" s="562">
        <v>43720</v>
      </c>
      <c r="J666" s="562">
        <v>43726</v>
      </c>
      <c r="K666" s="6" t="str">
        <f t="shared" si="31"/>
        <v>HD BLOW MOLDING</v>
      </c>
      <c r="L666" s="14">
        <f>VLOOKUP(J666,'USD to INR'!$B$2:$G$560,6,TRUE)</f>
        <v>71.075000000000003</v>
      </c>
      <c r="M666" s="216">
        <f t="shared" si="32"/>
        <v>963.54555047485042</v>
      </c>
      <c r="N666" s="563">
        <f t="shared" si="30"/>
        <v>43726</v>
      </c>
    </row>
    <row r="667" spans="1:14" x14ac:dyDescent="0.25">
      <c r="A667" s="188" t="s">
        <v>530</v>
      </c>
      <c r="B667" s="188" t="s">
        <v>531</v>
      </c>
      <c r="C667" s="188" t="s">
        <v>532</v>
      </c>
      <c r="D667" s="560">
        <v>69399</v>
      </c>
      <c r="E667" s="188" t="s">
        <v>98</v>
      </c>
      <c r="F667" s="561">
        <v>1</v>
      </c>
      <c r="G667" s="188" t="s">
        <v>13</v>
      </c>
      <c r="H667" s="188" t="s">
        <v>539</v>
      </c>
      <c r="I667" s="562">
        <v>43727</v>
      </c>
      <c r="J667" s="562">
        <v>43738</v>
      </c>
      <c r="K667" s="6" t="str">
        <f t="shared" si="31"/>
        <v>HD BLOW MOLDING</v>
      </c>
      <c r="L667" s="14">
        <f>VLOOKUP(J667,'USD to INR'!$B$2:$G$560,6,TRUE)</f>
        <v>70.825000000000003</v>
      </c>
      <c r="M667" s="216">
        <f t="shared" si="32"/>
        <v>979.86586657253793</v>
      </c>
      <c r="N667" s="563">
        <f t="shared" si="30"/>
        <v>43738</v>
      </c>
    </row>
    <row r="668" spans="1:14" x14ac:dyDescent="0.25">
      <c r="A668" s="188" t="s">
        <v>530</v>
      </c>
      <c r="B668" s="188" t="s">
        <v>531</v>
      </c>
      <c r="C668" s="188" t="s">
        <v>532</v>
      </c>
      <c r="D668" s="560">
        <v>70320</v>
      </c>
      <c r="E668" s="188" t="s">
        <v>98</v>
      </c>
      <c r="F668" s="561">
        <v>1</v>
      </c>
      <c r="G668" s="188" t="s">
        <v>13</v>
      </c>
      <c r="H668" s="188" t="s">
        <v>539</v>
      </c>
      <c r="I668" s="562">
        <v>43739</v>
      </c>
      <c r="J668" s="562">
        <v>43747</v>
      </c>
      <c r="K668" s="6" t="str">
        <f t="shared" si="31"/>
        <v>HD BLOW MOLDING</v>
      </c>
      <c r="L668" s="14">
        <f>VLOOKUP(J668,'USD to INR'!$B$2:$G$560,6,TRUE)</f>
        <v>70.924000000000007</v>
      </c>
      <c r="M668" s="216">
        <f t="shared" si="32"/>
        <v>991.48384185889108</v>
      </c>
      <c r="N668" s="563">
        <f t="shared" si="30"/>
        <v>43747</v>
      </c>
    </row>
    <row r="669" spans="1:14" x14ac:dyDescent="0.25">
      <c r="A669" s="188" t="s">
        <v>530</v>
      </c>
      <c r="B669" s="188" t="s">
        <v>531</v>
      </c>
      <c r="C669" s="188" t="s">
        <v>532</v>
      </c>
      <c r="D669" s="560">
        <v>68470</v>
      </c>
      <c r="E669" s="188" t="s">
        <v>98</v>
      </c>
      <c r="F669" s="561">
        <v>1</v>
      </c>
      <c r="G669" s="188" t="s">
        <v>13</v>
      </c>
      <c r="H669" s="188" t="s">
        <v>539</v>
      </c>
      <c r="I669" s="562">
        <v>43748</v>
      </c>
      <c r="J669" s="562">
        <v>43754</v>
      </c>
      <c r="K669" s="6" t="str">
        <f t="shared" si="31"/>
        <v>HD BLOW MOLDING</v>
      </c>
      <c r="L669" s="14">
        <f>VLOOKUP(J669,'USD to INR'!$B$2:$G$560,6,TRUE)</f>
        <v>71.09</v>
      </c>
      <c r="M669" s="216">
        <f t="shared" si="32"/>
        <v>963.14530876353911</v>
      </c>
      <c r="N669" s="563">
        <f t="shared" si="30"/>
        <v>43754</v>
      </c>
    </row>
    <row r="670" spans="1:14" x14ac:dyDescent="0.25">
      <c r="A670" s="188" t="s">
        <v>530</v>
      </c>
      <c r="B670" s="188" t="s">
        <v>531</v>
      </c>
      <c r="C670" s="188" t="s">
        <v>532</v>
      </c>
      <c r="D670" s="560">
        <v>67090</v>
      </c>
      <c r="E670" s="188" t="s">
        <v>98</v>
      </c>
      <c r="F670" s="561">
        <v>1</v>
      </c>
      <c r="G670" s="188" t="s">
        <v>13</v>
      </c>
      <c r="H670" s="188" t="s">
        <v>539</v>
      </c>
      <c r="I670" s="562">
        <v>43755</v>
      </c>
      <c r="J670" s="562">
        <v>43769</v>
      </c>
      <c r="K670" s="6" t="str">
        <f t="shared" si="31"/>
        <v>HD BLOW MOLDING</v>
      </c>
      <c r="L670" s="14">
        <f>VLOOKUP(J670,'USD to INR'!$B$2:$G$560,6,TRUE)</f>
        <v>70.760000000000005</v>
      </c>
      <c r="M670" s="216">
        <f t="shared" si="32"/>
        <v>948.13453928773311</v>
      </c>
      <c r="N670" s="563">
        <f t="shared" si="30"/>
        <v>43769</v>
      </c>
    </row>
    <row r="671" spans="1:14" x14ac:dyDescent="0.25">
      <c r="A671" s="188" t="s">
        <v>530</v>
      </c>
      <c r="B671" s="188" t="s">
        <v>531</v>
      </c>
      <c r="C671" s="188" t="s">
        <v>532</v>
      </c>
      <c r="D671" s="560">
        <v>66170</v>
      </c>
      <c r="E671" s="188" t="s">
        <v>98</v>
      </c>
      <c r="F671" s="561">
        <v>1</v>
      </c>
      <c r="G671" s="188" t="s">
        <v>13</v>
      </c>
      <c r="H671" s="188" t="s">
        <v>539</v>
      </c>
      <c r="I671" s="562">
        <v>43770</v>
      </c>
      <c r="J671" s="562">
        <v>43789</v>
      </c>
      <c r="K671" s="6" t="str">
        <f t="shared" si="31"/>
        <v>HD BLOW MOLDING</v>
      </c>
      <c r="L671" s="14">
        <f>VLOOKUP(J671,'USD to INR'!$B$2:$G$560,6,TRUE)</f>
        <v>71.792000000000002</v>
      </c>
      <c r="M671" s="216">
        <f t="shared" si="32"/>
        <v>921.69043904613329</v>
      </c>
      <c r="N671" s="563">
        <f t="shared" si="30"/>
        <v>43789</v>
      </c>
    </row>
    <row r="672" spans="1:14" x14ac:dyDescent="0.25">
      <c r="A672" s="188" t="s">
        <v>530</v>
      </c>
      <c r="B672" s="188" t="s">
        <v>531</v>
      </c>
      <c r="C672" s="188" t="s">
        <v>532</v>
      </c>
      <c r="D672" s="560">
        <v>65240</v>
      </c>
      <c r="E672" s="188" t="s">
        <v>98</v>
      </c>
      <c r="F672" s="561">
        <v>1</v>
      </c>
      <c r="G672" s="188" t="s">
        <v>13</v>
      </c>
      <c r="H672" s="188" t="s">
        <v>539</v>
      </c>
      <c r="I672" s="562">
        <v>43790</v>
      </c>
      <c r="J672" s="562">
        <v>43799</v>
      </c>
      <c r="K672" s="6" t="str">
        <f t="shared" si="31"/>
        <v>HD BLOW MOLDING</v>
      </c>
      <c r="L672" s="14">
        <f>VLOOKUP(J672,'USD to INR'!$B$2:$G$560,6,TRUE)</f>
        <v>71.748999999999995</v>
      </c>
      <c r="M672" s="216">
        <f t="shared" si="32"/>
        <v>909.28096558837058</v>
      </c>
      <c r="N672" s="563">
        <f t="shared" si="30"/>
        <v>43799</v>
      </c>
    </row>
    <row r="673" spans="1:14" x14ac:dyDescent="0.25">
      <c r="A673" s="188" t="s">
        <v>530</v>
      </c>
      <c r="B673" s="188" t="s">
        <v>531</v>
      </c>
      <c r="C673" s="188" t="s">
        <v>532</v>
      </c>
      <c r="D673" s="560">
        <v>65250</v>
      </c>
      <c r="E673" s="188" t="s">
        <v>98</v>
      </c>
      <c r="F673" s="561">
        <v>1</v>
      </c>
      <c r="G673" s="188" t="s">
        <v>13</v>
      </c>
      <c r="H673" s="188" t="s">
        <v>539</v>
      </c>
      <c r="I673" s="562">
        <v>43800</v>
      </c>
      <c r="J673" s="562">
        <v>43830</v>
      </c>
      <c r="K673" s="6" t="str">
        <f t="shared" si="31"/>
        <v>HD BLOW MOLDING</v>
      </c>
      <c r="L673" s="14">
        <f>VLOOKUP(J673,'USD to INR'!$B$2:$G$560,6,TRUE)</f>
        <v>71.77</v>
      </c>
      <c r="M673" s="216">
        <f t="shared" si="32"/>
        <v>909.15424271979941</v>
      </c>
      <c r="N673" s="563">
        <f t="shared" si="30"/>
        <v>43830</v>
      </c>
    </row>
    <row r="674" spans="1:14" x14ac:dyDescent="0.25">
      <c r="A674" s="188" t="s">
        <v>530</v>
      </c>
      <c r="B674" s="188" t="s">
        <v>531</v>
      </c>
      <c r="C674" s="188" t="s">
        <v>532</v>
      </c>
      <c r="D674" s="560">
        <v>66170</v>
      </c>
      <c r="E674" s="188" t="s">
        <v>98</v>
      </c>
      <c r="F674" s="561">
        <v>1</v>
      </c>
      <c r="G674" s="188" t="s">
        <v>13</v>
      </c>
      <c r="H674" s="188" t="s">
        <v>539</v>
      </c>
      <c r="I674" s="562">
        <v>43831</v>
      </c>
      <c r="J674" s="562">
        <v>43838</v>
      </c>
      <c r="K674" s="6" t="str">
        <f t="shared" si="31"/>
        <v>HD BLOW MOLDING</v>
      </c>
      <c r="L674" s="14">
        <f>VLOOKUP(J674,'USD to INR'!$B$2:$G$560,6,TRUE)</f>
        <v>70.959999999999994</v>
      </c>
      <c r="M674" s="216">
        <f t="shared" si="32"/>
        <v>932.49718151071033</v>
      </c>
      <c r="N674" s="563">
        <f t="shared" si="30"/>
        <v>43838</v>
      </c>
    </row>
    <row r="675" spans="1:14" x14ac:dyDescent="0.25">
      <c r="A675" s="188" t="s">
        <v>530</v>
      </c>
      <c r="B675" s="188" t="s">
        <v>531</v>
      </c>
      <c r="C675" s="188" t="s">
        <v>532</v>
      </c>
      <c r="D675" s="560">
        <v>67090</v>
      </c>
      <c r="E675" s="188" t="s">
        <v>98</v>
      </c>
      <c r="F675" s="561">
        <v>1</v>
      </c>
      <c r="G675" s="188" t="s">
        <v>13</v>
      </c>
      <c r="H675" s="188" t="s">
        <v>539</v>
      </c>
      <c r="I675" s="562">
        <v>43839</v>
      </c>
      <c r="J675" s="562">
        <v>43861</v>
      </c>
      <c r="K675" s="6" t="str">
        <f t="shared" si="31"/>
        <v>HD BLOW MOLDING</v>
      </c>
      <c r="L675" s="14">
        <f>VLOOKUP(J675,'USD to INR'!$B$2:$G$560,6,TRUE)</f>
        <v>71.555000000000007</v>
      </c>
      <c r="M675" s="216">
        <f t="shared" si="32"/>
        <v>937.60044720844098</v>
      </c>
      <c r="N675" s="563">
        <f t="shared" si="30"/>
        <v>43861</v>
      </c>
    </row>
    <row r="676" spans="1:14" x14ac:dyDescent="0.25">
      <c r="A676" s="188" t="s">
        <v>530</v>
      </c>
      <c r="B676" s="188" t="s">
        <v>531</v>
      </c>
      <c r="C676" s="188" t="s">
        <v>532</v>
      </c>
      <c r="D676" s="560">
        <v>67090</v>
      </c>
      <c r="E676" s="188" t="s">
        <v>98</v>
      </c>
      <c r="F676" s="561">
        <v>1</v>
      </c>
      <c r="G676" s="188" t="s">
        <v>13</v>
      </c>
      <c r="H676" s="188" t="s">
        <v>539</v>
      </c>
      <c r="I676" s="562">
        <v>43862</v>
      </c>
      <c r="J676" s="562">
        <v>43880</v>
      </c>
      <c r="K676" s="6" t="str">
        <f t="shared" si="31"/>
        <v>HD BLOW MOLDING</v>
      </c>
      <c r="L676" s="14">
        <f>VLOOKUP(J676,'USD to INR'!$B$2:$G$560,6,TRUE)</f>
        <v>71.88</v>
      </c>
      <c r="M676" s="216">
        <f t="shared" si="32"/>
        <v>933.36115748469683</v>
      </c>
      <c r="N676" s="563">
        <f t="shared" si="30"/>
        <v>43880</v>
      </c>
    </row>
    <row r="677" spans="1:14" x14ac:dyDescent="0.25">
      <c r="A677" s="188" t="s">
        <v>530</v>
      </c>
      <c r="B677" s="188" t="s">
        <v>531</v>
      </c>
      <c r="C677" s="188" t="s">
        <v>532</v>
      </c>
      <c r="D677" s="560">
        <v>67090</v>
      </c>
      <c r="E677" s="188" t="s">
        <v>98</v>
      </c>
      <c r="F677" s="561">
        <v>1</v>
      </c>
      <c r="G677" s="188" t="s">
        <v>13</v>
      </c>
      <c r="H677" s="188" t="s">
        <v>539</v>
      </c>
      <c r="I677" s="562">
        <v>43881</v>
      </c>
      <c r="J677" s="562">
        <v>43890</v>
      </c>
      <c r="K677" s="6" t="str">
        <f t="shared" si="31"/>
        <v>HD BLOW MOLDING</v>
      </c>
      <c r="L677" s="14">
        <f>VLOOKUP(J677,'USD to INR'!$B$2:$G$560,6,TRUE)</f>
        <v>72.539000000000001</v>
      </c>
      <c r="M677" s="216">
        <f t="shared" si="32"/>
        <v>924.88178772798074</v>
      </c>
      <c r="N677" s="563">
        <f t="shared" si="30"/>
        <v>43890</v>
      </c>
    </row>
    <row r="678" spans="1:14" x14ac:dyDescent="0.25">
      <c r="A678" s="188" t="s">
        <v>530</v>
      </c>
      <c r="B678" s="188" t="s">
        <v>531</v>
      </c>
      <c r="C678" s="188" t="s">
        <v>532</v>
      </c>
      <c r="D678" s="560">
        <v>67100</v>
      </c>
      <c r="E678" s="188" t="s">
        <v>98</v>
      </c>
      <c r="F678" s="561">
        <v>1</v>
      </c>
      <c r="G678" s="188" t="s">
        <v>13</v>
      </c>
      <c r="H678" s="188" t="s">
        <v>539</v>
      </c>
      <c r="I678" s="562">
        <v>43891</v>
      </c>
      <c r="J678" s="562">
        <v>43921</v>
      </c>
      <c r="K678" s="6" t="str">
        <f t="shared" si="31"/>
        <v>HD BLOW MOLDING</v>
      </c>
      <c r="L678" s="14">
        <f>VLOOKUP(J678,'USD to INR'!$B$2:$G$560,6,TRUE)</f>
        <v>76.241</v>
      </c>
      <c r="M678" s="216">
        <f t="shared" si="32"/>
        <v>880.10388111383634</v>
      </c>
      <c r="N678" s="563">
        <f t="shared" si="30"/>
        <v>43921</v>
      </c>
    </row>
    <row r="679" spans="1:14" x14ac:dyDescent="0.25">
      <c r="A679" s="188" t="s">
        <v>530</v>
      </c>
      <c r="B679" s="188" t="s">
        <v>531</v>
      </c>
      <c r="C679" s="188" t="s">
        <v>532</v>
      </c>
      <c r="D679" s="560">
        <v>66190</v>
      </c>
      <c r="E679" s="188" t="s">
        <v>98</v>
      </c>
      <c r="F679" s="561">
        <v>1</v>
      </c>
      <c r="G679" s="188" t="s">
        <v>13</v>
      </c>
      <c r="H679" s="188" t="s">
        <v>539</v>
      </c>
      <c r="I679" s="562">
        <v>43922</v>
      </c>
      <c r="J679" s="562">
        <v>43930</v>
      </c>
      <c r="K679" s="6" t="str">
        <f t="shared" si="31"/>
        <v>HD BLOW MOLDING</v>
      </c>
      <c r="L679" s="14">
        <f>VLOOKUP(J679,'USD to INR'!$B$2:$G$560,6,TRUE)</f>
        <v>75.879000000000005</v>
      </c>
      <c r="M679" s="216">
        <f t="shared" si="32"/>
        <v>872.30986175358134</v>
      </c>
      <c r="N679" s="563">
        <f t="shared" si="30"/>
        <v>43930</v>
      </c>
    </row>
    <row r="680" spans="1:14" x14ac:dyDescent="0.25">
      <c r="A680" s="188" t="s">
        <v>530</v>
      </c>
      <c r="B680" s="188" t="s">
        <v>531</v>
      </c>
      <c r="C680" s="188" t="s">
        <v>532</v>
      </c>
      <c r="D680" s="560">
        <v>63420</v>
      </c>
      <c r="E680" s="188" t="s">
        <v>98</v>
      </c>
      <c r="F680" s="561">
        <v>1</v>
      </c>
      <c r="G680" s="188" t="s">
        <v>13</v>
      </c>
      <c r="H680" s="188" t="s">
        <v>539</v>
      </c>
      <c r="I680" s="562">
        <v>43931</v>
      </c>
      <c r="J680" s="562">
        <v>43951</v>
      </c>
      <c r="K680" s="6" t="str">
        <f t="shared" si="31"/>
        <v>HD BLOW MOLDING</v>
      </c>
      <c r="L680" s="14">
        <f>VLOOKUP(J680,'USD to INR'!$B$2:$G$560,6,TRUE)</f>
        <v>75.748999999999995</v>
      </c>
      <c r="M680" s="216">
        <f t="shared" si="32"/>
        <v>837.23877542937862</v>
      </c>
      <c r="N680" s="563">
        <f t="shared" si="30"/>
        <v>43951</v>
      </c>
    </row>
    <row r="681" spans="1:14" x14ac:dyDescent="0.25">
      <c r="A681" s="188" t="s">
        <v>530</v>
      </c>
      <c r="B681" s="188" t="s">
        <v>531</v>
      </c>
      <c r="C681" s="188" t="s">
        <v>532</v>
      </c>
      <c r="D681" s="560">
        <v>60650</v>
      </c>
      <c r="E681" s="188" t="s">
        <v>98</v>
      </c>
      <c r="F681" s="561">
        <v>1</v>
      </c>
      <c r="G681" s="188" t="s">
        <v>13</v>
      </c>
      <c r="H681" s="188" t="s">
        <v>539</v>
      </c>
      <c r="I681" s="562">
        <v>43952</v>
      </c>
      <c r="J681" s="562">
        <v>43971</v>
      </c>
      <c r="K681" s="6" t="str">
        <f t="shared" si="31"/>
        <v>HD BLOW MOLDING</v>
      </c>
      <c r="L681" s="14">
        <f>VLOOKUP(J681,'USD to INR'!$B$2:$G$560,6,TRUE)</f>
        <v>75.95</v>
      </c>
      <c r="M681" s="216">
        <f t="shared" si="32"/>
        <v>798.55167873601056</v>
      </c>
      <c r="N681" s="563">
        <f t="shared" si="30"/>
        <v>43971</v>
      </c>
    </row>
    <row r="682" spans="1:14" x14ac:dyDescent="0.25">
      <c r="A682" s="188" t="s">
        <v>530</v>
      </c>
      <c r="B682" s="188" t="s">
        <v>531</v>
      </c>
      <c r="C682" s="188" t="s">
        <v>532</v>
      </c>
      <c r="D682" s="560">
        <v>61580</v>
      </c>
      <c r="E682" s="188" t="s">
        <v>98</v>
      </c>
      <c r="F682" s="561">
        <v>1</v>
      </c>
      <c r="G682" s="188" t="s">
        <v>13</v>
      </c>
      <c r="H682" s="188" t="s">
        <v>539</v>
      </c>
      <c r="I682" s="562">
        <v>43972</v>
      </c>
      <c r="J682" s="562">
        <v>43982</v>
      </c>
      <c r="K682" s="6" t="str">
        <f t="shared" si="31"/>
        <v>HD BLOW MOLDING</v>
      </c>
      <c r="L682" s="14">
        <f>VLOOKUP(J682,'USD to INR'!$B$2:$G$560,6,TRUE)</f>
        <v>75.56</v>
      </c>
      <c r="M682" s="216">
        <f t="shared" si="32"/>
        <v>814.98147167813659</v>
      </c>
      <c r="N682" s="563">
        <f t="shared" si="30"/>
        <v>43982</v>
      </c>
    </row>
    <row r="683" spans="1:14" x14ac:dyDescent="0.25">
      <c r="A683" s="188" t="s">
        <v>530</v>
      </c>
      <c r="B683" s="188" t="s">
        <v>531</v>
      </c>
      <c r="C683" s="188" t="s">
        <v>532</v>
      </c>
      <c r="D683" s="560">
        <v>62510</v>
      </c>
      <c r="E683" s="188" t="s">
        <v>98</v>
      </c>
      <c r="F683" s="561">
        <v>1</v>
      </c>
      <c r="G683" s="188" t="s">
        <v>13</v>
      </c>
      <c r="H683" s="188" t="s">
        <v>539</v>
      </c>
      <c r="I683" s="562">
        <v>43983</v>
      </c>
      <c r="J683" s="562">
        <v>43992</v>
      </c>
      <c r="K683" s="6" t="str">
        <f t="shared" si="31"/>
        <v>HD BLOW MOLDING</v>
      </c>
      <c r="L683" s="14">
        <f>VLOOKUP(J683,'USD to INR'!$B$2:$G$560,6,TRUE)</f>
        <v>76.05</v>
      </c>
      <c r="M683" s="216">
        <f t="shared" si="32"/>
        <v>821.95923734385281</v>
      </c>
      <c r="N683" s="563">
        <f t="shared" si="30"/>
        <v>43992</v>
      </c>
    </row>
    <row r="684" spans="1:14" x14ac:dyDescent="0.25">
      <c r="A684" s="188" t="s">
        <v>530</v>
      </c>
      <c r="B684" s="188" t="s">
        <v>531</v>
      </c>
      <c r="C684" s="188" t="s">
        <v>532</v>
      </c>
      <c r="D684" s="560">
        <v>64360</v>
      </c>
      <c r="E684" s="188" t="s">
        <v>98</v>
      </c>
      <c r="F684" s="561">
        <v>1</v>
      </c>
      <c r="G684" s="188" t="s">
        <v>13</v>
      </c>
      <c r="H684" s="188" t="s">
        <v>539</v>
      </c>
      <c r="I684" s="562">
        <v>43993</v>
      </c>
      <c r="J684" s="562">
        <v>43999</v>
      </c>
      <c r="K684" s="6" t="str">
        <f t="shared" si="31"/>
        <v>HD BLOW MOLDING</v>
      </c>
      <c r="L684" s="14">
        <f>VLOOKUP(J684,'USD to INR'!$B$2:$G$560,6,TRUE)</f>
        <v>76.260000000000005</v>
      </c>
      <c r="M684" s="216">
        <f t="shared" si="32"/>
        <v>843.95489116181477</v>
      </c>
      <c r="N684" s="563">
        <f t="shared" si="30"/>
        <v>43999</v>
      </c>
    </row>
    <row r="685" spans="1:14" x14ac:dyDescent="0.25">
      <c r="A685" s="188" t="s">
        <v>530</v>
      </c>
      <c r="B685" s="188" t="s">
        <v>531</v>
      </c>
      <c r="C685" s="188" t="s">
        <v>532</v>
      </c>
      <c r="D685" s="560">
        <v>65750</v>
      </c>
      <c r="E685" s="188" t="s">
        <v>98</v>
      </c>
      <c r="F685" s="561">
        <v>1</v>
      </c>
      <c r="G685" s="188" t="s">
        <v>13</v>
      </c>
      <c r="H685" s="188" t="s">
        <v>539</v>
      </c>
      <c r="I685" s="562">
        <v>44000</v>
      </c>
      <c r="J685" s="562">
        <v>44012</v>
      </c>
      <c r="K685" s="6" t="str">
        <f t="shared" si="31"/>
        <v>HD BLOW MOLDING</v>
      </c>
      <c r="L685" s="14">
        <f>VLOOKUP(J685,'USD to INR'!$B$2:$G$560,6,TRUE)</f>
        <v>74.635999999999996</v>
      </c>
      <c r="M685" s="216">
        <f t="shared" si="32"/>
        <v>880.94217267806425</v>
      </c>
      <c r="N685" s="563">
        <f t="shared" si="30"/>
        <v>44012</v>
      </c>
    </row>
    <row r="686" spans="1:14" x14ac:dyDescent="0.25">
      <c r="A686" s="188" t="s">
        <v>530</v>
      </c>
      <c r="B686" s="188" t="s">
        <v>531</v>
      </c>
      <c r="C686" s="188" t="s">
        <v>532</v>
      </c>
      <c r="D686" s="560">
        <v>67110</v>
      </c>
      <c r="E686" s="188" t="s">
        <v>98</v>
      </c>
      <c r="F686" s="561">
        <v>1</v>
      </c>
      <c r="G686" s="188" t="s">
        <v>13</v>
      </c>
      <c r="H686" s="188" t="s">
        <v>539</v>
      </c>
      <c r="I686" s="562">
        <v>44013</v>
      </c>
      <c r="J686" s="562">
        <v>44027</v>
      </c>
      <c r="K686" s="6" t="str">
        <f t="shared" si="31"/>
        <v>HD BLOW MOLDING</v>
      </c>
      <c r="L686" s="14">
        <f>VLOOKUP(J686,'USD to INR'!$B$2:$G$560,6,TRUE)</f>
        <v>74.897000000000006</v>
      </c>
      <c r="M686" s="216">
        <f t="shared" si="32"/>
        <v>896.03054862010492</v>
      </c>
      <c r="N686" s="563">
        <f t="shared" si="30"/>
        <v>44027</v>
      </c>
    </row>
    <row r="687" spans="1:14" x14ac:dyDescent="0.25">
      <c r="A687" s="188" t="s">
        <v>530</v>
      </c>
      <c r="B687" s="188" t="s">
        <v>531</v>
      </c>
      <c r="C687" s="188" t="s">
        <v>532</v>
      </c>
      <c r="D687" s="560">
        <v>69890</v>
      </c>
      <c r="E687" s="188" t="s">
        <v>98</v>
      </c>
      <c r="F687" s="561">
        <v>1</v>
      </c>
      <c r="G687" s="188" t="s">
        <v>13</v>
      </c>
      <c r="H687" s="188" t="s">
        <v>539</v>
      </c>
      <c r="I687" s="562">
        <v>44028</v>
      </c>
      <c r="J687" s="562">
        <v>44034</v>
      </c>
      <c r="K687" s="6" t="str">
        <f t="shared" si="31"/>
        <v>HD BLOW MOLDING</v>
      </c>
      <c r="L687" s="14">
        <f>VLOOKUP(J687,'USD to INR'!$B$2:$G$560,6,TRUE)</f>
        <v>74.760000000000005</v>
      </c>
      <c r="M687" s="216">
        <f t="shared" si="32"/>
        <v>934.85821294810057</v>
      </c>
      <c r="N687" s="563">
        <f t="shared" si="30"/>
        <v>44034</v>
      </c>
    </row>
    <row r="688" spans="1:14" x14ac:dyDescent="0.25">
      <c r="A688" s="188" t="s">
        <v>530</v>
      </c>
      <c r="B688" s="188" t="s">
        <v>531</v>
      </c>
      <c r="C688" s="188" t="s">
        <v>532</v>
      </c>
      <c r="D688" s="560">
        <v>70820</v>
      </c>
      <c r="E688" s="188" t="s">
        <v>98</v>
      </c>
      <c r="F688" s="561">
        <v>1</v>
      </c>
      <c r="G688" s="188" t="s">
        <v>13</v>
      </c>
      <c r="H688" s="188" t="s">
        <v>539</v>
      </c>
      <c r="I688" s="562">
        <v>44035</v>
      </c>
      <c r="J688" s="562">
        <v>44043</v>
      </c>
      <c r="K688" s="6" t="str">
        <f t="shared" si="31"/>
        <v>HD BLOW MOLDING</v>
      </c>
      <c r="L688" s="14">
        <f>VLOOKUP(J688,'USD to INR'!$B$2:$G$560,6,TRUE)</f>
        <v>74.915999999999997</v>
      </c>
      <c r="M688" s="216">
        <f t="shared" si="32"/>
        <v>945.32543114955422</v>
      </c>
      <c r="N688" s="563">
        <f t="shared" si="30"/>
        <v>44043</v>
      </c>
    </row>
    <row r="689" spans="1:14" x14ac:dyDescent="0.25">
      <c r="A689" s="188" t="s">
        <v>530</v>
      </c>
      <c r="B689" s="188" t="s">
        <v>531</v>
      </c>
      <c r="C689" s="188" t="s">
        <v>532</v>
      </c>
      <c r="D689" s="560">
        <v>71830</v>
      </c>
      <c r="E689" s="188" t="s">
        <v>98</v>
      </c>
      <c r="F689" s="561">
        <v>1</v>
      </c>
      <c r="G689" s="188" t="s">
        <v>13</v>
      </c>
      <c r="H689" s="188" t="s">
        <v>539</v>
      </c>
      <c r="I689" s="562">
        <v>44044</v>
      </c>
      <c r="J689" s="562">
        <v>44074</v>
      </c>
      <c r="K689" s="6" t="str">
        <f t="shared" si="31"/>
        <v>HD BLOW MOLDING</v>
      </c>
      <c r="L689" s="14">
        <f>VLOOKUP(J689,'USD to INR'!$B$2:$G$560,6,TRUE)</f>
        <v>73.289000000000001</v>
      </c>
      <c r="M689" s="216">
        <f t="shared" si="32"/>
        <v>980.09251047224006</v>
      </c>
      <c r="N689" s="563">
        <f t="shared" si="30"/>
        <v>44074</v>
      </c>
    </row>
    <row r="690" spans="1:14" x14ac:dyDescent="0.25">
      <c r="A690" s="188" t="s">
        <v>530</v>
      </c>
      <c r="B690" s="188" t="s">
        <v>531</v>
      </c>
      <c r="C690" s="188" t="s">
        <v>532</v>
      </c>
      <c r="D690" s="560">
        <v>71830</v>
      </c>
      <c r="E690" s="188" t="s">
        <v>98</v>
      </c>
      <c r="F690" s="561">
        <v>1</v>
      </c>
      <c r="G690" s="188" t="s">
        <v>13</v>
      </c>
      <c r="H690" s="188" t="s">
        <v>539</v>
      </c>
      <c r="I690" s="562">
        <v>44075</v>
      </c>
      <c r="J690" s="562">
        <v>44076</v>
      </c>
      <c r="K690" s="6" t="str">
        <f t="shared" si="31"/>
        <v>HD BLOW MOLDING</v>
      </c>
      <c r="L690" s="14">
        <f>VLOOKUP(J690,'USD to INR'!$B$2:$G$560,6,TRUE)</f>
        <v>73.289000000000001</v>
      </c>
      <c r="M690" s="216">
        <f t="shared" si="32"/>
        <v>980.09251047224006</v>
      </c>
      <c r="N690" s="563">
        <f t="shared" si="30"/>
        <v>44076</v>
      </c>
    </row>
    <row r="691" spans="1:14" x14ac:dyDescent="0.25">
      <c r="A691" s="188" t="s">
        <v>530</v>
      </c>
      <c r="B691" s="188" t="s">
        <v>531</v>
      </c>
      <c r="C691" s="188" t="s">
        <v>532</v>
      </c>
      <c r="D691" s="560">
        <v>73220</v>
      </c>
      <c r="E691" s="188" t="s">
        <v>98</v>
      </c>
      <c r="F691" s="561">
        <v>1</v>
      </c>
      <c r="G691" s="188" t="s">
        <v>13</v>
      </c>
      <c r="H691" s="188" t="s">
        <v>539</v>
      </c>
      <c r="I691" s="562">
        <v>44077</v>
      </c>
      <c r="J691" s="562">
        <v>44083</v>
      </c>
      <c r="K691" s="6" t="str">
        <f t="shared" si="31"/>
        <v>HD BLOW MOLDING</v>
      </c>
      <c r="L691" s="14">
        <f>VLOOKUP(J691,'USD to INR'!$B$2:$G$560,6,TRUE)</f>
        <v>73.430000000000007</v>
      </c>
      <c r="M691" s="216">
        <f t="shared" si="32"/>
        <v>997.14013346043839</v>
      </c>
      <c r="N691" s="563">
        <f t="shared" si="30"/>
        <v>44083</v>
      </c>
    </row>
    <row r="692" spans="1:14" x14ac:dyDescent="0.25">
      <c r="A692" s="188" t="s">
        <v>530</v>
      </c>
      <c r="B692" s="188" t="s">
        <v>531</v>
      </c>
      <c r="C692" s="188" t="s">
        <v>532</v>
      </c>
      <c r="D692" s="560">
        <v>74150</v>
      </c>
      <c r="E692" s="188" t="s">
        <v>98</v>
      </c>
      <c r="F692" s="561">
        <v>1</v>
      </c>
      <c r="G692" s="188" t="s">
        <v>13</v>
      </c>
      <c r="H692" s="188" t="s">
        <v>539</v>
      </c>
      <c r="I692" s="562">
        <v>44084</v>
      </c>
      <c r="J692" s="562">
        <v>44104</v>
      </c>
      <c r="K692" s="6" t="str">
        <f t="shared" si="31"/>
        <v>HD BLOW MOLDING</v>
      </c>
      <c r="L692" s="14">
        <f>VLOOKUP(J692,'USD to INR'!$B$2:$G$560,6,TRUE)</f>
        <v>73.290000000000006</v>
      </c>
      <c r="M692" s="216">
        <f t="shared" si="32"/>
        <v>1011.7342065766134</v>
      </c>
      <c r="N692" s="563">
        <f t="shared" si="30"/>
        <v>44104</v>
      </c>
    </row>
    <row r="693" spans="1:14" x14ac:dyDescent="0.25">
      <c r="A693" s="188" t="s">
        <v>530</v>
      </c>
      <c r="B693" s="188" t="s">
        <v>531</v>
      </c>
      <c r="C693" s="188" t="s">
        <v>532</v>
      </c>
      <c r="D693" s="560">
        <v>75090</v>
      </c>
      <c r="E693" s="188" t="s">
        <v>98</v>
      </c>
      <c r="F693" s="561">
        <v>1</v>
      </c>
      <c r="G693" s="188" t="s">
        <v>13</v>
      </c>
      <c r="H693" s="188" t="s">
        <v>539</v>
      </c>
      <c r="I693" s="562">
        <v>44105</v>
      </c>
      <c r="J693" s="562">
        <v>44135</v>
      </c>
      <c r="K693" s="6" t="str">
        <f t="shared" si="31"/>
        <v>HD BLOW MOLDING</v>
      </c>
      <c r="L693" s="14">
        <f>VLOOKUP(J693,'USD to INR'!$B$2:$G$560,6,TRUE)</f>
        <v>74.554000000000002</v>
      </c>
      <c r="M693" s="216">
        <f t="shared" si="32"/>
        <v>1007.1894197494433</v>
      </c>
      <c r="N693" s="563">
        <f t="shared" si="30"/>
        <v>44135</v>
      </c>
    </row>
    <row r="694" spans="1:14" x14ac:dyDescent="0.25">
      <c r="A694" s="188" t="s">
        <v>530</v>
      </c>
      <c r="B694" s="188" t="s">
        <v>531</v>
      </c>
      <c r="C694" s="188" t="s">
        <v>532</v>
      </c>
      <c r="D694" s="560">
        <v>76020</v>
      </c>
      <c r="E694" s="188" t="s">
        <v>98</v>
      </c>
      <c r="F694" s="561">
        <v>1</v>
      </c>
      <c r="G694" s="188" t="s">
        <v>13</v>
      </c>
      <c r="H694" s="188" t="s">
        <v>539</v>
      </c>
      <c r="I694" s="562">
        <v>44136</v>
      </c>
      <c r="J694" s="562">
        <v>44153</v>
      </c>
      <c r="K694" s="6" t="str">
        <f t="shared" si="31"/>
        <v>HD BLOW MOLDING</v>
      </c>
      <c r="L694" s="14">
        <f>VLOOKUP(J694,'USD to INR'!$B$2:$G$560,6,TRUE)</f>
        <v>74.11</v>
      </c>
      <c r="M694" s="216">
        <f t="shared" si="32"/>
        <v>1025.7725003373364</v>
      </c>
      <c r="N694" s="563">
        <f t="shared" si="30"/>
        <v>44153</v>
      </c>
    </row>
    <row r="695" spans="1:14" x14ac:dyDescent="0.25">
      <c r="A695" s="188" t="s">
        <v>530</v>
      </c>
      <c r="B695" s="188" t="s">
        <v>531</v>
      </c>
      <c r="C695" s="188" t="s">
        <v>532</v>
      </c>
      <c r="D695" s="560">
        <v>76950</v>
      </c>
      <c r="E695" s="188" t="s">
        <v>98</v>
      </c>
      <c r="F695" s="561">
        <v>1</v>
      </c>
      <c r="G695" s="188" t="s">
        <v>13</v>
      </c>
      <c r="H695" s="188" t="s">
        <v>539</v>
      </c>
      <c r="I695" s="562">
        <v>44154</v>
      </c>
      <c r="J695" s="562">
        <v>44160</v>
      </c>
      <c r="K695" s="6" t="str">
        <f t="shared" si="31"/>
        <v>HD BLOW MOLDING</v>
      </c>
      <c r="L695" s="14">
        <f>VLOOKUP(J695,'USD to INR'!$B$2:$G$560,6,TRUE)</f>
        <v>73.933000000000007</v>
      </c>
      <c r="M695" s="216">
        <f t="shared" si="32"/>
        <v>1040.8072173454343</v>
      </c>
      <c r="N695" s="563">
        <f t="shared" si="30"/>
        <v>44160</v>
      </c>
    </row>
    <row r="696" spans="1:14" x14ac:dyDescent="0.25">
      <c r="A696" s="188" t="s">
        <v>530</v>
      </c>
      <c r="B696" s="188" t="s">
        <v>531</v>
      </c>
      <c r="C696" s="188" t="s">
        <v>532</v>
      </c>
      <c r="D696" s="560">
        <v>79730</v>
      </c>
      <c r="E696" s="188" t="s">
        <v>98</v>
      </c>
      <c r="F696" s="561">
        <v>1</v>
      </c>
      <c r="G696" s="188" t="s">
        <v>13</v>
      </c>
      <c r="H696" s="188" t="s">
        <v>539</v>
      </c>
      <c r="I696" s="562">
        <v>44161</v>
      </c>
      <c r="J696" s="562">
        <v>44165</v>
      </c>
      <c r="K696" s="6" t="str">
        <f t="shared" si="31"/>
        <v>HD BLOW MOLDING</v>
      </c>
      <c r="L696" s="14">
        <f>VLOOKUP(J696,'USD to INR'!$B$2:$G$560,6,TRUE)</f>
        <v>73.757000000000005</v>
      </c>
      <c r="M696" s="216">
        <f t="shared" si="32"/>
        <v>1080.9821440676817</v>
      </c>
      <c r="N696" s="563">
        <f t="shared" si="30"/>
        <v>44165</v>
      </c>
    </row>
    <row r="697" spans="1:14" x14ac:dyDescent="0.25">
      <c r="A697" s="188" t="s">
        <v>530</v>
      </c>
      <c r="B697" s="188" t="s">
        <v>531</v>
      </c>
      <c r="C697" s="188" t="s">
        <v>532</v>
      </c>
      <c r="D697" s="560">
        <v>81580</v>
      </c>
      <c r="E697" s="188" t="s">
        <v>98</v>
      </c>
      <c r="F697" s="561">
        <v>1</v>
      </c>
      <c r="G697" s="188" t="s">
        <v>13</v>
      </c>
      <c r="H697" s="188" t="s">
        <v>539</v>
      </c>
      <c r="I697" s="562">
        <v>44166</v>
      </c>
      <c r="J697" s="562">
        <v>44196</v>
      </c>
      <c r="K697" s="6" t="str">
        <f t="shared" si="31"/>
        <v>HD BLOW MOLDING</v>
      </c>
      <c r="L697" s="14">
        <f>VLOOKUP(J697,'USD to INR'!$B$2:$G$560,6,TRUE)</f>
        <v>73.12</v>
      </c>
      <c r="M697" s="216">
        <f t="shared" si="32"/>
        <v>1115.7002188183806</v>
      </c>
      <c r="N697" s="563">
        <f t="shared" si="30"/>
        <v>44196</v>
      </c>
    </row>
    <row r="698" spans="1:14" x14ac:dyDescent="0.25">
      <c r="A698" s="188" t="s">
        <v>530</v>
      </c>
      <c r="B698" s="188" t="s">
        <v>531</v>
      </c>
      <c r="C698" s="188" t="s">
        <v>532</v>
      </c>
      <c r="D698" s="560">
        <v>81580</v>
      </c>
      <c r="E698" s="188" t="s">
        <v>98</v>
      </c>
      <c r="F698" s="561">
        <v>1</v>
      </c>
      <c r="G698" s="188" t="s">
        <v>13</v>
      </c>
      <c r="H698" s="188" t="s">
        <v>539</v>
      </c>
      <c r="I698" s="562">
        <v>44197</v>
      </c>
      <c r="J698" s="562">
        <v>44209</v>
      </c>
      <c r="K698" s="6" t="str">
        <f t="shared" si="31"/>
        <v>HD BLOW MOLDING</v>
      </c>
      <c r="L698" s="14">
        <f>VLOOKUP(J698,'USD to INR'!$B$2:$G$560,6,TRUE)</f>
        <v>73.12</v>
      </c>
      <c r="M698" s="216">
        <f t="shared" si="32"/>
        <v>1115.7002188183806</v>
      </c>
      <c r="N698" s="563">
        <f t="shared" si="30"/>
        <v>44209</v>
      </c>
    </row>
    <row r="699" spans="1:14" x14ac:dyDescent="0.25">
      <c r="A699" s="188" t="s">
        <v>530</v>
      </c>
      <c r="B699" s="188" t="s">
        <v>531</v>
      </c>
      <c r="C699" s="188" t="s">
        <v>532</v>
      </c>
      <c r="D699" s="560">
        <v>82510</v>
      </c>
      <c r="E699" s="188" t="s">
        <v>98</v>
      </c>
      <c r="F699" s="561">
        <v>1</v>
      </c>
      <c r="G699" s="188" t="s">
        <v>13</v>
      </c>
      <c r="H699" s="188" t="s">
        <v>539</v>
      </c>
      <c r="I699" s="562">
        <v>44210</v>
      </c>
      <c r="J699" s="562">
        <v>44227</v>
      </c>
      <c r="K699" s="6" t="str">
        <f t="shared" si="31"/>
        <v>HD BLOW MOLDING</v>
      </c>
      <c r="L699" s="14">
        <f>VLOOKUP(J699,'USD to INR'!$B$2:$G$560,6,TRUE)</f>
        <v>72.81</v>
      </c>
      <c r="M699" s="216">
        <f t="shared" si="32"/>
        <v>1133.2234583161653</v>
      </c>
      <c r="N699" s="563">
        <f t="shared" si="30"/>
        <v>44227</v>
      </c>
    </row>
    <row r="700" spans="1:14" x14ac:dyDescent="0.25">
      <c r="A700" s="188" t="s">
        <v>530</v>
      </c>
      <c r="B700" s="188" t="s">
        <v>531</v>
      </c>
      <c r="C700" s="188" t="s">
        <v>532</v>
      </c>
      <c r="D700" s="560">
        <v>82510</v>
      </c>
      <c r="E700" s="188" t="s">
        <v>98</v>
      </c>
      <c r="F700" s="561">
        <v>1</v>
      </c>
      <c r="G700" s="188" t="s">
        <v>13</v>
      </c>
      <c r="H700" s="188" t="s">
        <v>539</v>
      </c>
      <c r="I700" s="562">
        <v>44228</v>
      </c>
      <c r="J700" s="562">
        <v>44244</v>
      </c>
      <c r="K700" s="6" t="str">
        <f t="shared" si="31"/>
        <v>HD BLOW MOLDING</v>
      </c>
      <c r="L700" s="14">
        <f>VLOOKUP(J700,'USD to INR'!$B$2:$G$560,6,TRUE)</f>
        <v>72.55</v>
      </c>
      <c r="M700" s="216">
        <f t="shared" si="32"/>
        <v>1137.2846312887664</v>
      </c>
      <c r="N700" s="563">
        <f t="shared" si="30"/>
        <v>44244</v>
      </c>
    </row>
    <row r="701" spans="1:14" x14ac:dyDescent="0.25">
      <c r="A701" s="188" t="s">
        <v>530</v>
      </c>
      <c r="B701" s="188" t="s">
        <v>531</v>
      </c>
      <c r="C701" s="188" t="s">
        <v>532</v>
      </c>
      <c r="D701" s="560">
        <v>87600</v>
      </c>
      <c r="E701" s="188" t="s">
        <v>98</v>
      </c>
      <c r="F701" s="561">
        <v>1</v>
      </c>
      <c r="G701" s="188" t="s">
        <v>13</v>
      </c>
      <c r="H701" s="188" t="s">
        <v>539</v>
      </c>
      <c r="I701" s="562">
        <v>44245</v>
      </c>
      <c r="J701" s="562">
        <v>44251</v>
      </c>
      <c r="K701" s="6" t="str">
        <f t="shared" si="31"/>
        <v>HD BLOW MOLDING</v>
      </c>
      <c r="L701" s="14">
        <f>VLOOKUP(J701,'USD to INR'!$B$2:$G$560,6,TRUE)</f>
        <v>73.92</v>
      </c>
      <c r="M701" s="216">
        <f t="shared" si="32"/>
        <v>1185.0649350649351</v>
      </c>
      <c r="N701" s="563">
        <f t="shared" si="30"/>
        <v>44251</v>
      </c>
    </row>
    <row r="702" spans="1:14" x14ac:dyDescent="0.25">
      <c r="A702" s="188" t="s">
        <v>530</v>
      </c>
      <c r="B702" s="188" t="s">
        <v>531</v>
      </c>
      <c r="C702" s="188" t="s">
        <v>532</v>
      </c>
      <c r="D702" s="560">
        <v>90380</v>
      </c>
      <c r="E702" s="188" t="s">
        <v>98</v>
      </c>
      <c r="F702" s="561">
        <v>1</v>
      </c>
      <c r="G702" s="188" t="s">
        <v>13</v>
      </c>
      <c r="H702" s="188" t="s">
        <v>539</v>
      </c>
      <c r="I702" s="562">
        <v>44252</v>
      </c>
      <c r="J702" s="562">
        <v>44255</v>
      </c>
      <c r="K702" s="6" t="str">
        <f t="shared" si="31"/>
        <v>HD BLOW MOLDING</v>
      </c>
      <c r="L702" s="14">
        <f>VLOOKUP(J702,'USD to INR'!$B$2:$G$560,6,TRUE)</f>
        <v>73.180000000000007</v>
      </c>
      <c r="M702" s="216">
        <f t="shared" si="32"/>
        <v>1235.0368953265918</v>
      </c>
      <c r="N702" s="563">
        <f t="shared" si="30"/>
        <v>44255</v>
      </c>
    </row>
    <row r="703" spans="1:14" x14ac:dyDescent="0.25">
      <c r="A703" s="188" t="s">
        <v>530</v>
      </c>
      <c r="B703" s="188" t="s">
        <v>531</v>
      </c>
      <c r="C703" s="188" t="s">
        <v>532</v>
      </c>
      <c r="D703" s="560">
        <v>92220</v>
      </c>
      <c r="E703" s="188" t="s">
        <v>98</v>
      </c>
      <c r="F703" s="561">
        <v>1</v>
      </c>
      <c r="G703" s="188" t="s">
        <v>13</v>
      </c>
      <c r="H703" s="188" t="s">
        <v>539</v>
      </c>
      <c r="I703" s="562">
        <v>44256</v>
      </c>
      <c r="J703" s="562">
        <v>44258</v>
      </c>
      <c r="K703" s="6" t="str">
        <f t="shared" si="31"/>
        <v>HD BLOW MOLDING</v>
      </c>
      <c r="L703" s="14">
        <f>VLOOKUP(J703,'USD to INR'!$B$2:$G$560,6,TRUE)</f>
        <v>73.180000000000007</v>
      </c>
      <c r="M703" s="216">
        <f t="shared" si="32"/>
        <v>1260.1803771522273</v>
      </c>
      <c r="N703" s="563">
        <f t="shared" si="30"/>
        <v>44258</v>
      </c>
    </row>
    <row r="704" spans="1:14" x14ac:dyDescent="0.25">
      <c r="A704" s="188" t="s">
        <v>530</v>
      </c>
      <c r="B704" s="188" t="s">
        <v>531</v>
      </c>
      <c r="C704" s="188" t="s">
        <v>532</v>
      </c>
      <c r="D704" s="560">
        <v>96380</v>
      </c>
      <c r="E704" s="188" t="s">
        <v>98</v>
      </c>
      <c r="F704" s="561">
        <v>1</v>
      </c>
      <c r="G704" s="188" t="s">
        <v>13</v>
      </c>
      <c r="H704" s="188" t="s">
        <v>539</v>
      </c>
      <c r="I704" s="562">
        <v>44259</v>
      </c>
      <c r="J704" s="562">
        <v>44265</v>
      </c>
      <c r="K704" s="6" t="str">
        <f t="shared" si="31"/>
        <v>HD BLOW MOLDING</v>
      </c>
      <c r="L704" s="14">
        <f>VLOOKUP(J704,'USD to INR'!$B$2:$G$560,6,TRUE)</f>
        <v>72.680000000000007</v>
      </c>
      <c r="M704" s="216">
        <f t="shared" si="32"/>
        <v>1326.086956521739</v>
      </c>
      <c r="N704" s="563">
        <f t="shared" si="30"/>
        <v>44265</v>
      </c>
    </row>
    <row r="705" spans="1:14" x14ac:dyDescent="0.25">
      <c r="A705" s="188" t="s">
        <v>530</v>
      </c>
      <c r="B705" s="188" t="s">
        <v>531</v>
      </c>
      <c r="C705" s="188" t="s">
        <v>532</v>
      </c>
      <c r="D705" s="560">
        <v>99160</v>
      </c>
      <c r="E705" s="188" t="s">
        <v>98</v>
      </c>
      <c r="F705" s="561">
        <v>1</v>
      </c>
      <c r="G705" s="188" t="s">
        <v>13</v>
      </c>
      <c r="H705" s="188" t="s">
        <v>539</v>
      </c>
      <c r="I705" s="562">
        <v>44266</v>
      </c>
      <c r="J705" s="562">
        <v>44286</v>
      </c>
      <c r="K705" s="6" t="str">
        <f t="shared" si="31"/>
        <v>HD BLOW MOLDING</v>
      </c>
      <c r="L705" s="14">
        <f>VLOOKUP(J705,'USD to INR'!$B$2:$G$560,6,TRUE)</f>
        <v>73.37</v>
      </c>
      <c r="M705" s="216">
        <f t="shared" si="32"/>
        <v>1351.5060651492436</v>
      </c>
      <c r="N705" s="563">
        <f t="shared" si="30"/>
        <v>44286</v>
      </c>
    </row>
    <row r="706" spans="1:14" x14ac:dyDescent="0.25">
      <c r="A706" s="188" t="s">
        <v>530</v>
      </c>
      <c r="B706" s="188" t="s">
        <v>531</v>
      </c>
      <c r="C706" s="188" t="s">
        <v>532</v>
      </c>
      <c r="D706" s="560">
        <v>101940</v>
      </c>
      <c r="E706" s="188" t="s">
        <v>98</v>
      </c>
      <c r="F706" s="561">
        <v>1</v>
      </c>
      <c r="G706" s="188" t="s">
        <v>13</v>
      </c>
      <c r="H706" s="188" t="s">
        <v>539</v>
      </c>
      <c r="I706" s="562">
        <v>44287</v>
      </c>
      <c r="J706" s="562">
        <v>44300</v>
      </c>
      <c r="K706" s="6" t="str">
        <f t="shared" si="31"/>
        <v>HD BLOW MOLDING</v>
      </c>
      <c r="L706" s="14">
        <f>VLOOKUP(J706,'USD to INR'!$B$2:$G$560,6,TRUE)</f>
        <v>74.53</v>
      </c>
      <c r="M706" s="216">
        <f t="shared" si="32"/>
        <v>1367.7713672346706</v>
      </c>
      <c r="N706" s="563">
        <f t="shared" ref="N706:N769" si="33">J706</f>
        <v>44300</v>
      </c>
    </row>
    <row r="707" spans="1:14" x14ac:dyDescent="0.25">
      <c r="A707" s="188" t="s">
        <v>530</v>
      </c>
      <c r="B707" s="188" t="s">
        <v>531</v>
      </c>
      <c r="C707" s="188" t="s">
        <v>532</v>
      </c>
      <c r="D707" s="560">
        <v>100280</v>
      </c>
      <c r="E707" s="188" t="s">
        <v>98</v>
      </c>
      <c r="F707" s="561">
        <v>1</v>
      </c>
      <c r="G707" s="188" t="s">
        <v>13</v>
      </c>
      <c r="H707" s="188" t="s">
        <v>539</v>
      </c>
      <c r="I707" s="562">
        <v>44301</v>
      </c>
      <c r="J707" s="562">
        <v>44307</v>
      </c>
      <c r="K707" s="6" t="str">
        <f t="shared" ref="K707:K770" si="34">VLOOKUP(H707,$V$2:$W$10,2,TRUE)</f>
        <v>HD BLOW MOLDING</v>
      </c>
      <c r="L707" s="14">
        <f>VLOOKUP(J707,'USD to INR'!$B$2:$G$560,6,TRUE)</f>
        <v>74.92</v>
      </c>
      <c r="M707" s="216">
        <f t="shared" ref="M707:M770" si="35">D707/L707</f>
        <v>1338.4943940202884</v>
      </c>
      <c r="N707" s="563">
        <f t="shared" si="33"/>
        <v>44307</v>
      </c>
    </row>
    <row r="708" spans="1:14" x14ac:dyDescent="0.25">
      <c r="A708" s="188" t="s">
        <v>530</v>
      </c>
      <c r="B708" s="188" t="s">
        <v>531</v>
      </c>
      <c r="C708" s="188" t="s">
        <v>532</v>
      </c>
      <c r="D708" s="560">
        <v>97240</v>
      </c>
      <c r="E708" s="188" t="s">
        <v>98</v>
      </c>
      <c r="F708" s="561">
        <v>1</v>
      </c>
      <c r="G708" s="188" t="s">
        <v>13</v>
      </c>
      <c r="H708" s="188" t="s">
        <v>539</v>
      </c>
      <c r="I708" s="562">
        <v>44308</v>
      </c>
      <c r="J708" s="562">
        <v>44316</v>
      </c>
      <c r="K708" s="6" t="str">
        <f t="shared" si="34"/>
        <v>HD BLOW MOLDING</v>
      </c>
      <c r="L708" s="14">
        <f>VLOOKUP(J708,'USD to INR'!$B$2:$G$560,6,TRUE)</f>
        <v>74.05</v>
      </c>
      <c r="M708" s="216">
        <f t="shared" si="35"/>
        <v>1313.166779203241</v>
      </c>
      <c r="N708" s="563">
        <f t="shared" si="33"/>
        <v>44316</v>
      </c>
    </row>
    <row r="709" spans="1:14" x14ac:dyDescent="0.25">
      <c r="A709" s="188" t="s">
        <v>530</v>
      </c>
      <c r="B709" s="188" t="s">
        <v>531</v>
      </c>
      <c r="C709" s="188" t="s">
        <v>532</v>
      </c>
      <c r="D709" s="560">
        <v>95400</v>
      </c>
      <c r="E709" s="188" t="s">
        <v>98</v>
      </c>
      <c r="F709" s="561">
        <v>1</v>
      </c>
      <c r="G709" s="188" t="s">
        <v>13</v>
      </c>
      <c r="H709" s="188" t="s">
        <v>539</v>
      </c>
      <c r="I709" s="562">
        <v>44317</v>
      </c>
      <c r="J709" s="562">
        <v>44321</v>
      </c>
      <c r="K709" s="6" t="str">
        <f t="shared" si="34"/>
        <v>HD BLOW MOLDING</v>
      </c>
      <c r="L709" s="14">
        <f>VLOOKUP(J709,'USD to INR'!$B$2:$G$560,6,TRUE)</f>
        <v>73.251999999999995</v>
      </c>
      <c r="M709" s="216">
        <f t="shared" si="35"/>
        <v>1302.3535193578334</v>
      </c>
      <c r="N709" s="563">
        <f t="shared" si="33"/>
        <v>44321</v>
      </c>
    </row>
    <row r="710" spans="1:14" x14ac:dyDescent="0.25">
      <c r="A710" s="188" t="s">
        <v>530</v>
      </c>
      <c r="B710" s="188" t="s">
        <v>531</v>
      </c>
      <c r="C710" s="188" t="s">
        <v>532</v>
      </c>
      <c r="D710" s="560">
        <v>92630</v>
      </c>
      <c r="E710" s="188" t="s">
        <v>98</v>
      </c>
      <c r="F710" s="561">
        <v>1</v>
      </c>
      <c r="G710" s="188" t="s">
        <v>13</v>
      </c>
      <c r="H710" s="188" t="s">
        <v>539</v>
      </c>
      <c r="I710" s="562">
        <v>44322</v>
      </c>
      <c r="J710" s="562">
        <v>44335</v>
      </c>
      <c r="K710" s="6" t="str">
        <f t="shared" si="34"/>
        <v>HD BLOW MOLDING</v>
      </c>
      <c r="L710" s="14">
        <f>VLOOKUP(J710,'USD to INR'!$B$2:$G$560,6,TRUE)</f>
        <v>72.816999999999993</v>
      </c>
      <c r="M710" s="216">
        <f t="shared" si="35"/>
        <v>1272.0930551931556</v>
      </c>
      <c r="N710" s="563">
        <f t="shared" si="33"/>
        <v>44335</v>
      </c>
    </row>
    <row r="711" spans="1:14" x14ac:dyDescent="0.25">
      <c r="A711" s="188" t="s">
        <v>530</v>
      </c>
      <c r="B711" s="188" t="s">
        <v>531</v>
      </c>
      <c r="C711" s="188" t="s">
        <v>532</v>
      </c>
      <c r="D711" s="560">
        <v>90790</v>
      </c>
      <c r="E711" s="188" t="s">
        <v>98</v>
      </c>
      <c r="F711" s="561">
        <v>1</v>
      </c>
      <c r="G711" s="188" t="s">
        <v>13</v>
      </c>
      <c r="H711" s="188" t="s">
        <v>539</v>
      </c>
      <c r="I711" s="562">
        <v>44336</v>
      </c>
      <c r="J711" s="562">
        <v>44347</v>
      </c>
      <c r="K711" s="6" t="str">
        <f t="shared" si="34"/>
        <v>HD BLOW MOLDING</v>
      </c>
      <c r="L711" s="14">
        <f>VLOOKUP(J711,'USD to INR'!$B$2:$G$560,6,TRUE)</f>
        <v>72.86</v>
      </c>
      <c r="M711" s="216">
        <f t="shared" si="35"/>
        <v>1246.0883886906397</v>
      </c>
      <c r="N711" s="563">
        <f t="shared" si="33"/>
        <v>44347</v>
      </c>
    </row>
    <row r="712" spans="1:14" x14ac:dyDescent="0.25">
      <c r="A712" s="188" t="s">
        <v>530</v>
      </c>
      <c r="B712" s="188" t="s">
        <v>531</v>
      </c>
      <c r="C712" s="188" t="s">
        <v>532</v>
      </c>
      <c r="D712" s="560">
        <v>88010</v>
      </c>
      <c r="E712" s="188" t="s">
        <v>98</v>
      </c>
      <c r="F712" s="561">
        <v>1</v>
      </c>
      <c r="G712" s="188" t="s">
        <v>13</v>
      </c>
      <c r="H712" s="188" t="s">
        <v>539</v>
      </c>
      <c r="I712" s="562">
        <v>44348</v>
      </c>
      <c r="J712" s="562">
        <v>44356</v>
      </c>
      <c r="K712" s="6" t="str">
        <f t="shared" si="34"/>
        <v>HD BLOW MOLDING</v>
      </c>
      <c r="L712" s="14">
        <f>VLOOKUP(J712,'USD to INR'!$B$2:$G$560,6,TRUE)</f>
        <v>73.239999999999995</v>
      </c>
      <c r="M712" s="216">
        <f t="shared" si="35"/>
        <v>1201.6657564172583</v>
      </c>
      <c r="N712" s="563">
        <f t="shared" si="33"/>
        <v>44356</v>
      </c>
    </row>
    <row r="713" spans="1:14" x14ac:dyDescent="0.25">
      <c r="A713" s="188" t="s">
        <v>530</v>
      </c>
      <c r="B713" s="188" t="s">
        <v>531</v>
      </c>
      <c r="C713" s="188" t="s">
        <v>532</v>
      </c>
      <c r="D713" s="560">
        <v>86170</v>
      </c>
      <c r="E713" s="188" t="s">
        <v>98</v>
      </c>
      <c r="F713" s="561">
        <v>1</v>
      </c>
      <c r="G713" s="188" t="s">
        <v>13</v>
      </c>
      <c r="H713" s="188" t="s">
        <v>539</v>
      </c>
      <c r="I713" s="562">
        <v>44357</v>
      </c>
      <c r="J713" s="562">
        <v>44377</v>
      </c>
      <c r="K713" s="6" t="str">
        <f t="shared" si="34"/>
        <v>HD BLOW MOLDING</v>
      </c>
      <c r="L713" s="14">
        <f>VLOOKUP(J713,'USD to INR'!$B$2:$G$560,6,TRUE)</f>
        <v>74.512</v>
      </c>
      <c r="M713" s="216">
        <f t="shared" si="35"/>
        <v>1156.4580201846682</v>
      </c>
      <c r="N713" s="563">
        <f t="shared" si="33"/>
        <v>44377</v>
      </c>
    </row>
    <row r="714" spans="1:14" x14ac:dyDescent="0.25">
      <c r="A714" s="188" t="s">
        <v>530</v>
      </c>
      <c r="B714" s="188" t="s">
        <v>531</v>
      </c>
      <c r="C714" s="188" t="s">
        <v>532</v>
      </c>
      <c r="D714" s="560">
        <v>86160</v>
      </c>
      <c r="E714" s="188" t="s">
        <v>98</v>
      </c>
      <c r="F714" s="561">
        <v>1</v>
      </c>
      <c r="G714" s="188" t="s">
        <v>13</v>
      </c>
      <c r="H714" s="188" t="s">
        <v>539</v>
      </c>
      <c r="I714" s="562">
        <v>44378</v>
      </c>
      <c r="J714" s="562">
        <v>44384</v>
      </c>
      <c r="K714" s="6" t="str">
        <f t="shared" si="34"/>
        <v>HD BLOW MOLDING</v>
      </c>
      <c r="L714" s="14">
        <f>VLOOKUP(J714,'USD to INR'!$B$2:$G$560,6,TRUE)</f>
        <v>74.484999999999999</v>
      </c>
      <c r="M714" s="216">
        <f t="shared" si="35"/>
        <v>1156.7429683828959</v>
      </c>
      <c r="N714" s="563">
        <f t="shared" si="33"/>
        <v>44384</v>
      </c>
    </row>
    <row r="715" spans="1:14" x14ac:dyDescent="0.25">
      <c r="A715" s="188" t="s">
        <v>530</v>
      </c>
      <c r="B715" s="188" t="s">
        <v>531</v>
      </c>
      <c r="C715" s="188" t="s">
        <v>532</v>
      </c>
      <c r="D715" s="560">
        <v>88010</v>
      </c>
      <c r="E715" s="188" t="s">
        <v>98</v>
      </c>
      <c r="F715" s="561">
        <v>1</v>
      </c>
      <c r="G715" s="188" t="s">
        <v>13</v>
      </c>
      <c r="H715" s="188" t="s">
        <v>539</v>
      </c>
      <c r="I715" s="562">
        <v>44385</v>
      </c>
      <c r="J715" s="562">
        <v>44391</v>
      </c>
      <c r="K715" s="6" t="str">
        <f t="shared" si="34"/>
        <v>HD BLOW MOLDING</v>
      </c>
      <c r="L715" s="14">
        <f>VLOOKUP(J715,'USD to INR'!$B$2:$G$560,6,TRUE)</f>
        <v>74.605999999999995</v>
      </c>
      <c r="M715" s="216">
        <f t="shared" si="35"/>
        <v>1179.6638340079887</v>
      </c>
      <c r="N715" s="563">
        <f t="shared" si="33"/>
        <v>44391</v>
      </c>
    </row>
    <row r="716" spans="1:14" x14ac:dyDescent="0.25">
      <c r="A716" s="188" t="s">
        <v>530</v>
      </c>
      <c r="B716" s="188" t="s">
        <v>531</v>
      </c>
      <c r="C716" s="188" t="s">
        <v>532</v>
      </c>
      <c r="D716" s="560">
        <v>88940</v>
      </c>
      <c r="E716" s="188" t="s">
        <v>98</v>
      </c>
      <c r="F716" s="561">
        <v>1</v>
      </c>
      <c r="G716" s="188" t="s">
        <v>13</v>
      </c>
      <c r="H716" s="188" t="s">
        <v>539</v>
      </c>
      <c r="I716" s="562">
        <v>44392</v>
      </c>
      <c r="J716" s="562">
        <v>44408</v>
      </c>
      <c r="K716" s="6" t="str">
        <f t="shared" si="34"/>
        <v>HD BLOW MOLDING</v>
      </c>
      <c r="L716" s="14">
        <f>VLOOKUP(J716,'USD to INR'!$B$2:$G$560,6,TRUE)</f>
        <v>74.337000000000003</v>
      </c>
      <c r="M716" s="216">
        <f t="shared" si="35"/>
        <v>1196.4432247736659</v>
      </c>
      <c r="N716" s="563">
        <f t="shared" si="33"/>
        <v>44408</v>
      </c>
    </row>
    <row r="717" spans="1:14" x14ac:dyDescent="0.25">
      <c r="A717" s="188" t="s">
        <v>530</v>
      </c>
      <c r="B717" s="188" t="s">
        <v>531</v>
      </c>
      <c r="C717" s="188" t="s">
        <v>532</v>
      </c>
      <c r="D717" s="560">
        <v>89860</v>
      </c>
      <c r="E717" s="188" t="s">
        <v>98</v>
      </c>
      <c r="F717" s="561">
        <v>1</v>
      </c>
      <c r="G717" s="188" t="s">
        <v>13</v>
      </c>
      <c r="H717" s="188" t="s">
        <v>539</v>
      </c>
      <c r="I717" s="562">
        <v>44409</v>
      </c>
      <c r="J717" s="562">
        <v>44419</v>
      </c>
      <c r="K717" s="6" t="str">
        <f t="shared" si="34"/>
        <v>HD BLOW MOLDING</v>
      </c>
      <c r="L717" s="14">
        <f>VLOOKUP(J717,'USD to INR'!$B$2:$G$560,6,TRUE)</f>
        <v>74.239000000000004</v>
      </c>
      <c r="M717" s="216">
        <f t="shared" si="35"/>
        <v>1210.4150109780574</v>
      </c>
      <c r="N717" s="563">
        <f t="shared" si="33"/>
        <v>44419</v>
      </c>
    </row>
    <row r="718" spans="1:14" x14ac:dyDescent="0.25">
      <c r="A718" s="188" t="s">
        <v>530</v>
      </c>
      <c r="B718" s="188" t="s">
        <v>531</v>
      </c>
      <c r="C718" s="188" t="s">
        <v>532</v>
      </c>
      <c r="D718" s="560">
        <v>90790</v>
      </c>
      <c r="E718" s="188" t="s">
        <v>98</v>
      </c>
      <c r="F718" s="561">
        <v>1</v>
      </c>
      <c r="G718" s="188" t="s">
        <v>13</v>
      </c>
      <c r="H718" s="188" t="s">
        <v>539</v>
      </c>
      <c r="I718" s="562">
        <v>44420</v>
      </c>
      <c r="J718" s="562">
        <v>44426</v>
      </c>
      <c r="K718" s="6" t="str">
        <f t="shared" si="34"/>
        <v>HD BLOW MOLDING</v>
      </c>
      <c r="L718" s="14">
        <f>VLOOKUP(J718,'USD to INR'!$B$2:$G$560,6,TRUE)</f>
        <v>74.346999999999994</v>
      </c>
      <c r="M718" s="216">
        <f t="shared" si="35"/>
        <v>1221.1656152904625</v>
      </c>
      <c r="N718" s="563">
        <f t="shared" si="33"/>
        <v>44426</v>
      </c>
    </row>
    <row r="719" spans="1:14" x14ac:dyDescent="0.25">
      <c r="A719" s="188" t="s">
        <v>530</v>
      </c>
      <c r="B719" s="188" t="s">
        <v>531</v>
      </c>
      <c r="C719" s="188" t="s">
        <v>532</v>
      </c>
      <c r="D719" s="560">
        <v>91720</v>
      </c>
      <c r="E719" s="188" t="s">
        <v>98</v>
      </c>
      <c r="F719" s="561">
        <v>1</v>
      </c>
      <c r="G719" s="188" t="s">
        <v>13</v>
      </c>
      <c r="H719" s="188" t="s">
        <v>539</v>
      </c>
      <c r="I719" s="562">
        <v>44427</v>
      </c>
      <c r="J719" s="562">
        <v>44439</v>
      </c>
      <c r="K719" s="6" t="str">
        <f t="shared" si="34"/>
        <v>HD BLOW MOLDING</v>
      </c>
      <c r="L719" s="14">
        <f>VLOOKUP(J719,'USD to INR'!$B$2:$G$560,6,TRUE)</f>
        <v>72.981999999999999</v>
      </c>
      <c r="M719" s="216">
        <f t="shared" si="35"/>
        <v>1256.7482392918803</v>
      </c>
      <c r="N719" s="563">
        <f t="shared" si="33"/>
        <v>44439</v>
      </c>
    </row>
    <row r="720" spans="1:14" x14ac:dyDescent="0.25">
      <c r="A720" s="188" t="s">
        <v>530</v>
      </c>
      <c r="B720" s="188" t="s">
        <v>531</v>
      </c>
      <c r="C720" s="188" t="s">
        <v>532</v>
      </c>
      <c r="D720" s="560">
        <v>91730</v>
      </c>
      <c r="E720" s="188" t="s">
        <v>98</v>
      </c>
      <c r="F720" s="561">
        <v>1</v>
      </c>
      <c r="G720" s="188" t="s">
        <v>13</v>
      </c>
      <c r="H720" s="188" t="s">
        <v>539</v>
      </c>
      <c r="I720" s="562">
        <v>44440</v>
      </c>
      <c r="J720" s="562">
        <v>44469</v>
      </c>
      <c r="K720" s="6" t="str">
        <f t="shared" si="34"/>
        <v>HD BLOW MOLDING</v>
      </c>
      <c r="L720" s="14">
        <f>VLOOKUP(J720,'USD to INR'!$B$2:$G$560,6,TRUE)</f>
        <v>74.131</v>
      </c>
      <c r="M720" s="216">
        <f t="shared" si="35"/>
        <v>1237.404054983745</v>
      </c>
      <c r="N720" s="563">
        <f t="shared" si="33"/>
        <v>44469</v>
      </c>
    </row>
    <row r="721" spans="1:14" x14ac:dyDescent="0.25">
      <c r="A721" s="188" t="s">
        <v>530</v>
      </c>
      <c r="B721" s="188" t="s">
        <v>531</v>
      </c>
      <c r="C721" s="188" t="s">
        <v>532</v>
      </c>
      <c r="D721" s="560">
        <v>93580</v>
      </c>
      <c r="E721" s="188" t="s">
        <v>98</v>
      </c>
      <c r="F721" s="561">
        <v>1</v>
      </c>
      <c r="G721" s="188" t="s">
        <v>13</v>
      </c>
      <c r="H721" s="188" t="s">
        <v>539</v>
      </c>
      <c r="I721" s="562">
        <v>44470</v>
      </c>
      <c r="J721" s="562">
        <v>44482</v>
      </c>
      <c r="K721" s="6" t="str">
        <f t="shared" si="34"/>
        <v>HD BLOW MOLDING</v>
      </c>
      <c r="L721" s="14">
        <f>VLOOKUP(J721,'USD to INR'!$B$2:$G$560,6,TRUE)</f>
        <v>75.013000000000005</v>
      </c>
      <c r="M721" s="216">
        <f t="shared" si="35"/>
        <v>1247.5170970365136</v>
      </c>
      <c r="N721" s="563">
        <f t="shared" si="33"/>
        <v>44482</v>
      </c>
    </row>
    <row r="722" spans="1:14" x14ac:dyDescent="0.25">
      <c r="A722" s="188" t="s">
        <v>530</v>
      </c>
      <c r="B722" s="188" t="s">
        <v>531</v>
      </c>
      <c r="C722" s="188" t="s">
        <v>532</v>
      </c>
      <c r="D722" s="560">
        <v>99130</v>
      </c>
      <c r="E722" s="188" t="s">
        <v>98</v>
      </c>
      <c r="F722" s="561">
        <v>1</v>
      </c>
      <c r="G722" s="188" t="s">
        <v>13</v>
      </c>
      <c r="H722" s="188" t="s">
        <v>539</v>
      </c>
      <c r="I722" s="562">
        <v>44483</v>
      </c>
      <c r="J722" s="562">
        <v>44500</v>
      </c>
      <c r="K722" s="6" t="str">
        <f t="shared" si="34"/>
        <v>HD BLOW MOLDING</v>
      </c>
      <c r="L722" s="14">
        <f>VLOOKUP(J722,'USD to INR'!$B$2:$G$560,6,TRUE)</f>
        <v>75.313000000000002</v>
      </c>
      <c r="M722" s="216">
        <f t="shared" si="35"/>
        <v>1316.2402241312921</v>
      </c>
      <c r="N722" s="563">
        <f t="shared" si="33"/>
        <v>44500</v>
      </c>
    </row>
    <row r="723" spans="1:14" x14ac:dyDescent="0.25">
      <c r="A723" s="188" t="s">
        <v>530</v>
      </c>
      <c r="B723" s="188" t="s">
        <v>531</v>
      </c>
      <c r="C723" s="188" t="s">
        <v>532</v>
      </c>
      <c r="D723" s="560">
        <v>100500</v>
      </c>
      <c r="E723" s="188" t="s">
        <v>98</v>
      </c>
      <c r="F723" s="561">
        <v>1</v>
      </c>
      <c r="G723" s="188" t="s">
        <v>13</v>
      </c>
      <c r="H723" s="188" t="s">
        <v>539</v>
      </c>
      <c r="I723" s="562">
        <v>44501</v>
      </c>
      <c r="J723" s="562">
        <v>44530</v>
      </c>
      <c r="K723" s="6" t="str">
        <f t="shared" si="34"/>
        <v>HD BLOW MOLDING</v>
      </c>
      <c r="L723" s="14">
        <f>VLOOKUP(J723,'USD to INR'!$B$2:$G$560,6,TRUE)</f>
        <v>75.313000000000002</v>
      </c>
      <c r="M723" s="216">
        <f t="shared" si="35"/>
        <v>1334.4309747321179</v>
      </c>
      <c r="N723" s="563">
        <f t="shared" si="33"/>
        <v>44530</v>
      </c>
    </row>
    <row r="724" spans="1:14" x14ac:dyDescent="0.25">
      <c r="A724" s="188" t="s">
        <v>530</v>
      </c>
      <c r="B724" s="188" t="s">
        <v>531</v>
      </c>
      <c r="C724" s="188" t="s">
        <v>532</v>
      </c>
      <c r="D724" s="560">
        <v>97770</v>
      </c>
      <c r="E724" s="188" t="s">
        <v>98</v>
      </c>
      <c r="F724" s="561">
        <v>1</v>
      </c>
      <c r="G724" s="188" t="s">
        <v>13</v>
      </c>
      <c r="H724" s="188" t="s">
        <v>539</v>
      </c>
      <c r="I724" s="562">
        <v>44531</v>
      </c>
      <c r="J724" s="562">
        <v>44538</v>
      </c>
      <c r="K724" s="6" t="str">
        <f t="shared" si="34"/>
        <v>HD BLOW MOLDING</v>
      </c>
      <c r="L724" s="14">
        <f>VLOOKUP(J724,'USD to INR'!$B$2:$G$560,6,TRUE)</f>
        <v>75.313000000000002</v>
      </c>
      <c r="M724" s="216">
        <f t="shared" si="35"/>
        <v>1298.1822527319321</v>
      </c>
      <c r="N724" s="563">
        <f t="shared" si="33"/>
        <v>44538</v>
      </c>
    </row>
    <row r="725" spans="1:14" x14ac:dyDescent="0.25">
      <c r="A725" s="188" t="s">
        <v>530</v>
      </c>
      <c r="B725" s="188" t="s">
        <v>531</v>
      </c>
      <c r="C725" s="188" t="s">
        <v>532</v>
      </c>
      <c r="D725" s="560">
        <v>95930</v>
      </c>
      <c r="E725" s="188" t="s">
        <v>98</v>
      </c>
      <c r="F725" s="561">
        <v>1</v>
      </c>
      <c r="G725" s="188" t="s">
        <v>13</v>
      </c>
      <c r="H725" s="188" t="s">
        <v>539</v>
      </c>
      <c r="I725" s="562">
        <v>44539</v>
      </c>
      <c r="J725" s="562">
        <v>44545</v>
      </c>
      <c r="K725" s="6" t="str">
        <f t="shared" si="34"/>
        <v>HD BLOW MOLDING</v>
      </c>
      <c r="L725" s="14">
        <f>VLOOKUP(J725,'USD to INR'!$B$2:$G$560,6,TRUE)</f>
        <v>75.313000000000002</v>
      </c>
      <c r="M725" s="216">
        <f t="shared" si="35"/>
        <v>1273.7508796622096</v>
      </c>
      <c r="N725" s="563">
        <f t="shared" si="33"/>
        <v>44545</v>
      </c>
    </row>
    <row r="726" spans="1:14" x14ac:dyDescent="0.25">
      <c r="A726" s="188" t="s">
        <v>530</v>
      </c>
      <c r="B726" s="188" t="s">
        <v>531</v>
      </c>
      <c r="C726" s="188" t="s">
        <v>532</v>
      </c>
      <c r="D726" s="560">
        <v>95930</v>
      </c>
      <c r="E726" s="188" t="s">
        <v>98</v>
      </c>
      <c r="F726" s="561">
        <v>1</v>
      </c>
      <c r="G726" s="188" t="s">
        <v>13</v>
      </c>
      <c r="H726" s="188" t="s">
        <v>539</v>
      </c>
      <c r="I726" s="562">
        <v>44546</v>
      </c>
      <c r="J726" s="562">
        <v>44561</v>
      </c>
      <c r="K726" s="6" t="str">
        <f t="shared" si="34"/>
        <v>HD BLOW MOLDING</v>
      </c>
      <c r="L726" s="14">
        <f>VLOOKUP(J726,'USD to INR'!$B$2:$G$560,6,TRUE)</f>
        <v>75.313000000000002</v>
      </c>
      <c r="M726" s="216">
        <f t="shared" si="35"/>
        <v>1273.7508796622096</v>
      </c>
      <c r="N726" s="563">
        <f t="shared" si="33"/>
        <v>44561</v>
      </c>
    </row>
    <row r="727" spans="1:14" x14ac:dyDescent="0.25">
      <c r="A727" s="188" t="s">
        <v>530</v>
      </c>
      <c r="B727" s="188" t="s">
        <v>531</v>
      </c>
      <c r="C727" s="188" t="s">
        <v>532</v>
      </c>
      <c r="D727" s="560">
        <v>80170</v>
      </c>
      <c r="E727" s="188" t="s">
        <v>98</v>
      </c>
      <c r="F727" s="561">
        <v>1</v>
      </c>
      <c r="G727" s="188" t="s">
        <v>13</v>
      </c>
      <c r="H727" s="188" t="s">
        <v>540</v>
      </c>
      <c r="I727" s="562">
        <v>43101</v>
      </c>
      <c r="J727" s="562">
        <v>43110</v>
      </c>
      <c r="K727" s="6" t="str">
        <f t="shared" si="34"/>
        <v>HD FILM</v>
      </c>
      <c r="L727" s="14">
        <f>VLOOKUP(J727,'USD to INR'!$B$2:$G$560,6,TRUE)</f>
        <v>63.61</v>
      </c>
      <c r="M727" s="216">
        <f t="shared" si="35"/>
        <v>1260.3364250903946</v>
      </c>
      <c r="N727" s="563">
        <f t="shared" si="33"/>
        <v>43110</v>
      </c>
    </row>
    <row r="728" spans="1:14" x14ac:dyDescent="0.25">
      <c r="A728" s="188" t="s">
        <v>530</v>
      </c>
      <c r="B728" s="188" t="s">
        <v>531</v>
      </c>
      <c r="C728" s="188" t="s">
        <v>532</v>
      </c>
      <c r="D728" s="560">
        <v>82030</v>
      </c>
      <c r="E728" s="188" t="s">
        <v>98</v>
      </c>
      <c r="F728" s="561">
        <v>1</v>
      </c>
      <c r="G728" s="188" t="s">
        <v>13</v>
      </c>
      <c r="H728" s="188" t="s">
        <v>540</v>
      </c>
      <c r="I728" s="562">
        <v>43111</v>
      </c>
      <c r="J728" s="562">
        <v>43117</v>
      </c>
      <c r="K728" s="6" t="str">
        <f t="shared" si="34"/>
        <v>HD FILM</v>
      </c>
      <c r="L728" s="14">
        <f>VLOOKUP(J728,'USD to INR'!$B$2:$G$560,6,TRUE)</f>
        <v>63.83</v>
      </c>
      <c r="M728" s="216">
        <f t="shared" si="35"/>
        <v>1285.132382892057</v>
      </c>
      <c r="N728" s="563">
        <f t="shared" si="33"/>
        <v>43117</v>
      </c>
    </row>
    <row r="729" spans="1:14" x14ac:dyDescent="0.25">
      <c r="A729" s="188" t="s">
        <v>530</v>
      </c>
      <c r="B729" s="188" t="s">
        <v>531</v>
      </c>
      <c r="C729" s="188" t="s">
        <v>532</v>
      </c>
      <c r="D729" s="560">
        <v>83420</v>
      </c>
      <c r="E729" s="188" t="s">
        <v>98</v>
      </c>
      <c r="F729" s="561">
        <v>1</v>
      </c>
      <c r="G729" s="188" t="s">
        <v>13</v>
      </c>
      <c r="H729" s="188" t="s">
        <v>540</v>
      </c>
      <c r="I729" s="562">
        <v>43118</v>
      </c>
      <c r="J729" s="562">
        <v>43124</v>
      </c>
      <c r="K729" s="6" t="str">
        <f t="shared" si="34"/>
        <v>HD FILM</v>
      </c>
      <c r="L729" s="14">
        <f>VLOOKUP(J729,'USD to INR'!$B$2:$G$560,6,TRUE)</f>
        <v>63.59</v>
      </c>
      <c r="M729" s="216">
        <f t="shared" si="35"/>
        <v>1311.8414845101431</v>
      </c>
      <c r="N729" s="563">
        <f t="shared" si="33"/>
        <v>43124</v>
      </c>
    </row>
    <row r="730" spans="1:14" x14ac:dyDescent="0.25">
      <c r="A730" s="188" t="s">
        <v>530</v>
      </c>
      <c r="B730" s="188" t="s">
        <v>531</v>
      </c>
      <c r="C730" s="188" t="s">
        <v>532</v>
      </c>
      <c r="D730" s="560">
        <v>84350</v>
      </c>
      <c r="E730" s="188" t="s">
        <v>98</v>
      </c>
      <c r="F730" s="561">
        <v>1</v>
      </c>
      <c r="G730" s="188" t="s">
        <v>13</v>
      </c>
      <c r="H730" s="188" t="s">
        <v>540</v>
      </c>
      <c r="I730" s="562">
        <v>43125</v>
      </c>
      <c r="J730" s="562">
        <v>43131</v>
      </c>
      <c r="K730" s="6" t="str">
        <f t="shared" si="34"/>
        <v>HD FILM</v>
      </c>
      <c r="L730" s="14">
        <f>VLOOKUP(J730,'USD to INR'!$B$2:$G$560,6,TRUE)</f>
        <v>64.13</v>
      </c>
      <c r="M730" s="216">
        <f t="shared" si="35"/>
        <v>1315.2970528613755</v>
      </c>
      <c r="N730" s="563">
        <f t="shared" si="33"/>
        <v>43131</v>
      </c>
    </row>
    <row r="731" spans="1:14" x14ac:dyDescent="0.25">
      <c r="A731" s="188" t="s">
        <v>530</v>
      </c>
      <c r="B731" s="188" t="s">
        <v>531</v>
      </c>
      <c r="C731" s="188" t="s">
        <v>532</v>
      </c>
      <c r="D731" s="560">
        <v>88050</v>
      </c>
      <c r="E731" s="188" t="s">
        <v>98</v>
      </c>
      <c r="F731" s="561">
        <v>1</v>
      </c>
      <c r="G731" s="188" t="s">
        <v>13</v>
      </c>
      <c r="H731" s="188" t="s">
        <v>540</v>
      </c>
      <c r="I731" s="562">
        <v>43132</v>
      </c>
      <c r="J731" s="562">
        <v>43145</v>
      </c>
      <c r="K731" s="6" t="str">
        <f t="shared" si="34"/>
        <v>HD FILM</v>
      </c>
      <c r="L731" s="14">
        <f>VLOOKUP(J731,'USD to INR'!$B$2:$G$560,6,TRUE)</f>
        <v>64.215000000000003</v>
      </c>
      <c r="M731" s="216">
        <f t="shared" si="35"/>
        <v>1371.1749591217006</v>
      </c>
      <c r="N731" s="563">
        <f t="shared" si="33"/>
        <v>43145</v>
      </c>
    </row>
    <row r="732" spans="1:14" x14ac:dyDescent="0.25">
      <c r="A732" s="188" t="s">
        <v>530</v>
      </c>
      <c r="B732" s="188" t="s">
        <v>531</v>
      </c>
      <c r="C732" s="188" t="s">
        <v>532</v>
      </c>
      <c r="D732" s="560">
        <v>90360</v>
      </c>
      <c r="E732" s="188" t="s">
        <v>98</v>
      </c>
      <c r="F732" s="561">
        <v>1</v>
      </c>
      <c r="G732" s="188" t="s">
        <v>13</v>
      </c>
      <c r="H732" s="188" t="s">
        <v>540</v>
      </c>
      <c r="I732" s="562">
        <v>43146</v>
      </c>
      <c r="J732" s="562">
        <v>43159</v>
      </c>
      <c r="K732" s="6" t="str">
        <f t="shared" si="34"/>
        <v>HD FILM</v>
      </c>
      <c r="L732" s="14">
        <f>VLOOKUP(J732,'USD to INR'!$B$2:$G$560,6,TRUE)</f>
        <v>65.22</v>
      </c>
      <c r="M732" s="216">
        <f t="shared" si="35"/>
        <v>1385.4645814167434</v>
      </c>
      <c r="N732" s="563">
        <f t="shared" si="33"/>
        <v>43159</v>
      </c>
    </row>
    <row r="733" spans="1:14" x14ac:dyDescent="0.25">
      <c r="A733" s="188" t="s">
        <v>530</v>
      </c>
      <c r="B733" s="188" t="s">
        <v>531</v>
      </c>
      <c r="C733" s="188" t="s">
        <v>532</v>
      </c>
      <c r="D733" s="560">
        <v>91290</v>
      </c>
      <c r="E733" s="188" t="s">
        <v>98</v>
      </c>
      <c r="F733" s="561">
        <v>1</v>
      </c>
      <c r="G733" s="188" t="s">
        <v>13</v>
      </c>
      <c r="H733" s="188" t="s">
        <v>540</v>
      </c>
      <c r="I733" s="562">
        <v>43160</v>
      </c>
      <c r="J733" s="562">
        <v>43190</v>
      </c>
      <c r="K733" s="6" t="str">
        <f t="shared" si="34"/>
        <v>HD FILM</v>
      </c>
      <c r="L733" s="14">
        <f>VLOOKUP(J733,'USD to INR'!$B$2:$G$560,6,TRUE)</f>
        <v>65.114999999999995</v>
      </c>
      <c r="M733" s="216">
        <f t="shared" si="35"/>
        <v>1401.9811103432389</v>
      </c>
      <c r="N733" s="563">
        <f t="shared" si="33"/>
        <v>43190</v>
      </c>
    </row>
    <row r="734" spans="1:14" x14ac:dyDescent="0.25">
      <c r="A734" s="188" t="s">
        <v>530</v>
      </c>
      <c r="B734" s="188" t="s">
        <v>531</v>
      </c>
      <c r="C734" s="188" t="s">
        <v>532</v>
      </c>
      <c r="D734" s="560">
        <v>92670</v>
      </c>
      <c r="E734" s="188" t="s">
        <v>98</v>
      </c>
      <c r="F734" s="561">
        <v>1</v>
      </c>
      <c r="G734" s="188" t="s">
        <v>13</v>
      </c>
      <c r="H734" s="188" t="s">
        <v>540</v>
      </c>
      <c r="I734" s="562">
        <v>43191</v>
      </c>
      <c r="J734" s="562">
        <v>43208</v>
      </c>
      <c r="K734" s="6" t="str">
        <f t="shared" si="34"/>
        <v>HD FILM</v>
      </c>
      <c r="L734" s="14">
        <f>VLOOKUP(J734,'USD to INR'!$B$2:$G$560,6,TRUE)</f>
        <v>66.209999999999994</v>
      </c>
      <c r="M734" s="216">
        <f t="shared" si="35"/>
        <v>1399.6375169913911</v>
      </c>
      <c r="N734" s="563">
        <f t="shared" si="33"/>
        <v>43208</v>
      </c>
    </row>
    <row r="735" spans="1:14" x14ac:dyDescent="0.25">
      <c r="A735" s="188" t="s">
        <v>530</v>
      </c>
      <c r="B735" s="188" t="s">
        <v>531</v>
      </c>
      <c r="C735" s="188" t="s">
        <v>532</v>
      </c>
      <c r="D735" s="560">
        <v>94060</v>
      </c>
      <c r="E735" s="188" t="s">
        <v>98</v>
      </c>
      <c r="F735" s="561">
        <v>1</v>
      </c>
      <c r="G735" s="188" t="s">
        <v>13</v>
      </c>
      <c r="H735" s="188" t="s">
        <v>540</v>
      </c>
      <c r="I735" s="562">
        <v>43209</v>
      </c>
      <c r="J735" s="562">
        <v>43220</v>
      </c>
      <c r="K735" s="6" t="str">
        <f t="shared" si="34"/>
        <v>HD FILM</v>
      </c>
      <c r="L735" s="14">
        <f>VLOOKUP(J735,'USD to INR'!$B$2:$G$560,6,TRUE)</f>
        <v>66.819999999999993</v>
      </c>
      <c r="M735" s="216">
        <f t="shared" si="35"/>
        <v>1407.6623765339721</v>
      </c>
      <c r="N735" s="563">
        <f t="shared" si="33"/>
        <v>43220</v>
      </c>
    </row>
    <row r="736" spans="1:14" x14ac:dyDescent="0.25">
      <c r="A736" s="188" t="s">
        <v>530</v>
      </c>
      <c r="B736" s="188" t="s">
        <v>531</v>
      </c>
      <c r="C736" s="188" t="s">
        <v>532</v>
      </c>
      <c r="D736" s="560">
        <v>97120</v>
      </c>
      <c r="E736" s="188" t="s">
        <v>98</v>
      </c>
      <c r="F736" s="561">
        <v>1</v>
      </c>
      <c r="G736" s="188" t="s">
        <v>13</v>
      </c>
      <c r="H736" s="188" t="s">
        <v>540</v>
      </c>
      <c r="I736" s="562">
        <v>43221</v>
      </c>
      <c r="J736" s="562">
        <v>43236</v>
      </c>
      <c r="K736" s="6" t="str">
        <f t="shared" si="34"/>
        <v>HD FILM</v>
      </c>
      <c r="L736" s="14">
        <f>VLOOKUP(J736,'USD to INR'!$B$2:$G$560,6,TRUE)</f>
        <v>67.989999999999995</v>
      </c>
      <c r="M736" s="216">
        <f t="shared" si="35"/>
        <v>1428.4453596117078</v>
      </c>
      <c r="N736" s="563">
        <f t="shared" si="33"/>
        <v>43236</v>
      </c>
    </row>
    <row r="737" spans="1:14" x14ac:dyDescent="0.25">
      <c r="A737" s="188" t="s">
        <v>530</v>
      </c>
      <c r="B737" s="188" t="s">
        <v>531</v>
      </c>
      <c r="C737" s="188" t="s">
        <v>532</v>
      </c>
      <c r="D737" s="560">
        <v>100890</v>
      </c>
      <c r="E737" s="188" t="s">
        <v>98</v>
      </c>
      <c r="F737" s="561">
        <v>1</v>
      </c>
      <c r="G737" s="188" t="s">
        <v>13</v>
      </c>
      <c r="H737" s="188" t="s">
        <v>540</v>
      </c>
      <c r="I737" s="562">
        <v>43237</v>
      </c>
      <c r="J737" s="562">
        <v>43251</v>
      </c>
      <c r="K737" s="6" t="str">
        <f t="shared" si="34"/>
        <v>HD FILM</v>
      </c>
      <c r="L737" s="14">
        <f>VLOOKUP(J737,'USD to INR'!$B$2:$G$560,6,TRUE)</f>
        <v>66.995000000000005</v>
      </c>
      <c r="M737" s="216">
        <f t="shared" si="35"/>
        <v>1505.9332786028808</v>
      </c>
      <c r="N737" s="563">
        <f t="shared" si="33"/>
        <v>43251</v>
      </c>
    </row>
    <row r="738" spans="1:14" x14ac:dyDescent="0.25">
      <c r="A738" s="188" t="s">
        <v>530</v>
      </c>
      <c r="B738" s="188" t="s">
        <v>531</v>
      </c>
      <c r="C738" s="188" t="s">
        <v>532</v>
      </c>
      <c r="D738" s="560">
        <v>100880</v>
      </c>
      <c r="E738" s="188" t="s">
        <v>98</v>
      </c>
      <c r="F738" s="561">
        <v>1</v>
      </c>
      <c r="G738" s="188" t="s">
        <v>13</v>
      </c>
      <c r="H738" s="188" t="s">
        <v>540</v>
      </c>
      <c r="I738" s="562">
        <v>43252</v>
      </c>
      <c r="J738" s="562">
        <v>43281</v>
      </c>
      <c r="K738" s="6" t="str">
        <f t="shared" si="34"/>
        <v>HD FILM</v>
      </c>
      <c r="L738" s="14">
        <f>VLOOKUP(J738,'USD to INR'!$B$2:$G$560,6,TRUE)</f>
        <v>68.459999999999994</v>
      </c>
      <c r="M738" s="216">
        <f t="shared" si="35"/>
        <v>1473.5612036225534</v>
      </c>
      <c r="N738" s="563">
        <f t="shared" si="33"/>
        <v>43281</v>
      </c>
    </row>
    <row r="739" spans="1:14" x14ac:dyDescent="0.25">
      <c r="A739" s="188" t="s">
        <v>530</v>
      </c>
      <c r="B739" s="188" t="s">
        <v>531</v>
      </c>
      <c r="C739" s="188" t="s">
        <v>532</v>
      </c>
      <c r="D739" s="560">
        <v>100890</v>
      </c>
      <c r="E739" s="188" t="s">
        <v>98</v>
      </c>
      <c r="F739" s="561">
        <v>1</v>
      </c>
      <c r="G739" s="188" t="s">
        <v>13</v>
      </c>
      <c r="H739" s="188" t="s">
        <v>540</v>
      </c>
      <c r="I739" s="562">
        <v>43282</v>
      </c>
      <c r="J739" s="562">
        <v>43292</v>
      </c>
      <c r="K739" s="6" t="str">
        <f t="shared" si="34"/>
        <v>HD FILM</v>
      </c>
      <c r="L739" s="14">
        <f>VLOOKUP(J739,'USD to INR'!$B$2:$G$560,6,TRUE)</f>
        <v>68.5</v>
      </c>
      <c r="M739" s="216">
        <f t="shared" si="35"/>
        <v>1472.8467153284671</v>
      </c>
      <c r="N739" s="563">
        <f t="shared" si="33"/>
        <v>43292</v>
      </c>
    </row>
    <row r="740" spans="1:14" x14ac:dyDescent="0.25">
      <c r="A740" s="188" t="s">
        <v>530</v>
      </c>
      <c r="B740" s="188" t="s">
        <v>531</v>
      </c>
      <c r="C740" s="188" t="s">
        <v>532</v>
      </c>
      <c r="D740" s="560">
        <v>100890</v>
      </c>
      <c r="E740" s="188" t="s">
        <v>98</v>
      </c>
      <c r="F740" s="561">
        <v>1</v>
      </c>
      <c r="G740" s="188" t="s">
        <v>13</v>
      </c>
      <c r="H740" s="188" t="s">
        <v>540</v>
      </c>
      <c r="I740" s="562">
        <v>43293</v>
      </c>
      <c r="J740" s="562">
        <v>43312</v>
      </c>
      <c r="K740" s="6" t="str">
        <f t="shared" si="34"/>
        <v>HD FILM</v>
      </c>
      <c r="L740" s="14">
        <f>VLOOKUP(J740,'USD to INR'!$B$2:$G$560,6,TRUE)</f>
        <v>68.545000000000002</v>
      </c>
      <c r="M740" s="216">
        <f t="shared" si="35"/>
        <v>1471.8797870012399</v>
      </c>
      <c r="N740" s="563">
        <f t="shared" si="33"/>
        <v>43312</v>
      </c>
    </row>
    <row r="741" spans="1:14" x14ac:dyDescent="0.25">
      <c r="A741" s="188" t="s">
        <v>530</v>
      </c>
      <c r="B741" s="188" t="s">
        <v>531</v>
      </c>
      <c r="C741" s="188" t="s">
        <v>532</v>
      </c>
      <c r="D741" s="560">
        <v>99040</v>
      </c>
      <c r="E741" s="188" t="s">
        <v>98</v>
      </c>
      <c r="F741" s="561">
        <v>1</v>
      </c>
      <c r="G741" s="188" t="s">
        <v>13</v>
      </c>
      <c r="H741" s="188" t="s">
        <v>540</v>
      </c>
      <c r="I741" s="562">
        <v>43313</v>
      </c>
      <c r="J741" s="562">
        <v>43343</v>
      </c>
      <c r="K741" s="6" t="str">
        <f t="shared" si="34"/>
        <v>HD FILM</v>
      </c>
      <c r="L741" s="14">
        <f>VLOOKUP(J741,'USD to INR'!$B$2:$G$560,6,TRUE)</f>
        <v>71.004999999999995</v>
      </c>
      <c r="M741" s="216">
        <f t="shared" si="35"/>
        <v>1394.8313499049364</v>
      </c>
      <c r="N741" s="563">
        <f t="shared" si="33"/>
        <v>43343</v>
      </c>
    </row>
    <row r="742" spans="1:14" x14ac:dyDescent="0.25">
      <c r="A742" s="188" t="s">
        <v>530</v>
      </c>
      <c r="B742" s="188" t="s">
        <v>531</v>
      </c>
      <c r="C742" s="188" t="s">
        <v>532</v>
      </c>
      <c r="D742" s="560">
        <v>99030</v>
      </c>
      <c r="E742" s="188" t="s">
        <v>98</v>
      </c>
      <c r="F742" s="561">
        <v>1</v>
      </c>
      <c r="G742" s="188" t="s">
        <v>13</v>
      </c>
      <c r="H742" s="188" t="s">
        <v>540</v>
      </c>
      <c r="I742" s="562">
        <v>43344</v>
      </c>
      <c r="J742" s="562">
        <v>43373</v>
      </c>
      <c r="K742" s="6" t="str">
        <f t="shared" si="34"/>
        <v>HD FILM</v>
      </c>
      <c r="L742" s="14">
        <f>VLOOKUP(J742,'USD to INR'!$B$2:$G$560,6,TRUE)</f>
        <v>73.77</v>
      </c>
      <c r="M742" s="216">
        <f t="shared" si="35"/>
        <v>1342.4156161041074</v>
      </c>
      <c r="N742" s="563">
        <f t="shared" si="33"/>
        <v>43373</v>
      </c>
    </row>
    <row r="743" spans="1:14" x14ac:dyDescent="0.25">
      <c r="A743" s="188" t="s">
        <v>530</v>
      </c>
      <c r="B743" s="188" t="s">
        <v>531</v>
      </c>
      <c r="C743" s="188" t="s">
        <v>532</v>
      </c>
      <c r="D743" s="560">
        <v>99060</v>
      </c>
      <c r="E743" s="188" t="s">
        <v>98</v>
      </c>
      <c r="F743" s="561">
        <v>1</v>
      </c>
      <c r="G743" s="188" t="s">
        <v>13</v>
      </c>
      <c r="H743" s="188" t="s">
        <v>540</v>
      </c>
      <c r="I743" s="562">
        <v>43374</v>
      </c>
      <c r="J743" s="562">
        <v>43383</v>
      </c>
      <c r="K743" s="6" t="str">
        <f t="shared" si="34"/>
        <v>HD FILM</v>
      </c>
      <c r="L743" s="14">
        <f>VLOOKUP(J743,'USD to INR'!$B$2:$G$560,6,TRUE)</f>
        <v>73.61</v>
      </c>
      <c r="M743" s="216">
        <f t="shared" si="35"/>
        <v>1345.7410677897026</v>
      </c>
      <c r="N743" s="563">
        <f t="shared" si="33"/>
        <v>43383</v>
      </c>
    </row>
    <row r="744" spans="1:14" x14ac:dyDescent="0.25">
      <c r="A744" s="188" t="s">
        <v>530</v>
      </c>
      <c r="B744" s="188" t="s">
        <v>531</v>
      </c>
      <c r="C744" s="188" t="s">
        <v>532</v>
      </c>
      <c r="D744" s="560">
        <v>100450</v>
      </c>
      <c r="E744" s="188" t="s">
        <v>98</v>
      </c>
      <c r="F744" s="561">
        <v>1</v>
      </c>
      <c r="G744" s="188" t="s">
        <v>13</v>
      </c>
      <c r="H744" s="188" t="s">
        <v>540</v>
      </c>
      <c r="I744" s="562">
        <v>43384</v>
      </c>
      <c r="J744" s="562">
        <v>43404</v>
      </c>
      <c r="K744" s="6" t="str">
        <f t="shared" si="34"/>
        <v>HD FILM</v>
      </c>
      <c r="L744" s="14">
        <f>VLOOKUP(J744,'USD to INR'!$B$2:$G$560,6,TRUE)</f>
        <v>72.44</v>
      </c>
      <c r="M744" s="216">
        <f t="shared" si="35"/>
        <v>1386.6648260629486</v>
      </c>
      <c r="N744" s="563">
        <f t="shared" si="33"/>
        <v>43404</v>
      </c>
    </row>
    <row r="745" spans="1:14" x14ac:dyDescent="0.25">
      <c r="A745" s="188" t="s">
        <v>530</v>
      </c>
      <c r="B745" s="188" t="s">
        <v>531</v>
      </c>
      <c r="C745" s="188" t="s">
        <v>532</v>
      </c>
      <c r="D745" s="560">
        <v>100450</v>
      </c>
      <c r="E745" s="188" t="s">
        <v>98</v>
      </c>
      <c r="F745" s="561">
        <v>1</v>
      </c>
      <c r="G745" s="188" t="s">
        <v>13</v>
      </c>
      <c r="H745" s="188" t="s">
        <v>540</v>
      </c>
      <c r="I745" s="562">
        <v>43405</v>
      </c>
      <c r="J745" s="562">
        <v>43418</v>
      </c>
      <c r="K745" s="6" t="str">
        <f t="shared" si="34"/>
        <v>HD FILM</v>
      </c>
      <c r="L745" s="14">
        <f>VLOOKUP(J745,'USD to INR'!$B$2:$G$560,6,TRUE)</f>
        <v>71.98</v>
      </c>
      <c r="M745" s="216">
        <f t="shared" si="35"/>
        <v>1395.5265351486523</v>
      </c>
      <c r="N745" s="563">
        <f t="shared" si="33"/>
        <v>43418</v>
      </c>
    </row>
    <row r="746" spans="1:14" x14ac:dyDescent="0.25">
      <c r="A746" s="188" t="s">
        <v>530</v>
      </c>
      <c r="B746" s="188" t="s">
        <v>531</v>
      </c>
      <c r="C746" s="188" t="s">
        <v>532</v>
      </c>
      <c r="D746" s="560">
        <v>95330</v>
      </c>
      <c r="E746" s="188" t="s">
        <v>98</v>
      </c>
      <c r="F746" s="561">
        <v>1</v>
      </c>
      <c r="G746" s="188" t="s">
        <v>13</v>
      </c>
      <c r="H746" s="188" t="s">
        <v>540</v>
      </c>
      <c r="I746" s="562">
        <v>43419</v>
      </c>
      <c r="J746" s="562">
        <v>43425</v>
      </c>
      <c r="K746" s="6" t="str">
        <f t="shared" si="34"/>
        <v>HD FILM</v>
      </c>
      <c r="L746" s="14">
        <f>VLOOKUP(J746,'USD to INR'!$B$2:$G$560,6,TRUE)</f>
        <v>70.655000000000001</v>
      </c>
      <c r="M746" s="216">
        <f t="shared" si="35"/>
        <v>1349.2321845587715</v>
      </c>
      <c r="N746" s="563">
        <f t="shared" si="33"/>
        <v>43425</v>
      </c>
    </row>
    <row r="747" spans="1:14" x14ac:dyDescent="0.25">
      <c r="A747" s="188" t="s">
        <v>530</v>
      </c>
      <c r="B747" s="188" t="s">
        <v>531</v>
      </c>
      <c r="C747" s="188" t="s">
        <v>532</v>
      </c>
      <c r="D747" s="560">
        <v>88870</v>
      </c>
      <c r="E747" s="188" t="s">
        <v>98</v>
      </c>
      <c r="F747" s="561">
        <v>1</v>
      </c>
      <c r="G747" s="188" t="s">
        <v>13</v>
      </c>
      <c r="H747" s="188" t="s">
        <v>540</v>
      </c>
      <c r="I747" s="562">
        <v>43426</v>
      </c>
      <c r="J747" s="562">
        <v>43434</v>
      </c>
      <c r="K747" s="6" t="str">
        <f t="shared" si="34"/>
        <v>HD FILM</v>
      </c>
      <c r="L747" s="14">
        <f>VLOOKUP(J747,'USD to INR'!$B$2:$G$560,6,TRUE)</f>
        <v>69.650000000000006</v>
      </c>
      <c r="M747" s="216">
        <f t="shared" si="35"/>
        <v>1275.9511844938979</v>
      </c>
      <c r="N747" s="563">
        <f t="shared" si="33"/>
        <v>43434</v>
      </c>
    </row>
    <row r="748" spans="1:14" x14ac:dyDescent="0.25">
      <c r="A748" s="188" t="s">
        <v>530</v>
      </c>
      <c r="B748" s="188" t="s">
        <v>531</v>
      </c>
      <c r="C748" s="188" t="s">
        <v>532</v>
      </c>
      <c r="D748" s="560">
        <v>81920</v>
      </c>
      <c r="E748" s="188" t="s">
        <v>98</v>
      </c>
      <c r="F748" s="561">
        <v>1</v>
      </c>
      <c r="G748" s="188" t="s">
        <v>13</v>
      </c>
      <c r="H748" s="188" t="s">
        <v>540</v>
      </c>
      <c r="I748" s="562">
        <v>43435</v>
      </c>
      <c r="J748" s="562">
        <v>43465</v>
      </c>
      <c r="K748" s="6" t="str">
        <f t="shared" si="34"/>
        <v>HD FILM</v>
      </c>
      <c r="L748" s="14">
        <f>VLOOKUP(J748,'USD to INR'!$B$2:$G$560,6,TRUE)</f>
        <v>69.55</v>
      </c>
      <c r="M748" s="216">
        <f t="shared" si="35"/>
        <v>1177.8576563623294</v>
      </c>
      <c r="N748" s="563">
        <f t="shared" si="33"/>
        <v>43465</v>
      </c>
    </row>
    <row r="749" spans="1:14" x14ac:dyDescent="0.25">
      <c r="A749" s="188" t="s">
        <v>530</v>
      </c>
      <c r="B749" s="188" t="s">
        <v>531</v>
      </c>
      <c r="C749" s="188" t="s">
        <v>532</v>
      </c>
      <c r="D749" s="560">
        <v>80775</v>
      </c>
      <c r="E749" s="188" t="s">
        <v>98</v>
      </c>
      <c r="F749" s="561">
        <v>1</v>
      </c>
      <c r="G749" s="188" t="s">
        <v>13</v>
      </c>
      <c r="H749" s="188" t="s">
        <v>540</v>
      </c>
      <c r="I749" s="562">
        <v>43466</v>
      </c>
      <c r="J749" s="562">
        <v>43474</v>
      </c>
      <c r="K749" s="6" t="str">
        <f t="shared" si="34"/>
        <v>HD FILM</v>
      </c>
      <c r="L749" s="14">
        <f>VLOOKUP(J749,'USD to INR'!$B$2:$G$560,6,TRUE)</f>
        <v>70.399000000000001</v>
      </c>
      <c r="M749" s="216">
        <f t="shared" si="35"/>
        <v>1147.3884572224038</v>
      </c>
      <c r="N749" s="563">
        <f t="shared" si="33"/>
        <v>43474</v>
      </c>
    </row>
    <row r="750" spans="1:14" x14ac:dyDescent="0.25">
      <c r="A750" s="188" t="s">
        <v>530</v>
      </c>
      <c r="B750" s="188" t="s">
        <v>531</v>
      </c>
      <c r="C750" s="188" t="s">
        <v>532</v>
      </c>
      <c r="D750" s="560">
        <v>79025</v>
      </c>
      <c r="E750" s="188" t="s">
        <v>98</v>
      </c>
      <c r="F750" s="561">
        <v>1</v>
      </c>
      <c r="G750" s="188" t="s">
        <v>13</v>
      </c>
      <c r="H750" s="188" t="s">
        <v>540</v>
      </c>
      <c r="I750" s="562">
        <v>43475</v>
      </c>
      <c r="J750" s="562">
        <v>43496</v>
      </c>
      <c r="K750" s="6" t="str">
        <f t="shared" si="34"/>
        <v>HD FILM</v>
      </c>
      <c r="L750" s="14">
        <f>VLOOKUP(J750,'USD to INR'!$B$2:$G$560,6,TRUE)</f>
        <v>71.435000000000002</v>
      </c>
      <c r="M750" s="216">
        <f t="shared" si="35"/>
        <v>1106.2504374606285</v>
      </c>
      <c r="N750" s="563">
        <f t="shared" si="33"/>
        <v>43496</v>
      </c>
    </row>
    <row r="751" spans="1:14" x14ac:dyDescent="0.25">
      <c r="A751" s="188" t="s">
        <v>530</v>
      </c>
      <c r="B751" s="188" t="s">
        <v>531</v>
      </c>
      <c r="C751" s="188" t="s">
        <v>532</v>
      </c>
      <c r="D751" s="560">
        <v>79015</v>
      </c>
      <c r="E751" s="188" t="s">
        <v>98</v>
      </c>
      <c r="F751" s="561">
        <v>1</v>
      </c>
      <c r="G751" s="188" t="s">
        <v>13</v>
      </c>
      <c r="H751" s="188" t="s">
        <v>540</v>
      </c>
      <c r="I751" s="562">
        <v>43497</v>
      </c>
      <c r="J751" s="562">
        <v>43524</v>
      </c>
      <c r="K751" s="6" t="str">
        <f t="shared" si="34"/>
        <v>HD FILM</v>
      </c>
      <c r="L751" s="14">
        <f>VLOOKUP(J751,'USD to INR'!$B$2:$G$560,6,TRUE)</f>
        <v>71</v>
      </c>
      <c r="M751" s="216">
        <f t="shared" si="35"/>
        <v>1112.8873239436621</v>
      </c>
      <c r="N751" s="563">
        <f t="shared" si="33"/>
        <v>43524</v>
      </c>
    </row>
    <row r="752" spans="1:14" x14ac:dyDescent="0.25">
      <c r="A752" s="188" t="s">
        <v>530</v>
      </c>
      <c r="B752" s="188" t="s">
        <v>531</v>
      </c>
      <c r="C752" s="188" t="s">
        <v>532</v>
      </c>
      <c r="D752" s="560">
        <v>79015</v>
      </c>
      <c r="E752" s="188" t="s">
        <v>98</v>
      </c>
      <c r="F752" s="561">
        <v>1</v>
      </c>
      <c r="G752" s="188" t="s">
        <v>13</v>
      </c>
      <c r="H752" s="188" t="s">
        <v>540</v>
      </c>
      <c r="I752" s="562">
        <v>43525</v>
      </c>
      <c r="J752" s="562">
        <v>43555</v>
      </c>
      <c r="K752" s="6" t="str">
        <f t="shared" si="34"/>
        <v>HD FILM</v>
      </c>
      <c r="L752" s="14">
        <f>VLOOKUP(J752,'USD to INR'!$B$2:$G$560,6,TRUE)</f>
        <v>69.17</v>
      </c>
      <c r="M752" s="216">
        <f t="shared" si="35"/>
        <v>1142.3304900968628</v>
      </c>
      <c r="N752" s="563">
        <f t="shared" si="33"/>
        <v>43555</v>
      </c>
    </row>
    <row r="753" spans="1:14" x14ac:dyDescent="0.25">
      <c r="A753" s="188" t="s">
        <v>530</v>
      </c>
      <c r="B753" s="188" t="s">
        <v>531</v>
      </c>
      <c r="C753" s="188" t="s">
        <v>532</v>
      </c>
      <c r="D753" s="560">
        <v>79015</v>
      </c>
      <c r="E753" s="188" t="s">
        <v>98</v>
      </c>
      <c r="F753" s="561">
        <v>1</v>
      </c>
      <c r="G753" s="188" t="s">
        <v>13</v>
      </c>
      <c r="H753" s="188" t="s">
        <v>540</v>
      </c>
      <c r="I753" s="562">
        <v>43556</v>
      </c>
      <c r="J753" s="562">
        <v>43585</v>
      </c>
      <c r="K753" s="6" t="str">
        <f t="shared" si="34"/>
        <v>HD FILM</v>
      </c>
      <c r="L753" s="14">
        <f>VLOOKUP(J753,'USD to INR'!$B$2:$G$560,6,TRUE)</f>
        <v>69.094999999999999</v>
      </c>
      <c r="M753" s="216">
        <f t="shared" si="35"/>
        <v>1143.5704464867213</v>
      </c>
      <c r="N753" s="563">
        <f t="shared" si="33"/>
        <v>43585</v>
      </c>
    </row>
    <row r="754" spans="1:14" x14ac:dyDescent="0.25">
      <c r="A754" s="188" t="s">
        <v>530</v>
      </c>
      <c r="B754" s="188" t="s">
        <v>531</v>
      </c>
      <c r="C754" s="188" t="s">
        <v>532</v>
      </c>
      <c r="D754" s="560">
        <v>79105</v>
      </c>
      <c r="E754" s="188" t="s">
        <v>98</v>
      </c>
      <c r="F754" s="561">
        <v>1</v>
      </c>
      <c r="G754" s="188" t="s">
        <v>13</v>
      </c>
      <c r="H754" s="188" t="s">
        <v>540</v>
      </c>
      <c r="I754" s="562">
        <v>43586</v>
      </c>
      <c r="J754" s="562">
        <v>43586</v>
      </c>
      <c r="K754" s="6" t="str">
        <f t="shared" si="34"/>
        <v>HD FILM</v>
      </c>
      <c r="L754" s="14">
        <f>VLOOKUP(J754,'USD to INR'!$B$2:$G$560,6,TRUE)</f>
        <v>69.094999999999999</v>
      </c>
      <c r="M754" s="216">
        <f t="shared" si="35"/>
        <v>1144.8730009407338</v>
      </c>
      <c r="N754" s="563">
        <f t="shared" si="33"/>
        <v>43586</v>
      </c>
    </row>
    <row r="755" spans="1:14" x14ac:dyDescent="0.25">
      <c r="A755" s="188" t="s">
        <v>530</v>
      </c>
      <c r="B755" s="188" t="s">
        <v>531</v>
      </c>
      <c r="C755" s="188" t="s">
        <v>532</v>
      </c>
      <c r="D755" s="560">
        <v>77255</v>
      </c>
      <c r="E755" s="188" t="s">
        <v>98</v>
      </c>
      <c r="F755" s="561">
        <v>1</v>
      </c>
      <c r="G755" s="188" t="s">
        <v>13</v>
      </c>
      <c r="H755" s="188" t="s">
        <v>540</v>
      </c>
      <c r="I755" s="562">
        <v>43587</v>
      </c>
      <c r="J755" s="562">
        <v>43593</v>
      </c>
      <c r="K755" s="6" t="str">
        <f t="shared" si="34"/>
        <v>HD FILM</v>
      </c>
      <c r="L755" s="14">
        <f>VLOOKUP(J755,'USD to INR'!$B$2:$G$560,6,TRUE)</f>
        <v>70.015000000000001</v>
      </c>
      <c r="M755" s="216">
        <f t="shared" si="35"/>
        <v>1103.4064129115191</v>
      </c>
      <c r="N755" s="563">
        <f t="shared" si="33"/>
        <v>43593</v>
      </c>
    </row>
    <row r="756" spans="1:14" x14ac:dyDescent="0.25">
      <c r="A756" s="188" t="s">
        <v>530</v>
      </c>
      <c r="B756" s="188" t="s">
        <v>531</v>
      </c>
      <c r="C756" s="188" t="s">
        <v>532</v>
      </c>
      <c r="D756" s="560">
        <v>77255</v>
      </c>
      <c r="E756" s="188" t="s">
        <v>98</v>
      </c>
      <c r="F756" s="561">
        <v>1</v>
      </c>
      <c r="G756" s="188" t="s">
        <v>13</v>
      </c>
      <c r="H756" s="188" t="s">
        <v>540</v>
      </c>
      <c r="I756" s="562">
        <v>43594</v>
      </c>
      <c r="J756" s="562">
        <v>43600</v>
      </c>
      <c r="K756" s="6" t="str">
        <f t="shared" si="34"/>
        <v>HD FILM</v>
      </c>
      <c r="L756" s="14">
        <f>VLOOKUP(J756,'USD to INR'!$B$2:$G$560,6,TRUE)</f>
        <v>70.28</v>
      </c>
      <c r="M756" s="216">
        <f t="shared" si="35"/>
        <v>1099.245873648264</v>
      </c>
      <c r="N756" s="563">
        <f t="shared" si="33"/>
        <v>43600</v>
      </c>
    </row>
    <row r="757" spans="1:14" x14ac:dyDescent="0.25">
      <c r="A757" s="188" t="s">
        <v>530</v>
      </c>
      <c r="B757" s="188" t="s">
        <v>531</v>
      </c>
      <c r="C757" s="188" t="s">
        <v>532</v>
      </c>
      <c r="D757" s="560">
        <v>75870</v>
      </c>
      <c r="E757" s="188" t="s">
        <v>98</v>
      </c>
      <c r="F757" s="561">
        <v>1</v>
      </c>
      <c r="G757" s="188" t="s">
        <v>13</v>
      </c>
      <c r="H757" s="188" t="s">
        <v>540</v>
      </c>
      <c r="I757" s="562">
        <v>43601</v>
      </c>
      <c r="J757" s="562">
        <v>43616</v>
      </c>
      <c r="K757" s="6" t="str">
        <f t="shared" si="34"/>
        <v>HD FILM</v>
      </c>
      <c r="L757" s="14">
        <f>VLOOKUP(J757,'USD to INR'!$B$2:$G$560,6,TRUE)</f>
        <v>69.58</v>
      </c>
      <c r="M757" s="216">
        <f t="shared" si="35"/>
        <v>1090.3995400977292</v>
      </c>
      <c r="N757" s="563">
        <f t="shared" si="33"/>
        <v>43616</v>
      </c>
    </row>
    <row r="758" spans="1:14" x14ac:dyDescent="0.25">
      <c r="A758" s="188" t="s">
        <v>530</v>
      </c>
      <c r="B758" s="188" t="s">
        <v>531</v>
      </c>
      <c r="C758" s="188" t="s">
        <v>532</v>
      </c>
      <c r="D758" s="560">
        <v>74941</v>
      </c>
      <c r="E758" s="188" t="s">
        <v>98</v>
      </c>
      <c r="F758" s="561">
        <v>1</v>
      </c>
      <c r="G758" s="188" t="s">
        <v>13</v>
      </c>
      <c r="H758" s="188" t="s">
        <v>540</v>
      </c>
      <c r="I758" s="562">
        <v>43617</v>
      </c>
      <c r="J758" s="562">
        <v>43620</v>
      </c>
      <c r="K758" s="6" t="str">
        <f t="shared" si="34"/>
        <v>HD FILM</v>
      </c>
      <c r="L758" s="14">
        <f>VLOOKUP(J758,'USD to INR'!$B$2:$G$560,6,TRUE)</f>
        <v>69.355000000000004</v>
      </c>
      <c r="M758" s="216">
        <f t="shared" si="35"/>
        <v>1080.5421382740969</v>
      </c>
      <c r="N758" s="563">
        <f t="shared" si="33"/>
        <v>43620</v>
      </c>
    </row>
    <row r="759" spans="1:14" x14ac:dyDescent="0.25">
      <c r="A759" s="188" t="s">
        <v>530</v>
      </c>
      <c r="B759" s="188" t="s">
        <v>531</v>
      </c>
      <c r="C759" s="188" t="s">
        <v>532</v>
      </c>
      <c r="D759" s="560">
        <v>73563</v>
      </c>
      <c r="E759" s="188" t="s">
        <v>98</v>
      </c>
      <c r="F759" s="561">
        <v>1</v>
      </c>
      <c r="G759" s="188" t="s">
        <v>13</v>
      </c>
      <c r="H759" s="188" t="s">
        <v>540</v>
      </c>
      <c r="I759" s="562">
        <v>43621</v>
      </c>
      <c r="J759" s="562">
        <v>43628</v>
      </c>
      <c r="K759" s="6" t="str">
        <f t="shared" si="34"/>
        <v>HD FILM</v>
      </c>
      <c r="L759" s="14">
        <f>VLOOKUP(J759,'USD to INR'!$B$2:$G$560,6,TRUE)</f>
        <v>69.832999999999998</v>
      </c>
      <c r="M759" s="216">
        <f t="shared" si="35"/>
        <v>1053.4131427834977</v>
      </c>
      <c r="N759" s="563">
        <f t="shared" si="33"/>
        <v>43628</v>
      </c>
    </row>
    <row r="760" spans="1:14" x14ac:dyDescent="0.25">
      <c r="A760" s="188" t="s">
        <v>530</v>
      </c>
      <c r="B760" s="188" t="s">
        <v>531</v>
      </c>
      <c r="C760" s="188" t="s">
        <v>532</v>
      </c>
      <c r="D760" s="560">
        <v>71711</v>
      </c>
      <c r="E760" s="188" t="s">
        <v>98</v>
      </c>
      <c r="F760" s="561">
        <v>1</v>
      </c>
      <c r="G760" s="188" t="s">
        <v>13</v>
      </c>
      <c r="H760" s="188" t="s">
        <v>540</v>
      </c>
      <c r="I760" s="562">
        <v>43629</v>
      </c>
      <c r="J760" s="562">
        <v>43646</v>
      </c>
      <c r="K760" s="6" t="str">
        <f t="shared" si="34"/>
        <v>HD FILM</v>
      </c>
      <c r="L760" s="14">
        <f>VLOOKUP(J760,'USD to INR'!$B$2:$G$560,6,TRUE)</f>
        <v>68.45</v>
      </c>
      <c r="M760" s="216">
        <f t="shared" si="35"/>
        <v>1047.6406135865595</v>
      </c>
      <c r="N760" s="563">
        <f t="shared" si="33"/>
        <v>43646</v>
      </c>
    </row>
    <row r="761" spans="1:14" x14ac:dyDescent="0.25">
      <c r="A761" s="188" t="s">
        <v>530</v>
      </c>
      <c r="B761" s="188" t="s">
        <v>531</v>
      </c>
      <c r="C761" s="188" t="s">
        <v>532</v>
      </c>
      <c r="D761" s="560">
        <v>71649</v>
      </c>
      <c r="E761" s="188" t="s">
        <v>98</v>
      </c>
      <c r="F761" s="561">
        <v>1</v>
      </c>
      <c r="G761" s="188" t="s">
        <v>13</v>
      </c>
      <c r="H761" s="188" t="s">
        <v>540</v>
      </c>
      <c r="I761" s="562">
        <v>43647</v>
      </c>
      <c r="J761" s="562">
        <v>43677</v>
      </c>
      <c r="K761" s="6" t="str">
        <f t="shared" si="34"/>
        <v>HD FILM</v>
      </c>
      <c r="L761" s="14">
        <f>VLOOKUP(J761,'USD to INR'!$B$2:$G$560,6,TRUE)</f>
        <v>69.7</v>
      </c>
      <c r="M761" s="216">
        <f t="shared" si="35"/>
        <v>1027.9626972740316</v>
      </c>
      <c r="N761" s="563">
        <f t="shared" si="33"/>
        <v>43677</v>
      </c>
    </row>
    <row r="762" spans="1:14" x14ac:dyDescent="0.25">
      <c r="A762" s="188" t="s">
        <v>530</v>
      </c>
      <c r="B762" s="188" t="s">
        <v>531</v>
      </c>
      <c r="C762" s="188" t="s">
        <v>532</v>
      </c>
      <c r="D762" s="560">
        <v>71629</v>
      </c>
      <c r="E762" s="188" t="s">
        <v>98</v>
      </c>
      <c r="F762" s="561">
        <v>1</v>
      </c>
      <c r="G762" s="188" t="s">
        <v>13</v>
      </c>
      <c r="H762" s="188" t="s">
        <v>540</v>
      </c>
      <c r="I762" s="562">
        <v>43678</v>
      </c>
      <c r="J762" s="562">
        <v>43684</v>
      </c>
      <c r="K762" s="6" t="str">
        <f t="shared" si="34"/>
        <v>HD FILM</v>
      </c>
      <c r="L762" s="14">
        <f>VLOOKUP(J762,'USD to INR'!$B$2:$G$560,6,TRUE)</f>
        <v>70.924000000000007</v>
      </c>
      <c r="M762" s="216">
        <f t="shared" si="35"/>
        <v>1009.9402176978173</v>
      </c>
      <c r="N762" s="563">
        <f t="shared" si="33"/>
        <v>43684</v>
      </c>
    </row>
    <row r="763" spans="1:14" x14ac:dyDescent="0.25">
      <c r="A763" s="188" t="s">
        <v>530</v>
      </c>
      <c r="B763" s="188" t="s">
        <v>531</v>
      </c>
      <c r="C763" s="188" t="s">
        <v>532</v>
      </c>
      <c r="D763" s="560">
        <v>73015</v>
      </c>
      <c r="E763" s="188" t="s">
        <v>98</v>
      </c>
      <c r="F763" s="561">
        <v>1</v>
      </c>
      <c r="G763" s="188" t="s">
        <v>13</v>
      </c>
      <c r="H763" s="188" t="s">
        <v>540</v>
      </c>
      <c r="I763" s="562">
        <v>43685</v>
      </c>
      <c r="J763" s="562">
        <v>43708</v>
      </c>
      <c r="K763" s="6" t="str">
        <f t="shared" si="34"/>
        <v>HD FILM</v>
      </c>
      <c r="L763" s="14">
        <f>VLOOKUP(J763,'USD to INR'!$B$2:$G$560,6,TRUE)</f>
        <v>71.453000000000003</v>
      </c>
      <c r="M763" s="216">
        <f t="shared" si="35"/>
        <v>1021.8605237008943</v>
      </c>
      <c r="N763" s="563">
        <f t="shared" si="33"/>
        <v>43708</v>
      </c>
    </row>
    <row r="764" spans="1:14" x14ac:dyDescent="0.25">
      <c r="A764" s="188" t="s">
        <v>530</v>
      </c>
      <c r="B764" s="188" t="s">
        <v>531</v>
      </c>
      <c r="C764" s="188" t="s">
        <v>532</v>
      </c>
      <c r="D764" s="560">
        <v>73019</v>
      </c>
      <c r="E764" s="188" t="s">
        <v>98</v>
      </c>
      <c r="F764" s="561">
        <v>1</v>
      </c>
      <c r="G764" s="188" t="s">
        <v>13</v>
      </c>
      <c r="H764" s="188" t="s">
        <v>540</v>
      </c>
      <c r="I764" s="562">
        <v>43709</v>
      </c>
      <c r="J764" s="562">
        <v>43719</v>
      </c>
      <c r="K764" s="6" t="str">
        <f t="shared" si="34"/>
        <v>HD FILM</v>
      </c>
      <c r="L764" s="14">
        <f>VLOOKUP(J764,'USD to INR'!$B$2:$G$560,6,TRUE)</f>
        <v>70.984999999999999</v>
      </c>
      <c r="M764" s="216">
        <f t="shared" si="35"/>
        <v>1028.6539409734451</v>
      </c>
      <c r="N764" s="563">
        <f t="shared" si="33"/>
        <v>43719</v>
      </c>
    </row>
    <row r="765" spans="1:14" x14ac:dyDescent="0.25">
      <c r="A765" s="188" t="s">
        <v>530</v>
      </c>
      <c r="B765" s="188" t="s">
        <v>531</v>
      </c>
      <c r="C765" s="188" t="s">
        <v>532</v>
      </c>
      <c r="D765" s="560">
        <v>70248</v>
      </c>
      <c r="E765" s="188" t="s">
        <v>98</v>
      </c>
      <c r="F765" s="561">
        <v>1</v>
      </c>
      <c r="G765" s="188" t="s">
        <v>13</v>
      </c>
      <c r="H765" s="188" t="s">
        <v>540</v>
      </c>
      <c r="I765" s="562">
        <v>43720</v>
      </c>
      <c r="J765" s="562">
        <v>43726</v>
      </c>
      <c r="K765" s="6" t="str">
        <f t="shared" si="34"/>
        <v>HD FILM</v>
      </c>
      <c r="L765" s="14">
        <f>VLOOKUP(J765,'USD to INR'!$B$2:$G$560,6,TRUE)</f>
        <v>71.075000000000003</v>
      </c>
      <c r="M765" s="216">
        <f t="shared" si="35"/>
        <v>988.36440379880401</v>
      </c>
      <c r="N765" s="563">
        <f t="shared" si="33"/>
        <v>43726</v>
      </c>
    </row>
    <row r="766" spans="1:14" x14ac:dyDescent="0.25">
      <c r="A766" s="188" t="s">
        <v>530</v>
      </c>
      <c r="B766" s="188" t="s">
        <v>531</v>
      </c>
      <c r="C766" s="188" t="s">
        <v>532</v>
      </c>
      <c r="D766" s="560">
        <v>71173</v>
      </c>
      <c r="E766" s="188" t="s">
        <v>98</v>
      </c>
      <c r="F766" s="561">
        <v>1</v>
      </c>
      <c r="G766" s="188" t="s">
        <v>13</v>
      </c>
      <c r="H766" s="188" t="s">
        <v>540</v>
      </c>
      <c r="I766" s="562">
        <v>43727</v>
      </c>
      <c r="J766" s="562">
        <v>43738</v>
      </c>
      <c r="K766" s="6" t="str">
        <f t="shared" si="34"/>
        <v>HD FILM</v>
      </c>
      <c r="L766" s="14">
        <f>VLOOKUP(J766,'USD to INR'!$B$2:$G$560,6,TRUE)</f>
        <v>70.825000000000003</v>
      </c>
      <c r="M766" s="216">
        <f t="shared" si="35"/>
        <v>1004.9135192375574</v>
      </c>
      <c r="N766" s="563">
        <f t="shared" si="33"/>
        <v>43738</v>
      </c>
    </row>
    <row r="767" spans="1:14" x14ac:dyDescent="0.25">
      <c r="A767" s="188" t="s">
        <v>530</v>
      </c>
      <c r="B767" s="188" t="s">
        <v>531</v>
      </c>
      <c r="C767" s="188" t="s">
        <v>532</v>
      </c>
      <c r="D767" s="560">
        <v>73020</v>
      </c>
      <c r="E767" s="188" t="s">
        <v>98</v>
      </c>
      <c r="F767" s="561">
        <v>1</v>
      </c>
      <c r="G767" s="188" t="s">
        <v>13</v>
      </c>
      <c r="H767" s="188" t="s">
        <v>540</v>
      </c>
      <c r="I767" s="562">
        <v>43739</v>
      </c>
      <c r="J767" s="562">
        <v>43747</v>
      </c>
      <c r="K767" s="6" t="str">
        <f t="shared" si="34"/>
        <v>HD FILM</v>
      </c>
      <c r="L767" s="14">
        <f>VLOOKUP(J767,'USD to INR'!$B$2:$G$560,6,TRUE)</f>
        <v>70.924000000000007</v>
      </c>
      <c r="M767" s="216">
        <f t="shared" si="35"/>
        <v>1029.5527607015961</v>
      </c>
      <c r="N767" s="563">
        <f t="shared" si="33"/>
        <v>43747</v>
      </c>
    </row>
    <row r="768" spans="1:14" x14ac:dyDescent="0.25">
      <c r="A768" s="188" t="s">
        <v>530</v>
      </c>
      <c r="B768" s="188" t="s">
        <v>531</v>
      </c>
      <c r="C768" s="188" t="s">
        <v>532</v>
      </c>
      <c r="D768" s="560">
        <v>71170</v>
      </c>
      <c r="E768" s="188" t="s">
        <v>98</v>
      </c>
      <c r="F768" s="561">
        <v>1</v>
      </c>
      <c r="G768" s="188" t="s">
        <v>13</v>
      </c>
      <c r="H768" s="188" t="s">
        <v>540</v>
      </c>
      <c r="I768" s="562">
        <v>43748</v>
      </c>
      <c r="J768" s="562">
        <v>43754</v>
      </c>
      <c r="K768" s="6" t="str">
        <f t="shared" si="34"/>
        <v>HD FILM</v>
      </c>
      <c r="L768" s="14">
        <f>VLOOKUP(J768,'USD to INR'!$B$2:$G$560,6,TRUE)</f>
        <v>71.09</v>
      </c>
      <c r="M768" s="216">
        <f t="shared" si="35"/>
        <v>1001.125334083556</v>
      </c>
      <c r="N768" s="563">
        <f t="shared" si="33"/>
        <v>43754</v>
      </c>
    </row>
    <row r="769" spans="1:14" x14ac:dyDescent="0.25">
      <c r="A769" s="188" t="s">
        <v>530</v>
      </c>
      <c r="B769" s="188" t="s">
        <v>531</v>
      </c>
      <c r="C769" s="188" t="s">
        <v>532</v>
      </c>
      <c r="D769" s="560">
        <v>69780</v>
      </c>
      <c r="E769" s="188" t="s">
        <v>98</v>
      </c>
      <c r="F769" s="561">
        <v>1</v>
      </c>
      <c r="G769" s="188" t="s">
        <v>13</v>
      </c>
      <c r="H769" s="188" t="s">
        <v>540</v>
      </c>
      <c r="I769" s="562">
        <v>43755</v>
      </c>
      <c r="J769" s="562">
        <v>43769</v>
      </c>
      <c r="K769" s="6" t="str">
        <f t="shared" si="34"/>
        <v>HD FILM</v>
      </c>
      <c r="L769" s="14">
        <f>VLOOKUP(J769,'USD to INR'!$B$2:$G$560,6,TRUE)</f>
        <v>70.760000000000005</v>
      </c>
      <c r="M769" s="216">
        <f t="shared" si="35"/>
        <v>986.1503674392311</v>
      </c>
      <c r="N769" s="563">
        <f t="shared" si="33"/>
        <v>43769</v>
      </c>
    </row>
    <row r="770" spans="1:14" x14ac:dyDescent="0.25">
      <c r="A770" s="188" t="s">
        <v>530</v>
      </c>
      <c r="B770" s="188" t="s">
        <v>531</v>
      </c>
      <c r="C770" s="188" t="s">
        <v>532</v>
      </c>
      <c r="D770" s="560">
        <v>68860</v>
      </c>
      <c r="E770" s="188" t="s">
        <v>98</v>
      </c>
      <c r="F770" s="561">
        <v>1</v>
      </c>
      <c r="G770" s="188" t="s">
        <v>13</v>
      </c>
      <c r="H770" s="188" t="s">
        <v>540</v>
      </c>
      <c r="I770" s="562">
        <v>43770</v>
      </c>
      <c r="J770" s="562">
        <v>43789</v>
      </c>
      <c r="K770" s="6" t="str">
        <f t="shared" si="34"/>
        <v>HD FILM</v>
      </c>
      <c r="L770" s="14">
        <f>VLOOKUP(J770,'USD to INR'!$B$2:$G$560,6,TRUE)</f>
        <v>71.792000000000002</v>
      </c>
      <c r="M770" s="216">
        <f t="shared" si="35"/>
        <v>959.15979496322711</v>
      </c>
      <c r="N770" s="563">
        <f t="shared" ref="N770:N833" si="36">J770</f>
        <v>43789</v>
      </c>
    </row>
    <row r="771" spans="1:14" x14ac:dyDescent="0.25">
      <c r="A771" s="188" t="s">
        <v>530</v>
      </c>
      <c r="B771" s="188" t="s">
        <v>531</v>
      </c>
      <c r="C771" s="188" t="s">
        <v>532</v>
      </c>
      <c r="D771" s="560">
        <v>67940</v>
      </c>
      <c r="E771" s="188" t="s">
        <v>98</v>
      </c>
      <c r="F771" s="561">
        <v>1</v>
      </c>
      <c r="G771" s="188" t="s">
        <v>13</v>
      </c>
      <c r="H771" s="188" t="s">
        <v>540</v>
      </c>
      <c r="I771" s="562">
        <v>43790</v>
      </c>
      <c r="J771" s="562">
        <v>43799</v>
      </c>
      <c r="K771" s="6" t="str">
        <f t="shared" ref="K771:K834" si="37">VLOOKUP(H771,$V$2:$W$10,2,TRUE)</f>
        <v>HD FILM</v>
      </c>
      <c r="L771" s="14">
        <f>VLOOKUP(J771,'USD to INR'!$B$2:$G$560,6,TRUE)</f>
        <v>71.748999999999995</v>
      </c>
      <c r="M771" s="216">
        <f t="shared" ref="M771:M834" si="38">D771/L771</f>
        <v>946.9121520857434</v>
      </c>
      <c r="N771" s="563">
        <f t="shared" si="36"/>
        <v>43799</v>
      </c>
    </row>
    <row r="772" spans="1:14" x14ac:dyDescent="0.25">
      <c r="A772" s="188" t="s">
        <v>530</v>
      </c>
      <c r="B772" s="188" t="s">
        <v>531</v>
      </c>
      <c r="C772" s="188" t="s">
        <v>532</v>
      </c>
      <c r="D772" s="560">
        <v>67940</v>
      </c>
      <c r="E772" s="188" t="s">
        <v>98</v>
      </c>
      <c r="F772" s="561">
        <v>1</v>
      </c>
      <c r="G772" s="188" t="s">
        <v>13</v>
      </c>
      <c r="H772" s="188" t="s">
        <v>540</v>
      </c>
      <c r="I772" s="562">
        <v>43800</v>
      </c>
      <c r="J772" s="562">
        <v>43830</v>
      </c>
      <c r="K772" s="6" t="str">
        <f t="shared" si="37"/>
        <v>HD FILM</v>
      </c>
      <c r="L772" s="14">
        <f>VLOOKUP(J772,'USD to INR'!$B$2:$G$560,6,TRUE)</f>
        <v>71.77</v>
      </c>
      <c r="M772" s="216">
        <f t="shared" si="38"/>
        <v>946.63508429706008</v>
      </c>
      <c r="N772" s="563">
        <f t="shared" si="36"/>
        <v>43830</v>
      </c>
    </row>
    <row r="773" spans="1:14" x14ac:dyDescent="0.25">
      <c r="A773" s="188" t="s">
        <v>530</v>
      </c>
      <c r="B773" s="188" t="s">
        <v>531</v>
      </c>
      <c r="C773" s="188" t="s">
        <v>532</v>
      </c>
      <c r="D773" s="560">
        <v>68860</v>
      </c>
      <c r="E773" s="188" t="s">
        <v>98</v>
      </c>
      <c r="F773" s="561">
        <v>1</v>
      </c>
      <c r="G773" s="188" t="s">
        <v>13</v>
      </c>
      <c r="H773" s="188" t="s">
        <v>540</v>
      </c>
      <c r="I773" s="562">
        <v>43831</v>
      </c>
      <c r="J773" s="562">
        <v>43838</v>
      </c>
      <c r="K773" s="6" t="str">
        <f t="shared" si="37"/>
        <v>HD FILM</v>
      </c>
      <c r="L773" s="14">
        <f>VLOOKUP(J773,'USD to INR'!$B$2:$G$560,6,TRUE)</f>
        <v>70.959999999999994</v>
      </c>
      <c r="M773" s="216">
        <f t="shared" si="38"/>
        <v>970.40586245772272</v>
      </c>
      <c r="N773" s="563">
        <f t="shared" si="36"/>
        <v>43838</v>
      </c>
    </row>
    <row r="774" spans="1:14" x14ac:dyDescent="0.25">
      <c r="A774" s="188" t="s">
        <v>530</v>
      </c>
      <c r="B774" s="188" t="s">
        <v>531</v>
      </c>
      <c r="C774" s="188" t="s">
        <v>532</v>
      </c>
      <c r="D774" s="560">
        <v>69790</v>
      </c>
      <c r="E774" s="188" t="s">
        <v>98</v>
      </c>
      <c r="F774" s="561">
        <v>1</v>
      </c>
      <c r="G774" s="188" t="s">
        <v>13</v>
      </c>
      <c r="H774" s="188" t="s">
        <v>540</v>
      </c>
      <c r="I774" s="562">
        <v>43839</v>
      </c>
      <c r="J774" s="562">
        <v>43861</v>
      </c>
      <c r="K774" s="6" t="str">
        <f t="shared" si="37"/>
        <v>HD FILM</v>
      </c>
      <c r="L774" s="14">
        <f>VLOOKUP(J774,'USD to INR'!$B$2:$G$560,6,TRUE)</f>
        <v>71.555000000000007</v>
      </c>
      <c r="M774" s="216">
        <f t="shared" si="38"/>
        <v>975.33365942282148</v>
      </c>
      <c r="N774" s="563">
        <f t="shared" si="36"/>
        <v>43861</v>
      </c>
    </row>
    <row r="775" spans="1:14" x14ac:dyDescent="0.25">
      <c r="A775" s="188" t="s">
        <v>530</v>
      </c>
      <c r="B775" s="188" t="s">
        <v>531</v>
      </c>
      <c r="C775" s="188" t="s">
        <v>532</v>
      </c>
      <c r="D775" s="560">
        <v>69790</v>
      </c>
      <c r="E775" s="188" t="s">
        <v>98</v>
      </c>
      <c r="F775" s="561">
        <v>1</v>
      </c>
      <c r="G775" s="188" t="s">
        <v>13</v>
      </c>
      <c r="H775" s="188" t="s">
        <v>540</v>
      </c>
      <c r="I775" s="562">
        <v>43862</v>
      </c>
      <c r="J775" s="562">
        <v>43880</v>
      </c>
      <c r="K775" s="6" t="str">
        <f t="shared" si="37"/>
        <v>HD FILM</v>
      </c>
      <c r="L775" s="14">
        <f>VLOOKUP(J775,'USD to INR'!$B$2:$G$560,6,TRUE)</f>
        <v>71.88</v>
      </c>
      <c r="M775" s="216">
        <f t="shared" si="38"/>
        <v>970.92376182526436</v>
      </c>
      <c r="N775" s="563">
        <f t="shared" si="36"/>
        <v>43880</v>
      </c>
    </row>
    <row r="776" spans="1:14" x14ac:dyDescent="0.25">
      <c r="A776" s="188" t="s">
        <v>530</v>
      </c>
      <c r="B776" s="188" t="s">
        <v>531</v>
      </c>
      <c r="C776" s="188" t="s">
        <v>532</v>
      </c>
      <c r="D776" s="560">
        <v>71020</v>
      </c>
      <c r="E776" s="188" t="s">
        <v>98</v>
      </c>
      <c r="F776" s="561">
        <v>1</v>
      </c>
      <c r="G776" s="188" t="s">
        <v>13</v>
      </c>
      <c r="H776" s="188" t="s">
        <v>540</v>
      </c>
      <c r="I776" s="562">
        <v>43881</v>
      </c>
      <c r="J776" s="562">
        <v>43890</v>
      </c>
      <c r="K776" s="6" t="str">
        <f t="shared" si="37"/>
        <v>HD FILM</v>
      </c>
      <c r="L776" s="14">
        <f>VLOOKUP(J776,'USD to INR'!$B$2:$G$560,6,TRUE)</f>
        <v>72.539000000000001</v>
      </c>
      <c r="M776" s="216">
        <f t="shared" si="38"/>
        <v>979.05954038517211</v>
      </c>
      <c r="N776" s="563">
        <f t="shared" si="36"/>
        <v>43890</v>
      </c>
    </row>
    <row r="777" spans="1:14" x14ac:dyDescent="0.25">
      <c r="A777" s="188" t="s">
        <v>530</v>
      </c>
      <c r="B777" s="188" t="s">
        <v>531</v>
      </c>
      <c r="C777" s="188" t="s">
        <v>532</v>
      </c>
      <c r="D777" s="560">
        <v>71030</v>
      </c>
      <c r="E777" s="188" t="s">
        <v>98</v>
      </c>
      <c r="F777" s="561">
        <v>1</v>
      </c>
      <c r="G777" s="188" t="s">
        <v>13</v>
      </c>
      <c r="H777" s="188" t="s">
        <v>540</v>
      </c>
      <c r="I777" s="562">
        <v>43891</v>
      </c>
      <c r="J777" s="562">
        <v>43921</v>
      </c>
      <c r="K777" s="6" t="str">
        <f t="shared" si="37"/>
        <v>HD FILM</v>
      </c>
      <c r="L777" s="14">
        <f>VLOOKUP(J777,'USD to INR'!$B$2:$G$560,6,TRUE)</f>
        <v>76.241</v>
      </c>
      <c r="M777" s="216">
        <f t="shared" si="38"/>
        <v>931.65094896446794</v>
      </c>
      <c r="N777" s="563">
        <f t="shared" si="36"/>
        <v>43921</v>
      </c>
    </row>
    <row r="778" spans="1:14" x14ac:dyDescent="0.25">
      <c r="A778" s="188" t="s">
        <v>530</v>
      </c>
      <c r="B778" s="188" t="s">
        <v>531</v>
      </c>
      <c r="C778" s="188" t="s">
        <v>532</v>
      </c>
      <c r="D778" s="560">
        <v>70120</v>
      </c>
      <c r="E778" s="188" t="s">
        <v>98</v>
      </c>
      <c r="F778" s="561">
        <v>1</v>
      </c>
      <c r="G778" s="188" t="s">
        <v>13</v>
      </c>
      <c r="H778" s="188" t="s">
        <v>540</v>
      </c>
      <c r="I778" s="562">
        <v>43922</v>
      </c>
      <c r="J778" s="562">
        <v>43930</v>
      </c>
      <c r="K778" s="6" t="str">
        <f t="shared" si="37"/>
        <v>HD FILM</v>
      </c>
      <c r="L778" s="14">
        <f>VLOOKUP(J778,'USD to INR'!$B$2:$G$560,6,TRUE)</f>
        <v>75.879000000000005</v>
      </c>
      <c r="M778" s="216">
        <f t="shared" si="38"/>
        <v>924.10284795529719</v>
      </c>
      <c r="N778" s="563">
        <f t="shared" si="36"/>
        <v>43930</v>
      </c>
    </row>
    <row r="779" spans="1:14" x14ac:dyDescent="0.25">
      <c r="A779" s="188" t="s">
        <v>530</v>
      </c>
      <c r="B779" s="188" t="s">
        <v>531</v>
      </c>
      <c r="C779" s="188" t="s">
        <v>532</v>
      </c>
      <c r="D779" s="560">
        <v>67350</v>
      </c>
      <c r="E779" s="188" t="s">
        <v>98</v>
      </c>
      <c r="F779" s="561">
        <v>1</v>
      </c>
      <c r="G779" s="188" t="s">
        <v>13</v>
      </c>
      <c r="H779" s="188" t="s">
        <v>540</v>
      </c>
      <c r="I779" s="562">
        <v>43931</v>
      </c>
      <c r="J779" s="562">
        <v>43951</v>
      </c>
      <c r="K779" s="6" t="str">
        <f t="shared" si="37"/>
        <v>HD FILM</v>
      </c>
      <c r="L779" s="14">
        <f>VLOOKUP(J779,'USD to INR'!$B$2:$G$560,6,TRUE)</f>
        <v>75.748999999999995</v>
      </c>
      <c r="M779" s="216">
        <f t="shared" si="38"/>
        <v>889.12064845740542</v>
      </c>
      <c r="N779" s="563">
        <f t="shared" si="36"/>
        <v>43951</v>
      </c>
    </row>
    <row r="780" spans="1:14" x14ac:dyDescent="0.25">
      <c r="A780" s="188" t="s">
        <v>530</v>
      </c>
      <c r="B780" s="188" t="s">
        <v>531</v>
      </c>
      <c r="C780" s="188" t="s">
        <v>532</v>
      </c>
      <c r="D780" s="560">
        <v>64580</v>
      </c>
      <c r="E780" s="188" t="s">
        <v>98</v>
      </c>
      <c r="F780" s="561">
        <v>1</v>
      </c>
      <c r="G780" s="188" t="s">
        <v>13</v>
      </c>
      <c r="H780" s="188" t="s">
        <v>540</v>
      </c>
      <c r="I780" s="562">
        <v>43952</v>
      </c>
      <c r="J780" s="562">
        <v>43971</v>
      </c>
      <c r="K780" s="6" t="str">
        <f t="shared" si="37"/>
        <v>HD FILM</v>
      </c>
      <c r="L780" s="14">
        <f>VLOOKUP(J780,'USD to INR'!$B$2:$G$560,6,TRUE)</f>
        <v>75.95</v>
      </c>
      <c r="M780" s="216">
        <f t="shared" si="38"/>
        <v>850.29624753127052</v>
      </c>
      <c r="N780" s="563">
        <f t="shared" si="36"/>
        <v>43971</v>
      </c>
    </row>
    <row r="781" spans="1:14" x14ac:dyDescent="0.25">
      <c r="A781" s="188" t="s">
        <v>530</v>
      </c>
      <c r="B781" s="188" t="s">
        <v>531</v>
      </c>
      <c r="C781" s="188" t="s">
        <v>532</v>
      </c>
      <c r="D781" s="560">
        <v>65510</v>
      </c>
      <c r="E781" s="188" t="s">
        <v>98</v>
      </c>
      <c r="F781" s="561">
        <v>1</v>
      </c>
      <c r="G781" s="188" t="s">
        <v>13</v>
      </c>
      <c r="H781" s="188" t="s">
        <v>540</v>
      </c>
      <c r="I781" s="562">
        <v>43972</v>
      </c>
      <c r="J781" s="562">
        <v>43982</v>
      </c>
      <c r="K781" s="6" t="str">
        <f t="shared" si="37"/>
        <v>HD FILM</v>
      </c>
      <c r="L781" s="14">
        <f>VLOOKUP(J781,'USD to INR'!$B$2:$G$560,6,TRUE)</f>
        <v>75.56</v>
      </c>
      <c r="M781" s="216">
        <f t="shared" si="38"/>
        <v>866.99311805187926</v>
      </c>
      <c r="N781" s="563">
        <f t="shared" si="36"/>
        <v>43982</v>
      </c>
    </row>
    <row r="782" spans="1:14" x14ac:dyDescent="0.25">
      <c r="A782" s="188" t="s">
        <v>530</v>
      </c>
      <c r="B782" s="188" t="s">
        <v>531</v>
      </c>
      <c r="C782" s="188" t="s">
        <v>532</v>
      </c>
      <c r="D782" s="560">
        <v>66440</v>
      </c>
      <c r="E782" s="188" t="s">
        <v>98</v>
      </c>
      <c r="F782" s="561">
        <v>1</v>
      </c>
      <c r="G782" s="188" t="s">
        <v>13</v>
      </c>
      <c r="H782" s="188" t="s">
        <v>540</v>
      </c>
      <c r="I782" s="562">
        <v>43983</v>
      </c>
      <c r="J782" s="562">
        <v>43992</v>
      </c>
      <c r="K782" s="6" t="str">
        <f t="shared" si="37"/>
        <v>HD FILM</v>
      </c>
      <c r="L782" s="14">
        <f>VLOOKUP(J782,'USD to INR'!$B$2:$G$560,6,TRUE)</f>
        <v>76.05</v>
      </c>
      <c r="M782" s="216">
        <f t="shared" si="38"/>
        <v>873.6357659434583</v>
      </c>
      <c r="N782" s="563">
        <f t="shared" si="36"/>
        <v>43992</v>
      </c>
    </row>
    <row r="783" spans="1:14" x14ac:dyDescent="0.25">
      <c r="A783" s="188" t="s">
        <v>530</v>
      </c>
      <c r="B783" s="188" t="s">
        <v>531</v>
      </c>
      <c r="C783" s="188" t="s">
        <v>532</v>
      </c>
      <c r="D783" s="560">
        <v>68290</v>
      </c>
      <c r="E783" s="188" t="s">
        <v>98</v>
      </c>
      <c r="F783" s="561">
        <v>1</v>
      </c>
      <c r="G783" s="188" t="s">
        <v>13</v>
      </c>
      <c r="H783" s="188" t="s">
        <v>540</v>
      </c>
      <c r="I783" s="562">
        <v>43993</v>
      </c>
      <c r="J783" s="562">
        <v>43999</v>
      </c>
      <c r="K783" s="6" t="str">
        <f t="shared" si="37"/>
        <v>HD FILM</v>
      </c>
      <c r="L783" s="14">
        <f>VLOOKUP(J783,'USD to INR'!$B$2:$G$560,6,TRUE)</f>
        <v>76.260000000000005</v>
      </c>
      <c r="M783" s="216">
        <f t="shared" si="38"/>
        <v>895.48911618148429</v>
      </c>
      <c r="N783" s="563">
        <f t="shared" si="36"/>
        <v>43999</v>
      </c>
    </row>
    <row r="784" spans="1:14" x14ac:dyDescent="0.25">
      <c r="A784" s="188" t="s">
        <v>530</v>
      </c>
      <c r="B784" s="188" t="s">
        <v>531</v>
      </c>
      <c r="C784" s="188" t="s">
        <v>532</v>
      </c>
      <c r="D784" s="560">
        <v>69680</v>
      </c>
      <c r="E784" s="188" t="s">
        <v>98</v>
      </c>
      <c r="F784" s="561">
        <v>1</v>
      </c>
      <c r="G784" s="188" t="s">
        <v>13</v>
      </c>
      <c r="H784" s="188" t="s">
        <v>540</v>
      </c>
      <c r="I784" s="562">
        <v>44000</v>
      </c>
      <c r="J784" s="562">
        <v>44012</v>
      </c>
      <c r="K784" s="6" t="str">
        <f t="shared" si="37"/>
        <v>HD FILM</v>
      </c>
      <c r="L784" s="14">
        <f>VLOOKUP(J784,'USD to INR'!$B$2:$G$560,6,TRUE)</f>
        <v>74.635999999999996</v>
      </c>
      <c r="M784" s="216">
        <f t="shared" si="38"/>
        <v>933.59772763813714</v>
      </c>
      <c r="N784" s="563">
        <f t="shared" si="36"/>
        <v>44012</v>
      </c>
    </row>
    <row r="785" spans="1:14" x14ac:dyDescent="0.25">
      <c r="A785" s="188" t="s">
        <v>530</v>
      </c>
      <c r="B785" s="188" t="s">
        <v>531</v>
      </c>
      <c r="C785" s="188" t="s">
        <v>532</v>
      </c>
      <c r="D785" s="560">
        <v>71040</v>
      </c>
      <c r="E785" s="188" t="s">
        <v>98</v>
      </c>
      <c r="F785" s="561">
        <v>1</v>
      </c>
      <c r="G785" s="188" t="s">
        <v>13</v>
      </c>
      <c r="H785" s="188" t="s">
        <v>540</v>
      </c>
      <c r="I785" s="562">
        <v>44013</v>
      </c>
      <c r="J785" s="562">
        <v>44027</v>
      </c>
      <c r="K785" s="6" t="str">
        <f t="shared" si="37"/>
        <v>HD FILM</v>
      </c>
      <c r="L785" s="14">
        <f>VLOOKUP(J785,'USD to INR'!$B$2:$G$560,6,TRUE)</f>
        <v>74.897000000000006</v>
      </c>
      <c r="M785" s="216">
        <f t="shared" si="38"/>
        <v>948.50261025141185</v>
      </c>
      <c r="N785" s="563">
        <f t="shared" si="36"/>
        <v>44027</v>
      </c>
    </row>
    <row r="786" spans="1:14" x14ac:dyDescent="0.25">
      <c r="A786" s="188" t="s">
        <v>530</v>
      </c>
      <c r="B786" s="188" t="s">
        <v>531</v>
      </c>
      <c r="C786" s="188" t="s">
        <v>532</v>
      </c>
      <c r="D786" s="560">
        <v>73820</v>
      </c>
      <c r="E786" s="188" t="s">
        <v>98</v>
      </c>
      <c r="F786" s="561">
        <v>1</v>
      </c>
      <c r="G786" s="188" t="s">
        <v>13</v>
      </c>
      <c r="H786" s="188" t="s">
        <v>540</v>
      </c>
      <c r="I786" s="562">
        <v>44028</v>
      </c>
      <c r="J786" s="562">
        <v>44034</v>
      </c>
      <c r="K786" s="6" t="str">
        <f t="shared" si="37"/>
        <v>HD FILM</v>
      </c>
      <c r="L786" s="14">
        <f>VLOOKUP(J786,'USD to INR'!$B$2:$G$560,6,TRUE)</f>
        <v>74.760000000000005</v>
      </c>
      <c r="M786" s="216">
        <f t="shared" si="38"/>
        <v>987.42643124665585</v>
      </c>
      <c r="N786" s="563">
        <f t="shared" si="36"/>
        <v>44034</v>
      </c>
    </row>
    <row r="787" spans="1:14" x14ac:dyDescent="0.25">
      <c r="A787" s="188" t="s">
        <v>530</v>
      </c>
      <c r="B787" s="188" t="s">
        <v>531</v>
      </c>
      <c r="C787" s="188" t="s">
        <v>532</v>
      </c>
      <c r="D787" s="560">
        <v>74750</v>
      </c>
      <c r="E787" s="188" t="s">
        <v>98</v>
      </c>
      <c r="F787" s="561">
        <v>1</v>
      </c>
      <c r="G787" s="188" t="s">
        <v>13</v>
      </c>
      <c r="H787" s="188" t="s">
        <v>540</v>
      </c>
      <c r="I787" s="562">
        <v>44035</v>
      </c>
      <c r="J787" s="562">
        <v>44043</v>
      </c>
      <c r="K787" s="6" t="str">
        <f t="shared" si="37"/>
        <v>HD FILM</v>
      </c>
      <c r="L787" s="14">
        <f>VLOOKUP(J787,'USD to INR'!$B$2:$G$560,6,TRUE)</f>
        <v>74.915999999999997</v>
      </c>
      <c r="M787" s="216">
        <f t="shared" si="38"/>
        <v>997.78418495381493</v>
      </c>
      <c r="N787" s="563">
        <f t="shared" si="36"/>
        <v>44043</v>
      </c>
    </row>
    <row r="788" spans="1:14" x14ac:dyDescent="0.25">
      <c r="A788" s="188" t="s">
        <v>530</v>
      </c>
      <c r="B788" s="188" t="s">
        <v>531</v>
      </c>
      <c r="C788" s="188" t="s">
        <v>532</v>
      </c>
      <c r="D788" s="560">
        <v>75670</v>
      </c>
      <c r="E788" s="188" t="s">
        <v>98</v>
      </c>
      <c r="F788" s="561">
        <v>1</v>
      </c>
      <c r="G788" s="188" t="s">
        <v>13</v>
      </c>
      <c r="H788" s="188" t="s">
        <v>540</v>
      </c>
      <c r="I788" s="562">
        <v>44044</v>
      </c>
      <c r="J788" s="562">
        <v>44074</v>
      </c>
      <c r="K788" s="6" t="str">
        <f t="shared" si="37"/>
        <v>HD FILM</v>
      </c>
      <c r="L788" s="14">
        <f>VLOOKUP(J788,'USD to INR'!$B$2:$G$560,6,TRUE)</f>
        <v>73.289000000000001</v>
      </c>
      <c r="M788" s="216">
        <f t="shared" si="38"/>
        <v>1032.4878221834108</v>
      </c>
      <c r="N788" s="563">
        <f t="shared" si="36"/>
        <v>44074</v>
      </c>
    </row>
    <row r="789" spans="1:14" x14ac:dyDescent="0.25">
      <c r="A789" s="188" t="s">
        <v>530</v>
      </c>
      <c r="B789" s="188" t="s">
        <v>531</v>
      </c>
      <c r="C789" s="188" t="s">
        <v>532</v>
      </c>
      <c r="D789" s="560">
        <v>75670</v>
      </c>
      <c r="E789" s="188" t="s">
        <v>98</v>
      </c>
      <c r="F789" s="561">
        <v>1</v>
      </c>
      <c r="G789" s="188" t="s">
        <v>13</v>
      </c>
      <c r="H789" s="188" t="s">
        <v>540</v>
      </c>
      <c r="I789" s="562">
        <v>44075</v>
      </c>
      <c r="J789" s="562">
        <v>44076</v>
      </c>
      <c r="K789" s="6" t="str">
        <f t="shared" si="37"/>
        <v>HD FILM</v>
      </c>
      <c r="L789" s="14">
        <f>VLOOKUP(J789,'USD to INR'!$B$2:$G$560,6,TRUE)</f>
        <v>73.289000000000001</v>
      </c>
      <c r="M789" s="216">
        <f t="shared" si="38"/>
        <v>1032.4878221834108</v>
      </c>
      <c r="N789" s="563">
        <f t="shared" si="36"/>
        <v>44076</v>
      </c>
    </row>
    <row r="790" spans="1:14" x14ac:dyDescent="0.25">
      <c r="A790" s="188" t="s">
        <v>530</v>
      </c>
      <c r="B790" s="188" t="s">
        <v>531</v>
      </c>
      <c r="C790" s="188" t="s">
        <v>532</v>
      </c>
      <c r="D790" s="560">
        <v>77060</v>
      </c>
      <c r="E790" s="188" t="s">
        <v>98</v>
      </c>
      <c r="F790" s="561">
        <v>1</v>
      </c>
      <c r="G790" s="188" t="s">
        <v>13</v>
      </c>
      <c r="H790" s="188" t="s">
        <v>540</v>
      </c>
      <c r="I790" s="562">
        <v>44077</v>
      </c>
      <c r="J790" s="562">
        <v>44083</v>
      </c>
      <c r="K790" s="6" t="str">
        <f t="shared" si="37"/>
        <v>HD FILM</v>
      </c>
      <c r="L790" s="14">
        <f>VLOOKUP(J790,'USD to INR'!$B$2:$G$560,6,TRUE)</f>
        <v>73.430000000000007</v>
      </c>
      <c r="M790" s="216">
        <f t="shared" si="38"/>
        <v>1049.4348358981342</v>
      </c>
      <c r="N790" s="563">
        <f t="shared" si="36"/>
        <v>44083</v>
      </c>
    </row>
    <row r="791" spans="1:14" x14ac:dyDescent="0.25">
      <c r="A791" s="188" t="s">
        <v>530</v>
      </c>
      <c r="B791" s="188" t="s">
        <v>531</v>
      </c>
      <c r="C791" s="188" t="s">
        <v>532</v>
      </c>
      <c r="D791" s="560">
        <v>77990</v>
      </c>
      <c r="E791" s="188" t="s">
        <v>98</v>
      </c>
      <c r="F791" s="561">
        <v>1</v>
      </c>
      <c r="G791" s="188" t="s">
        <v>13</v>
      </c>
      <c r="H791" s="188" t="s">
        <v>540</v>
      </c>
      <c r="I791" s="562">
        <v>44084</v>
      </c>
      <c r="J791" s="562">
        <v>44104</v>
      </c>
      <c r="K791" s="6" t="str">
        <f t="shared" si="37"/>
        <v>HD FILM</v>
      </c>
      <c r="L791" s="14">
        <f>VLOOKUP(J791,'USD to INR'!$B$2:$G$560,6,TRUE)</f>
        <v>73.290000000000006</v>
      </c>
      <c r="M791" s="216">
        <f t="shared" si="38"/>
        <v>1064.1288033838175</v>
      </c>
      <c r="N791" s="563">
        <f t="shared" si="36"/>
        <v>44104</v>
      </c>
    </row>
    <row r="792" spans="1:14" x14ac:dyDescent="0.25">
      <c r="A792" s="188" t="s">
        <v>530</v>
      </c>
      <c r="B792" s="188" t="s">
        <v>531</v>
      </c>
      <c r="C792" s="188" t="s">
        <v>532</v>
      </c>
      <c r="D792" s="560">
        <v>78930</v>
      </c>
      <c r="E792" s="188" t="s">
        <v>98</v>
      </c>
      <c r="F792" s="561">
        <v>1</v>
      </c>
      <c r="G792" s="188" t="s">
        <v>13</v>
      </c>
      <c r="H792" s="188" t="s">
        <v>540</v>
      </c>
      <c r="I792" s="562">
        <v>44105</v>
      </c>
      <c r="J792" s="562">
        <v>44135</v>
      </c>
      <c r="K792" s="6" t="str">
        <f t="shared" si="37"/>
        <v>HD FILM</v>
      </c>
      <c r="L792" s="14">
        <f>VLOOKUP(J792,'USD to INR'!$B$2:$G$560,6,TRUE)</f>
        <v>74.554000000000002</v>
      </c>
      <c r="M792" s="216">
        <f t="shared" si="38"/>
        <v>1058.6957104917242</v>
      </c>
      <c r="N792" s="563">
        <f t="shared" si="36"/>
        <v>44135</v>
      </c>
    </row>
    <row r="793" spans="1:14" x14ac:dyDescent="0.25">
      <c r="A793" s="188" t="s">
        <v>530</v>
      </c>
      <c r="B793" s="188" t="s">
        <v>531</v>
      </c>
      <c r="C793" s="188" t="s">
        <v>532</v>
      </c>
      <c r="D793" s="560">
        <v>79860</v>
      </c>
      <c r="E793" s="188" t="s">
        <v>98</v>
      </c>
      <c r="F793" s="561">
        <v>1</v>
      </c>
      <c r="G793" s="188" t="s">
        <v>13</v>
      </c>
      <c r="H793" s="188" t="s">
        <v>540</v>
      </c>
      <c r="I793" s="562">
        <v>44136</v>
      </c>
      <c r="J793" s="562">
        <v>44153</v>
      </c>
      <c r="K793" s="6" t="str">
        <f t="shared" si="37"/>
        <v>HD FILM</v>
      </c>
      <c r="L793" s="14">
        <f>VLOOKUP(J793,'USD to INR'!$B$2:$G$560,6,TRUE)</f>
        <v>74.11</v>
      </c>
      <c r="M793" s="216">
        <f t="shared" si="38"/>
        <v>1077.5873701254891</v>
      </c>
      <c r="N793" s="563">
        <f t="shared" si="36"/>
        <v>44153</v>
      </c>
    </row>
    <row r="794" spans="1:14" x14ac:dyDescent="0.25">
      <c r="A794" s="188" t="s">
        <v>530</v>
      </c>
      <c r="B794" s="188" t="s">
        <v>531</v>
      </c>
      <c r="C794" s="188" t="s">
        <v>532</v>
      </c>
      <c r="D794" s="560">
        <v>80790</v>
      </c>
      <c r="E794" s="188" t="s">
        <v>98</v>
      </c>
      <c r="F794" s="561">
        <v>1</v>
      </c>
      <c r="G794" s="188" t="s">
        <v>13</v>
      </c>
      <c r="H794" s="188" t="s">
        <v>540</v>
      </c>
      <c r="I794" s="562">
        <v>44154</v>
      </c>
      <c r="J794" s="562">
        <v>44160</v>
      </c>
      <c r="K794" s="6" t="str">
        <f t="shared" si="37"/>
        <v>HD FILM</v>
      </c>
      <c r="L794" s="14">
        <f>VLOOKUP(J794,'USD to INR'!$B$2:$G$560,6,TRUE)</f>
        <v>73.933000000000007</v>
      </c>
      <c r="M794" s="216">
        <f t="shared" si="38"/>
        <v>1092.7461350141343</v>
      </c>
      <c r="N794" s="563">
        <f t="shared" si="36"/>
        <v>44160</v>
      </c>
    </row>
    <row r="795" spans="1:14" x14ac:dyDescent="0.25">
      <c r="A795" s="188" t="s">
        <v>530</v>
      </c>
      <c r="B795" s="188" t="s">
        <v>531</v>
      </c>
      <c r="C795" s="188" t="s">
        <v>532</v>
      </c>
      <c r="D795" s="560">
        <v>83570</v>
      </c>
      <c r="E795" s="188" t="s">
        <v>98</v>
      </c>
      <c r="F795" s="561">
        <v>1</v>
      </c>
      <c r="G795" s="188" t="s">
        <v>13</v>
      </c>
      <c r="H795" s="188" t="s">
        <v>540</v>
      </c>
      <c r="I795" s="562">
        <v>44161</v>
      </c>
      <c r="J795" s="562">
        <v>44165</v>
      </c>
      <c r="K795" s="6" t="str">
        <f t="shared" si="37"/>
        <v>HD FILM</v>
      </c>
      <c r="L795" s="14">
        <f>VLOOKUP(J795,'USD to INR'!$B$2:$G$560,6,TRUE)</f>
        <v>73.757000000000005</v>
      </c>
      <c r="M795" s="216">
        <f t="shared" si="38"/>
        <v>1133.0449991187277</v>
      </c>
      <c r="N795" s="563">
        <f t="shared" si="36"/>
        <v>44165</v>
      </c>
    </row>
    <row r="796" spans="1:14" x14ac:dyDescent="0.25">
      <c r="A796" s="188" t="s">
        <v>530</v>
      </c>
      <c r="B796" s="188" t="s">
        <v>531</v>
      </c>
      <c r="C796" s="188" t="s">
        <v>532</v>
      </c>
      <c r="D796" s="560">
        <v>85420</v>
      </c>
      <c r="E796" s="188" t="s">
        <v>98</v>
      </c>
      <c r="F796" s="561">
        <v>1</v>
      </c>
      <c r="G796" s="188" t="s">
        <v>13</v>
      </c>
      <c r="H796" s="188" t="s">
        <v>540</v>
      </c>
      <c r="I796" s="562">
        <v>44166</v>
      </c>
      <c r="J796" s="562">
        <v>44196</v>
      </c>
      <c r="K796" s="6" t="str">
        <f t="shared" si="37"/>
        <v>HD FILM</v>
      </c>
      <c r="L796" s="14">
        <f>VLOOKUP(J796,'USD to INR'!$B$2:$G$560,6,TRUE)</f>
        <v>73.12</v>
      </c>
      <c r="M796" s="216">
        <f t="shared" si="38"/>
        <v>1168.2166301969364</v>
      </c>
      <c r="N796" s="563">
        <f t="shared" si="36"/>
        <v>44196</v>
      </c>
    </row>
    <row r="797" spans="1:14" x14ac:dyDescent="0.25">
      <c r="A797" s="188" t="s">
        <v>530</v>
      </c>
      <c r="B797" s="188" t="s">
        <v>531</v>
      </c>
      <c r="C797" s="188" t="s">
        <v>532</v>
      </c>
      <c r="D797" s="560">
        <v>86340</v>
      </c>
      <c r="E797" s="188" t="s">
        <v>98</v>
      </c>
      <c r="F797" s="561">
        <v>1</v>
      </c>
      <c r="G797" s="188" t="s">
        <v>13</v>
      </c>
      <c r="H797" s="188" t="s">
        <v>540</v>
      </c>
      <c r="I797" s="562">
        <v>44197</v>
      </c>
      <c r="J797" s="562">
        <v>44227</v>
      </c>
      <c r="K797" s="6" t="str">
        <f t="shared" si="37"/>
        <v>HD FILM</v>
      </c>
      <c r="L797" s="14">
        <f>VLOOKUP(J797,'USD to INR'!$B$2:$G$560,6,TRUE)</f>
        <v>72.81</v>
      </c>
      <c r="M797" s="216">
        <f t="shared" si="38"/>
        <v>1185.8261227853316</v>
      </c>
      <c r="N797" s="563">
        <f t="shared" si="36"/>
        <v>44227</v>
      </c>
    </row>
    <row r="798" spans="1:14" x14ac:dyDescent="0.25">
      <c r="A798" s="188" t="s">
        <v>530</v>
      </c>
      <c r="B798" s="188" t="s">
        <v>531</v>
      </c>
      <c r="C798" s="188" t="s">
        <v>532</v>
      </c>
      <c r="D798" s="560">
        <v>86340</v>
      </c>
      <c r="E798" s="188" t="s">
        <v>98</v>
      </c>
      <c r="F798" s="561">
        <v>1</v>
      </c>
      <c r="G798" s="188" t="s">
        <v>13</v>
      </c>
      <c r="H798" s="188" t="s">
        <v>540</v>
      </c>
      <c r="I798" s="562">
        <v>44228</v>
      </c>
      <c r="J798" s="562">
        <v>44244</v>
      </c>
      <c r="K798" s="6" t="str">
        <f t="shared" si="37"/>
        <v>HD FILM</v>
      </c>
      <c r="L798" s="14">
        <f>VLOOKUP(J798,'USD to INR'!$B$2:$G$560,6,TRUE)</f>
        <v>72.55</v>
      </c>
      <c r="M798" s="216">
        <f t="shared" si="38"/>
        <v>1190.0758097863543</v>
      </c>
      <c r="N798" s="563">
        <f t="shared" si="36"/>
        <v>44244</v>
      </c>
    </row>
    <row r="799" spans="1:14" x14ac:dyDescent="0.25">
      <c r="A799" s="188" t="s">
        <v>530</v>
      </c>
      <c r="B799" s="188" t="s">
        <v>531</v>
      </c>
      <c r="C799" s="188" t="s">
        <v>532</v>
      </c>
      <c r="D799" s="560">
        <v>91890</v>
      </c>
      <c r="E799" s="188" t="s">
        <v>98</v>
      </c>
      <c r="F799" s="561">
        <v>1</v>
      </c>
      <c r="G799" s="188" t="s">
        <v>13</v>
      </c>
      <c r="H799" s="188" t="s">
        <v>540</v>
      </c>
      <c r="I799" s="562">
        <v>44245</v>
      </c>
      <c r="J799" s="562">
        <v>44251</v>
      </c>
      <c r="K799" s="6" t="str">
        <f t="shared" si="37"/>
        <v>HD FILM</v>
      </c>
      <c r="L799" s="14">
        <f>VLOOKUP(J799,'USD to INR'!$B$2:$G$560,6,TRUE)</f>
        <v>73.92</v>
      </c>
      <c r="M799" s="216">
        <f t="shared" si="38"/>
        <v>1243.1006493506493</v>
      </c>
      <c r="N799" s="563">
        <f t="shared" si="36"/>
        <v>44251</v>
      </c>
    </row>
    <row r="800" spans="1:14" x14ac:dyDescent="0.25">
      <c r="A800" s="188" t="s">
        <v>530</v>
      </c>
      <c r="B800" s="188" t="s">
        <v>531</v>
      </c>
      <c r="C800" s="188" t="s">
        <v>532</v>
      </c>
      <c r="D800" s="560">
        <v>94670</v>
      </c>
      <c r="E800" s="188" t="s">
        <v>98</v>
      </c>
      <c r="F800" s="561">
        <v>1</v>
      </c>
      <c r="G800" s="188" t="s">
        <v>13</v>
      </c>
      <c r="H800" s="188" t="s">
        <v>540</v>
      </c>
      <c r="I800" s="562">
        <v>44252</v>
      </c>
      <c r="J800" s="562">
        <v>44255</v>
      </c>
      <c r="K800" s="6" t="str">
        <f t="shared" si="37"/>
        <v>HD FILM</v>
      </c>
      <c r="L800" s="14">
        <f>VLOOKUP(J800,'USD to INR'!$B$2:$G$560,6,TRUE)</f>
        <v>73.180000000000007</v>
      </c>
      <c r="M800" s="216">
        <f t="shared" si="38"/>
        <v>1293.6594698004917</v>
      </c>
      <c r="N800" s="563">
        <f t="shared" si="36"/>
        <v>44255</v>
      </c>
    </row>
    <row r="801" spans="1:14" x14ac:dyDescent="0.25">
      <c r="A801" s="188" t="s">
        <v>530</v>
      </c>
      <c r="B801" s="188" t="s">
        <v>531</v>
      </c>
      <c r="C801" s="188" t="s">
        <v>532</v>
      </c>
      <c r="D801" s="560">
        <v>96510</v>
      </c>
      <c r="E801" s="188" t="s">
        <v>98</v>
      </c>
      <c r="F801" s="561">
        <v>1</v>
      </c>
      <c r="G801" s="188" t="s">
        <v>13</v>
      </c>
      <c r="H801" s="188" t="s">
        <v>540</v>
      </c>
      <c r="I801" s="562">
        <v>44256</v>
      </c>
      <c r="J801" s="562">
        <v>44258</v>
      </c>
      <c r="K801" s="6" t="str">
        <f t="shared" si="37"/>
        <v>HD FILM</v>
      </c>
      <c r="L801" s="14">
        <f>VLOOKUP(J801,'USD to INR'!$B$2:$G$560,6,TRUE)</f>
        <v>73.180000000000007</v>
      </c>
      <c r="M801" s="216">
        <f t="shared" si="38"/>
        <v>1318.8029516261272</v>
      </c>
      <c r="N801" s="563">
        <f t="shared" si="36"/>
        <v>44258</v>
      </c>
    </row>
    <row r="802" spans="1:14" x14ac:dyDescent="0.25">
      <c r="A802" s="188" t="s">
        <v>530</v>
      </c>
      <c r="B802" s="188" t="s">
        <v>531</v>
      </c>
      <c r="C802" s="188" t="s">
        <v>532</v>
      </c>
      <c r="D802" s="560">
        <v>99290</v>
      </c>
      <c r="E802" s="188" t="s">
        <v>98</v>
      </c>
      <c r="F802" s="561">
        <v>1</v>
      </c>
      <c r="G802" s="188" t="s">
        <v>13</v>
      </c>
      <c r="H802" s="188" t="s">
        <v>540</v>
      </c>
      <c r="I802" s="562">
        <v>44259</v>
      </c>
      <c r="J802" s="562">
        <v>44265</v>
      </c>
      <c r="K802" s="6" t="str">
        <f t="shared" si="37"/>
        <v>HD FILM</v>
      </c>
      <c r="L802" s="14">
        <f>VLOOKUP(J802,'USD to INR'!$B$2:$G$560,6,TRUE)</f>
        <v>72.680000000000007</v>
      </c>
      <c r="M802" s="216">
        <f t="shared" si="38"/>
        <v>1366.1254815630159</v>
      </c>
      <c r="N802" s="563">
        <f t="shared" si="36"/>
        <v>44265</v>
      </c>
    </row>
    <row r="803" spans="1:14" x14ac:dyDescent="0.25">
      <c r="A803" s="188" t="s">
        <v>530</v>
      </c>
      <c r="B803" s="188" t="s">
        <v>531</v>
      </c>
      <c r="C803" s="188" t="s">
        <v>532</v>
      </c>
      <c r="D803" s="560">
        <v>102070</v>
      </c>
      <c r="E803" s="188" t="s">
        <v>98</v>
      </c>
      <c r="F803" s="561">
        <v>1</v>
      </c>
      <c r="G803" s="188" t="s">
        <v>13</v>
      </c>
      <c r="H803" s="188" t="s">
        <v>540</v>
      </c>
      <c r="I803" s="562">
        <v>44266</v>
      </c>
      <c r="J803" s="562">
        <v>44286</v>
      </c>
      <c r="K803" s="6" t="str">
        <f t="shared" si="37"/>
        <v>HD FILM</v>
      </c>
      <c r="L803" s="14">
        <f>VLOOKUP(J803,'USD to INR'!$B$2:$G$560,6,TRUE)</f>
        <v>73.37</v>
      </c>
      <c r="M803" s="216">
        <f t="shared" si="38"/>
        <v>1391.1680523374675</v>
      </c>
      <c r="N803" s="563">
        <f t="shared" si="36"/>
        <v>44286</v>
      </c>
    </row>
    <row r="804" spans="1:14" x14ac:dyDescent="0.25">
      <c r="A804" s="188" t="s">
        <v>530</v>
      </c>
      <c r="B804" s="188" t="s">
        <v>531</v>
      </c>
      <c r="C804" s="188" t="s">
        <v>532</v>
      </c>
      <c r="D804" s="560">
        <v>105770</v>
      </c>
      <c r="E804" s="188" t="s">
        <v>98</v>
      </c>
      <c r="F804" s="561">
        <v>1</v>
      </c>
      <c r="G804" s="188" t="s">
        <v>13</v>
      </c>
      <c r="H804" s="188" t="s">
        <v>540</v>
      </c>
      <c r="I804" s="562">
        <v>44287</v>
      </c>
      <c r="J804" s="562">
        <v>44300</v>
      </c>
      <c r="K804" s="6" t="str">
        <f t="shared" si="37"/>
        <v>HD FILM</v>
      </c>
      <c r="L804" s="14">
        <f>VLOOKUP(J804,'USD to INR'!$B$2:$G$560,6,TRUE)</f>
        <v>74.53</v>
      </c>
      <c r="M804" s="216">
        <f t="shared" si="38"/>
        <v>1419.1600697705621</v>
      </c>
      <c r="N804" s="563">
        <f t="shared" si="36"/>
        <v>44300</v>
      </c>
    </row>
    <row r="805" spans="1:14" x14ac:dyDescent="0.25">
      <c r="A805" s="188" t="s">
        <v>530</v>
      </c>
      <c r="B805" s="188" t="s">
        <v>531</v>
      </c>
      <c r="C805" s="188" t="s">
        <v>532</v>
      </c>
      <c r="D805" s="560">
        <v>104850</v>
      </c>
      <c r="E805" s="188" t="s">
        <v>98</v>
      </c>
      <c r="F805" s="561">
        <v>1</v>
      </c>
      <c r="G805" s="188" t="s">
        <v>13</v>
      </c>
      <c r="H805" s="188" t="s">
        <v>540</v>
      </c>
      <c r="I805" s="562">
        <v>44301</v>
      </c>
      <c r="J805" s="562">
        <v>44307</v>
      </c>
      <c r="K805" s="6" t="str">
        <f t="shared" si="37"/>
        <v>HD FILM</v>
      </c>
      <c r="L805" s="14">
        <f>VLOOKUP(J805,'USD to INR'!$B$2:$G$560,6,TRUE)</f>
        <v>74.92</v>
      </c>
      <c r="M805" s="216">
        <f t="shared" si="38"/>
        <v>1399.4927923117991</v>
      </c>
      <c r="N805" s="563">
        <f t="shared" si="36"/>
        <v>44307</v>
      </c>
    </row>
    <row r="806" spans="1:14" x14ac:dyDescent="0.25">
      <c r="A806" s="188" t="s">
        <v>530</v>
      </c>
      <c r="B806" s="188" t="s">
        <v>531</v>
      </c>
      <c r="C806" s="188" t="s">
        <v>532</v>
      </c>
      <c r="D806" s="560">
        <v>102080</v>
      </c>
      <c r="E806" s="188" t="s">
        <v>98</v>
      </c>
      <c r="F806" s="561">
        <v>1</v>
      </c>
      <c r="G806" s="188" t="s">
        <v>13</v>
      </c>
      <c r="H806" s="188" t="s">
        <v>540</v>
      </c>
      <c r="I806" s="562">
        <v>44308</v>
      </c>
      <c r="J806" s="562">
        <v>44316</v>
      </c>
      <c r="K806" s="6" t="str">
        <f t="shared" si="37"/>
        <v>HD FILM</v>
      </c>
      <c r="L806" s="14">
        <f>VLOOKUP(J806,'USD to INR'!$B$2:$G$560,6,TRUE)</f>
        <v>74.05</v>
      </c>
      <c r="M806" s="216">
        <f t="shared" si="38"/>
        <v>1378.5280216070223</v>
      </c>
      <c r="N806" s="563">
        <f t="shared" si="36"/>
        <v>44316</v>
      </c>
    </row>
    <row r="807" spans="1:14" x14ac:dyDescent="0.25">
      <c r="A807" s="188" t="s">
        <v>530</v>
      </c>
      <c r="B807" s="188" t="s">
        <v>531</v>
      </c>
      <c r="C807" s="188" t="s">
        <v>532</v>
      </c>
      <c r="D807" s="560">
        <v>100240</v>
      </c>
      <c r="E807" s="188" t="s">
        <v>98</v>
      </c>
      <c r="F807" s="561">
        <v>1</v>
      </c>
      <c r="G807" s="188" t="s">
        <v>13</v>
      </c>
      <c r="H807" s="188" t="s">
        <v>540</v>
      </c>
      <c r="I807" s="562">
        <v>44317</v>
      </c>
      <c r="J807" s="562">
        <v>44321</v>
      </c>
      <c r="K807" s="6" t="str">
        <f t="shared" si="37"/>
        <v>HD FILM</v>
      </c>
      <c r="L807" s="14">
        <f>VLOOKUP(J807,'USD to INR'!$B$2:$G$560,6,TRUE)</f>
        <v>73.251999999999995</v>
      </c>
      <c r="M807" s="216">
        <f t="shared" si="38"/>
        <v>1368.4268006334298</v>
      </c>
      <c r="N807" s="563">
        <f t="shared" si="36"/>
        <v>44321</v>
      </c>
    </row>
    <row r="808" spans="1:14" x14ac:dyDescent="0.25">
      <c r="A808" s="188" t="s">
        <v>530</v>
      </c>
      <c r="B808" s="188" t="s">
        <v>531</v>
      </c>
      <c r="C808" s="188" t="s">
        <v>532</v>
      </c>
      <c r="D808" s="560">
        <v>97470</v>
      </c>
      <c r="E808" s="188" t="s">
        <v>98</v>
      </c>
      <c r="F808" s="561">
        <v>1</v>
      </c>
      <c r="G808" s="188" t="s">
        <v>13</v>
      </c>
      <c r="H808" s="188" t="s">
        <v>540</v>
      </c>
      <c r="I808" s="562">
        <v>44322</v>
      </c>
      <c r="J808" s="562">
        <v>44335</v>
      </c>
      <c r="K808" s="6" t="str">
        <f t="shared" si="37"/>
        <v>HD FILM</v>
      </c>
      <c r="L808" s="14">
        <f>VLOOKUP(J808,'USD to INR'!$B$2:$G$560,6,TRUE)</f>
        <v>72.816999999999993</v>
      </c>
      <c r="M808" s="216">
        <f t="shared" si="38"/>
        <v>1338.5610503041873</v>
      </c>
      <c r="N808" s="563">
        <f t="shared" si="36"/>
        <v>44335</v>
      </c>
    </row>
    <row r="809" spans="1:14" x14ac:dyDescent="0.25">
      <c r="A809" s="188" t="s">
        <v>530</v>
      </c>
      <c r="B809" s="188" t="s">
        <v>531</v>
      </c>
      <c r="C809" s="188" t="s">
        <v>532</v>
      </c>
      <c r="D809" s="560">
        <v>95630</v>
      </c>
      <c r="E809" s="188" t="s">
        <v>98</v>
      </c>
      <c r="F809" s="561">
        <v>1</v>
      </c>
      <c r="G809" s="188" t="s">
        <v>13</v>
      </c>
      <c r="H809" s="188" t="s">
        <v>540</v>
      </c>
      <c r="I809" s="562">
        <v>44336</v>
      </c>
      <c r="J809" s="562">
        <v>44347</v>
      </c>
      <c r="K809" s="6" t="str">
        <f t="shared" si="37"/>
        <v>HD FILM</v>
      </c>
      <c r="L809" s="14">
        <f>VLOOKUP(J809,'USD to INR'!$B$2:$G$560,6,TRUE)</f>
        <v>72.86</v>
      </c>
      <c r="M809" s="216">
        <f t="shared" si="38"/>
        <v>1312.5171561899533</v>
      </c>
      <c r="N809" s="563">
        <f t="shared" si="36"/>
        <v>44347</v>
      </c>
    </row>
    <row r="810" spans="1:14" x14ac:dyDescent="0.25">
      <c r="A810" s="188" t="s">
        <v>530</v>
      </c>
      <c r="B810" s="188" t="s">
        <v>531</v>
      </c>
      <c r="C810" s="188" t="s">
        <v>532</v>
      </c>
      <c r="D810" s="560">
        <v>92850</v>
      </c>
      <c r="E810" s="188" t="s">
        <v>98</v>
      </c>
      <c r="F810" s="561">
        <v>1</v>
      </c>
      <c r="G810" s="188" t="s">
        <v>13</v>
      </c>
      <c r="H810" s="188" t="s">
        <v>540</v>
      </c>
      <c r="I810" s="562">
        <v>44348</v>
      </c>
      <c r="J810" s="562">
        <v>44356</v>
      </c>
      <c r="K810" s="6" t="str">
        <f t="shared" si="37"/>
        <v>HD FILM</v>
      </c>
      <c r="L810" s="14">
        <f>VLOOKUP(J810,'USD to INR'!$B$2:$G$560,6,TRUE)</f>
        <v>73.239999999999995</v>
      </c>
      <c r="M810" s="216">
        <f t="shared" si="38"/>
        <v>1267.7498634625888</v>
      </c>
      <c r="N810" s="563">
        <f t="shared" si="36"/>
        <v>44356</v>
      </c>
    </row>
    <row r="811" spans="1:14" x14ac:dyDescent="0.25">
      <c r="A811" s="188" t="s">
        <v>530</v>
      </c>
      <c r="B811" s="188" t="s">
        <v>531</v>
      </c>
      <c r="C811" s="188" t="s">
        <v>532</v>
      </c>
      <c r="D811" s="560">
        <v>91010</v>
      </c>
      <c r="E811" s="188" t="s">
        <v>98</v>
      </c>
      <c r="F811" s="561">
        <v>1</v>
      </c>
      <c r="G811" s="188" t="s">
        <v>13</v>
      </c>
      <c r="H811" s="188" t="s">
        <v>540</v>
      </c>
      <c r="I811" s="562">
        <v>44357</v>
      </c>
      <c r="J811" s="562">
        <v>44377</v>
      </c>
      <c r="K811" s="6" t="str">
        <f t="shared" si="37"/>
        <v>HD FILM</v>
      </c>
      <c r="L811" s="14">
        <f>VLOOKUP(J811,'USD to INR'!$B$2:$G$560,6,TRUE)</f>
        <v>74.512</v>
      </c>
      <c r="M811" s="216">
        <f t="shared" si="38"/>
        <v>1221.4140004294611</v>
      </c>
      <c r="N811" s="563">
        <f t="shared" si="36"/>
        <v>44377</v>
      </c>
    </row>
    <row r="812" spans="1:14" x14ac:dyDescent="0.25">
      <c r="A812" s="188" t="s">
        <v>530</v>
      </c>
      <c r="B812" s="188" t="s">
        <v>531</v>
      </c>
      <c r="C812" s="188" t="s">
        <v>532</v>
      </c>
      <c r="D812" s="560">
        <v>91000</v>
      </c>
      <c r="E812" s="188" t="s">
        <v>98</v>
      </c>
      <c r="F812" s="561">
        <v>1</v>
      </c>
      <c r="G812" s="188" t="s">
        <v>13</v>
      </c>
      <c r="H812" s="188" t="s">
        <v>540</v>
      </c>
      <c r="I812" s="562">
        <v>44378</v>
      </c>
      <c r="J812" s="562">
        <v>44384</v>
      </c>
      <c r="K812" s="6" t="str">
        <f t="shared" si="37"/>
        <v>HD FILM</v>
      </c>
      <c r="L812" s="14">
        <f>VLOOKUP(J812,'USD to INR'!$B$2:$G$560,6,TRUE)</f>
        <v>74.484999999999999</v>
      </c>
      <c r="M812" s="216">
        <f t="shared" si="38"/>
        <v>1221.7224944619722</v>
      </c>
      <c r="N812" s="563">
        <f t="shared" si="36"/>
        <v>44384</v>
      </c>
    </row>
    <row r="813" spans="1:14" x14ac:dyDescent="0.25">
      <c r="A813" s="188" t="s">
        <v>530</v>
      </c>
      <c r="B813" s="188" t="s">
        <v>531</v>
      </c>
      <c r="C813" s="188" t="s">
        <v>532</v>
      </c>
      <c r="D813" s="560">
        <v>92850</v>
      </c>
      <c r="E813" s="188" t="s">
        <v>98</v>
      </c>
      <c r="F813" s="561">
        <v>1</v>
      </c>
      <c r="G813" s="188" t="s">
        <v>13</v>
      </c>
      <c r="H813" s="188" t="s">
        <v>540</v>
      </c>
      <c r="I813" s="562">
        <v>44385</v>
      </c>
      <c r="J813" s="562">
        <v>44391</v>
      </c>
      <c r="K813" s="6" t="str">
        <f t="shared" si="37"/>
        <v>HD FILM</v>
      </c>
      <c r="L813" s="14">
        <f>VLOOKUP(J813,'USD to INR'!$B$2:$G$560,6,TRUE)</f>
        <v>74.605999999999995</v>
      </c>
      <c r="M813" s="216">
        <f t="shared" si="38"/>
        <v>1244.5379728171997</v>
      </c>
      <c r="N813" s="563">
        <f t="shared" si="36"/>
        <v>44391</v>
      </c>
    </row>
    <row r="814" spans="1:14" x14ac:dyDescent="0.25">
      <c r="A814" s="188" t="s">
        <v>530</v>
      </c>
      <c r="B814" s="188" t="s">
        <v>531</v>
      </c>
      <c r="C814" s="188" t="s">
        <v>532</v>
      </c>
      <c r="D814" s="560">
        <v>93780</v>
      </c>
      <c r="E814" s="188" t="s">
        <v>98</v>
      </c>
      <c r="F814" s="561">
        <v>1</v>
      </c>
      <c r="G814" s="188" t="s">
        <v>13</v>
      </c>
      <c r="H814" s="188" t="s">
        <v>540</v>
      </c>
      <c r="I814" s="562">
        <v>44392</v>
      </c>
      <c r="J814" s="562">
        <v>44408</v>
      </c>
      <c r="K814" s="6" t="str">
        <f t="shared" si="37"/>
        <v>HD FILM</v>
      </c>
      <c r="L814" s="14">
        <f>VLOOKUP(J814,'USD to INR'!$B$2:$G$560,6,TRUE)</f>
        <v>74.337000000000003</v>
      </c>
      <c r="M814" s="216">
        <f t="shared" si="38"/>
        <v>1261.5521207474071</v>
      </c>
      <c r="N814" s="563">
        <f t="shared" si="36"/>
        <v>44408</v>
      </c>
    </row>
    <row r="815" spans="1:14" x14ac:dyDescent="0.25">
      <c r="A815" s="188" t="s">
        <v>530</v>
      </c>
      <c r="B815" s="188" t="s">
        <v>531</v>
      </c>
      <c r="C815" s="188" t="s">
        <v>532</v>
      </c>
      <c r="D815" s="560">
        <v>94700</v>
      </c>
      <c r="E815" s="188" t="s">
        <v>98</v>
      </c>
      <c r="F815" s="561">
        <v>1</v>
      </c>
      <c r="G815" s="188" t="s">
        <v>13</v>
      </c>
      <c r="H815" s="188" t="s">
        <v>540</v>
      </c>
      <c r="I815" s="562">
        <v>44409</v>
      </c>
      <c r="J815" s="562">
        <v>44419</v>
      </c>
      <c r="K815" s="6" t="str">
        <f t="shared" si="37"/>
        <v>HD FILM</v>
      </c>
      <c r="L815" s="14">
        <f>VLOOKUP(J815,'USD to INR'!$B$2:$G$560,6,TRUE)</f>
        <v>74.239000000000004</v>
      </c>
      <c r="M815" s="216">
        <f t="shared" si="38"/>
        <v>1275.6098546586024</v>
      </c>
      <c r="N815" s="563">
        <f t="shared" si="36"/>
        <v>44419</v>
      </c>
    </row>
    <row r="816" spans="1:14" x14ac:dyDescent="0.25">
      <c r="A816" s="188" t="s">
        <v>530</v>
      </c>
      <c r="B816" s="188" t="s">
        <v>531</v>
      </c>
      <c r="C816" s="188" t="s">
        <v>532</v>
      </c>
      <c r="D816" s="560">
        <v>95630</v>
      </c>
      <c r="E816" s="188" t="s">
        <v>98</v>
      </c>
      <c r="F816" s="561">
        <v>1</v>
      </c>
      <c r="G816" s="188" t="s">
        <v>13</v>
      </c>
      <c r="H816" s="188" t="s">
        <v>540</v>
      </c>
      <c r="I816" s="562">
        <v>44420</v>
      </c>
      <c r="J816" s="562">
        <v>44426</v>
      </c>
      <c r="K816" s="6" t="str">
        <f t="shared" si="37"/>
        <v>HD FILM</v>
      </c>
      <c r="L816" s="14">
        <f>VLOOKUP(J816,'USD to INR'!$B$2:$G$560,6,TRUE)</f>
        <v>74.346999999999994</v>
      </c>
      <c r="M816" s="216">
        <f t="shared" si="38"/>
        <v>1286.2657538300134</v>
      </c>
      <c r="N816" s="563">
        <f t="shared" si="36"/>
        <v>44426</v>
      </c>
    </row>
    <row r="817" spans="1:14" x14ac:dyDescent="0.25">
      <c r="A817" s="188" t="s">
        <v>530</v>
      </c>
      <c r="B817" s="188" t="s">
        <v>531</v>
      </c>
      <c r="C817" s="188" t="s">
        <v>532</v>
      </c>
      <c r="D817" s="560">
        <v>96560</v>
      </c>
      <c r="E817" s="188" t="s">
        <v>98</v>
      </c>
      <c r="F817" s="561">
        <v>1</v>
      </c>
      <c r="G817" s="188" t="s">
        <v>13</v>
      </c>
      <c r="H817" s="188" t="s">
        <v>540</v>
      </c>
      <c r="I817" s="562">
        <v>44427</v>
      </c>
      <c r="J817" s="562">
        <v>44439</v>
      </c>
      <c r="K817" s="6" t="str">
        <f t="shared" si="37"/>
        <v>HD FILM</v>
      </c>
      <c r="L817" s="14">
        <f>VLOOKUP(J817,'USD to INR'!$B$2:$G$560,6,TRUE)</f>
        <v>72.981999999999999</v>
      </c>
      <c r="M817" s="216">
        <f t="shared" si="38"/>
        <v>1323.0659614699516</v>
      </c>
      <c r="N817" s="563">
        <f t="shared" si="36"/>
        <v>44439</v>
      </c>
    </row>
    <row r="818" spans="1:14" x14ac:dyDescent="0.25">
      <c r="A818" s="188" t="s">
        <v>530</v>
      </c>
      <c r="B818" s="188" t="s">
        <v>531</v>
      </c>
      <c r="C818" s="188" t="s">
        <v>532</v>
      </c>
      <c r="D818" s="560">
        <v>96570</v>
      </c>
      <c r="E818" s="188" t="s">
        <v>98</v>
      </c>
      <c r="F818" s="561">
        <v>1</v>
      </c>
      <c r="G818" s="188" t="s">
        <v>13</v>
      </c>
      <c r="H818" s="188" t="s">
        <v>540</v>
      </c>
      <c r="I818" s="562">
        <v>44440</v>
      </c>
      <c r="J818" s="562">
        <v>44469</v>
      </c>
      <c r="K818" s="6" t="str">
        <f t="shared" si="37"/>
        <v>HD FILM</v>
      </c>
      <c r="L818" s="14">
        <f>VLOOKUP(J818,'USD to INR'!$B$2:$G$560,6,TRUE)</f>
        <v>74.131</v>
      </c>
      <c r="M818" s="216">
        <f t="shared" si="38"/>
        <v>1302.6938797534094</v>
      </c>
      <c r="N818" s="563">
        <f t="shared" si="36"/>
        <v>44469</v>
      </c>
    </row>
    <row r="819" spans="1:14" x14ac:dyDescent="0.25">
      <c r="A819" s="188" t="s">
        <v>530</v>
      </c>
      <c r="B819" s="188" t="s">
        <v>531</v>
      </c>
      <c r="C819" s="188" t="s">
        <v>532</v>
      </c>
      <c r="D819" s="560">
        <v>97960</v>
      </c>
      <c r="E819" s="188" t="s">
        <v>98</v>
      </c>
      <c r="F819" s="561">
        <v>1</v>
      </c>
      <c r="G819" s="188" t="s">
        <v>13</v>
      </c>
      <c r="H819" s="188" t="s">
        <v>540</v>
      </c>
      <c r="I819" s="562">
        <v>44470</v>
      </c>
      <c r="J819" s="562">
        <v>44482</v>
      </c>
      <c r="K819" s="6" t="str">
        <f t="shared" si="37"/>
        <v>HD FILM</v>
      </c>
      <c r="L819" s="14">
        <f>VLOOKUP(J819,'USD to INR'!$B$2:$G$560,6,TRUE)</f>
        <v>75.013000000000005</v>
      </c>
      <c r="M819" s="216">
        <f t="shared" si="38"/>
        <v>1305.9069761241383</v>
      </c>
      <c r="N819" s="563">
        <f t="shared" si="36"/>
        <v>44482</v>
      </c>
    </row>
    <row r="820" spans="1:14" x14ac:dyDescent="0.25">
      <c r="A820" s="188" t="s">
        <v>530</v>
      </c>
      <c r="B820" s="188" t="s">
        <v>531</v>
      </c>
      <c r="C820" s="188" t="s">
        <v>532</v>
      </c>
      <c r="D820" s="560">
        <v>103510</v>
      </c>
      <c r="E820" s="188" t="s">
        <v>98</v>
      </c>
      <c r="F820" s="561">
        <v>1</v>
      </c>
      <c r="G820" s="188" t="s">
        <v>13</v>
      </c>
      <c r="H820" s="188" t="s">
        <v>540</v>
      </c>
      <c r="I820" s="562">
        <v>44483</v>
      </c>
      <c r="J820" s="562">
        <v>44500</v>
      </c>
      <c r="K820" s="6" t="str">
        <f t="shared" si="37"/>
        <v>HD FILM</v>
      </c>
      <c r="L820" s="14">
        <f>VLOOKUP(J820,'USD to INR'!$B$2:$G$560,6,TRUE)</f>
        <v>75.313000000000002</v>
      </c>
      <c r="M820" s="216">
        <f t="shared" si="38"/>
        <v>1374.3975143733485</v>
      </c>
      <c r="N820" s="563">
        <f t="shared" si="36"/>
        <v>44500</v>
      </c>
    </row>
    <row r="821" spans="1:14" x14ac:dyDescent="0.25">
      <c r="A821" s="188" t="s">
        <v>530</v>
      </c>
      <c r="B821" s="188" t="s">
        <v>531</v>
      </c>
      <c r="C821" s="188" t="s">
        <v>532</v>
      </c>
      <c r="D821" s="560">
        <v>104880</v>
      </c>
      <c r="E821" s="188" t="s">
        <v>98</v>
      </c>
      <c r="F821" s="561">
        <v>1</v>
      </c>
      <c r="G821" s="188" t="s">
        <v>13</v>
      </c>
      <c r="H821" s="188" t="s">
        <v>540</v>
      </c>
      <c r="I821" s="562">
        <v>44501</v>
      </c>
      <c r="J821" s="562">
        <v>44530</v>
      </c>
      <c r="K821" s="6" t="str">
        <f t="shared" si="37"/>
        <v>HD FILM</v>
      </c>
      <c r="L821" s="14">
        <f>VLOOKUP(J821,'USD to INR'!$B$2:$G$560,6,TRUE)</f>
        <v>75.313000000000002</v>
      </c>
      <c r="M821" s="216">
        <f t="shared" si="38"/>
        <v>1392.5882649741743</v>
      </c>
      <c r="N821" s="563">
        <f t="shared" si="36"/>
        <v>44530</v>
      </c>
    </row>
    <row r="822" spans="1:14" x14ac:dyDescent="0.25">
      <c r="A822" s="188" t="s">
        <v>530</v>
      </c>
      <c r="B822" s="188" t="s">
        <v>531</v>
      </c>
      <c r="C822" s="188" t="s">
        <v>532</v>
      </c>
      <c r="D822" s="560">
        <v>102150</v>
      </c>
      <c r="E822" s="188" t="s">
        <v>98</v>
      </c>
      <c r="F822" s="561">
        <v>1</v>
      </c>
      <c r="G822" s="188" t="s">
        <v>13</v>
      </c>
      <c r="H822" s="188" t="s">
        <v>540</v>
      </c>
      <c r="I822" s="562">
        <v>44531</v>
      </c>
      <c r="J822" s="562">
        <v>44538</v>
      </c>
      <c r="K822" s="6" t="str">
        <f t="shared" si="37"/>
        <v>HD FILM</v>
      </c>
      <c r="L822" s="14">
        <f>VLOOKUP(J822,'USD to INR'!$B$2:$G$560,6,TRUE)</f>
        <v>75.313000000000002</v>
      </c>
      <c r="M822" s="216">
        <f t="shared" si="38"/>
        <v>1356.3395429739885</v>
      </c>
      <c r="N822" s="563">
        <f t="shared" si="36"/>
        <v>44538</v>
      </c>
    </row>
    <row r="823" spans="1:14" x14ac:dyDescent="0.25">
      <c r="A823" s="188" t="s">
        <v>530</v>
      </c>
      <c r="B823" s="188" t="s">
        <v>531</v>
      </c>
      <c r="C823" s="188" t="s">
        <v>532</v>
      </c>
      <c r="D823" s="560">
        <v>100310</v>
      </c>
      <c r="E823" s="188" t="s">
        <v>98</v>
      </c>
      <c r="F823" s="561">
        <v>1</v>
      </c>
      <c r="G823" s="188" t="s">
        <v>13</v>
      </c>
      <c r="H823" s="188" t="s">
        <v>540</v>
      </c>
      <c r="I823" s="562">
        <v>44539</v>
      </c>
      <c r="J823" s="562">
        <v>44545</v>
      </c>
      <c r="K823" s="6" t="str">
        <f t="shared" si="37"/>
        <v>HD FILM</v>
      </c>
      <c r="L823" s="14">
        <f>VLOOKUP(J823,'USD to INR'!$B$2:$G$560,6,TRUE)</f>
        <v>75.313000000000002</v>
      </c>
      <c r="M823" s="216">
        <f t="shared" si="38"/>
        <v>1331.9081699042661</v>
      </c>
      <c r="N823" s="563">
        <f t="shared" si="36"/>
        <v>44545</v>
      </c>
    </row>
    <row r="824" spans="1:14" x14ac:dyDescent="0.25">
      <c r="A824" s="188" t="s">
        <v>530</v>
      </c>
      <c r="B824" s="188" t="s">
        <v>531</v>
      </c>
      <c r="C824" s="188" t="s">
        <v>532</v>
      </c>
      <c r="D824" s="560">
        <v>100310</v>
      </c>
      <c r="E824" s="188" t="s">
        <v>98</v>
      </c>
      <c r="F824" s="561">
        <v>1</v>
      </c>
      <c r="G824" s="188" t="s">
        <v>13</v>
      </c>
      <c r="H824" s="188" t="s">
        <v>540</v>
      </c>
      <c r="I824" s="562">
        <v>44546</v>
      </c>
      <c r="J824" s="562">
        <v>44561</v>
      </c>
      <c r="K824" s="6" t="str">
        <f t="shared" si="37"/>
        <v>HD FILM</v>
      </c>
      <c r="L824" s="14">
        <f>VLOOKUP(J824,'USD to INR'!$B$2:$G$560,6,TRUE)</f>
        <v>75.313000000000002</v>
      </c>
      <c r="M824" s="216">
        <f t="shared" si="38"/>
        <v>1331.9081699042661</v>
      </c>
      <c r="N824" s="563">
        <f t="shared" si="36"/>
        <v>44561</v>
      </c>
    </row>
    <row r="825" spans="1:14" x14ac:dyDescent="0.25">
      <c r="A825" s="188" t="s">
        <v>530</v>
      </c>
      <c r="B825" s="188" t="s">
        <v>531</v>
      </c>
      <c r="C825" s="188" t="s">
        <v>532</v>
      </c>
      <c r="D825" s="560">
        <v>78430</v>
      </c>
      <c r="E825" s="188" t="s">
        <v>98</v>
      </c>
      <c r="F825" s="561">
        <v>1</v>
      </c>
      <c r="G825" s="188" t="s">
        <v>13</v>
      </c>
      <c r="H825" s="188" t="s">
        <v>541</v>
      </c>
      <c r="I825" s="562">
        <v>43101</v>
      </c>
      <c r="J825" s="562">
        <v>43110</v>
      </c>
      <c r="K825" s="6" t="str">
        <f t="shared" si="37"/>
        <v>HD INJ</v>
      </c>
      <c r="L825" s="14">
        <f>VLOOKUP(J825,'USD to INR'!$B$2:$G$560,6,TRUE)</f>
        <v>63.61</v>
      </c>
      <c r="M825" s="216">
        <f t="shared" si="38"/>
        <v>1232.9822354975634</v>
      </c>
      <c r="N825" s="563">
        <f t="shared" si="36"/>
        <v>43110</v>
      </c>
    </row>
    <row r="826" spans="1:14" x14ac:dyDescent="0.25">
      <c r="A826" s="188" t="s">
        <v>530</v>
      </c>
      <c r="B826" s="188" t="s">
        <v>531</v>
      </c>
      <c r="C826" s="188" t="s">
        <v>532</v>
      </c>
      <c r="D826" s="560">
        <v>80280</v>
      </c>
      <c r="E826" s="188" t="s">
        <v>98</v>
      </c>
      <c r="F826" s="561">
        <v>1</v>
      </c>
      <c r="G826" s="188" t="s">
        <v>13</v>
      </c>
      <c r="H826" s="188" t="s">
        <v>541</v>
      </c>
      <c r="I826" s="562">
        <v>43111</v>
      </c>
      <c r="J826" s="562">
        <v>43117</v>
      </c>
      <c r="K826" s="6" t="str">
        <f t="shared" si="37"/>
        <v>HD INJ</v>
      </c>
      <c r="L826" s="14">
        <f>VLOOKUP(J826,'USD to INR'!$B$2:$G$560,6,TRUE)</f>
        <v>63.83</v>
      </c>
      <c r="M826" s="216">
        <f t="shared" si="38"/>
        <v>1257.7158076139747</v>
      </c>
      <c r="N826" s="563">
        <f t="shared" si="36"/>
        <v>43117</v>
      </c>
    </row>
    <row r="827" spans="1:14" x14ac:dyDescent="0.25">
      <c r="A827" s="188" t="s">
        <v>530</v>
      </c>
      <c r="B827" s="188" t="s">
        <v>531</v>
      </c>
      <c r="C827" s="188" t="s">
        <v>532</v>
      </c>
      <c r="D827" s="560">
        <v>81210</v>
      </c>
      <c r="E827" s="188" t="s">
        <v>98</v>
      </c>
      <c r="F827" s="561">
        <v>1</v>
      </c>
      <c r="G827" s="188" t="s">
        <v>13</v>
      </c>
      <c r="H827" s="188" t="s">
        <v>541</v>
      </c>
      <c r="I827" s="562">
        <v>43118</v>
      </c>
      <c r="J827" s="562">
        <v>43124</v>
      </c>
      <c r="K827" s="6" t="str">
        <f t="shared" si="37"/>
        <v>HD INJ</v>
      </c>
      <c r="L827" s="14">
        <f>VLOOKUP(J827,'USD to INR'!$B$2:$G$560,6,TRUE)</f>
        <v>63.59</v>
      </c>
      <c r="M827" s="216">
        <f t="shared" si="38"/>
        <v>1277.0875923887404</v>
      </c>
      <c r="N827" s="563">
        <f t="shared" si="36"/>
        <v>43124</v>
      </c>
    </row>
    <row r="828" spans="1:14" x14ac:dyDescent="0.25">
      <c r="A828" s="188" t="s">
        <v>530</v>
      </c>
      <c r="B828" s="188" t="s">
        <v>531</v>
      </c>
      <c r="C828" s="188" t="s">
        <v>532</v>
      </c>
      <c r="D828" s="560">
        <v>81210</v>
      </c>
      <c r="E828" s="188" t="s">
        <v>98</v>
      </c>
      <c r="F828" s="561">
        <v>1</v>
      </c>
      <c r="G828" s="188" t="s">
        <v>13</v>
      </c>
      <c r="H828" s="188" t="s">
        <v>541</v>
      </c>
      <c r="I828" s="562">
        <v>43125</v>
      </c>
      <c r="J828" s="562">
        <v>43131</v>
      </c>
      <c r="K828" s="6" t="str">
        <f t="shared" si="37"/>
        <v>HD INJ</v>
      </c>
      <c r="L828" s="14">
        <f>VLOOKUP(J828,'USD to INR'!$B$2:$G$560,6,TRUE)</f>
        <v>64.13</v>
      </c>
      <c r="M828" s="216">
        <f t="shared" si="38"/>
        <v>1266.3340090441293</v>
      </c>
      <c r="N828" s="563">
        <f t="shared" si="36"/>
        <v>43131</v>
      </c>
    </row>
    <row r="829" spans="1:14" x14ac:dyDescent="0.25">
      <c r="A829" s="188" t="s">
        <v>530</v>
      </c>
      <c r="B829" s="188" t="s">
        <v>531</v>
      </c>
      <c r="C829" s="188" t="s">
        <v>532</v>
      </c>
      <c r="D829" s="560">
        <v>83610</v>
      </c>
      <c r="E829" s="188" t="s">
        <v>98</v>
      </c>
      <c r="F829" s="561">
        <v>1</v>
      </c>
      <c r="G829" s="188" t="s">
        <v>13</v>
      </c>
      <c r="H829" s="188" t="s">
        <v>541</v>
      </c>
      <c r="I829" s="562">
        <v>43132</v>
      </c>
      <c r="J829" s="562">
        <v>43145</v>
      </c>
      <c r="K829" s="6" t="str">
        <f t="shared" si="37"/>
        <v>HD INJ</v>
      </c>
      <c r="L829" s="14">
        <f>VLOOKUP(J829,'USD to INR'!$B$2:$G$560,6,TRUE)</f>
        <v>64.215000000000003</v>
      </c>
      <c r="M829" s="216">
        <f t="shared" si="38"/>
        <v>1302.0322354590048</v>
      </c>
      <c r="N829" s="563">
        <f t="shared" si="36"/>
        <v>43145</v>
      </c>
    </row>
    <row r="830" spans="1:14" x14ac:dyDescent="0.25">
      <c r="A830" s="188" t="s">
        <v>530</v>
      </c>
      <c r="B830" s="188" t="s">
        <v>531</v>
      </c>
      <c r="C830" s="188" t="s">
        <v>532</v>
      </c>
      <c r="D830" s="560">
        <v>85470</v>
      </c>
      <c r="E830" s="188" t="s">
        <v>98</v>
      </c>
      <c r="F830" s="561">
        <v>1</v>
      </c>
      <c r="G830" s="188" t="s">
        <v>13</v>
      </c>
      <c r="H830" s="188" t="s">
        <v>541</v>
      </c>
      <c r="I830" s="562">
        <v>43146</v>
      </c>
      <c r="J830" s="562">
        <v>43159</v>
      </c>
      <c r="K830" s="6" t="str">
        <f t="shared" si="37"/>
        <v>HD INJ</v>
      </c>
      <c r="L830" s="14">
        <f>VLOOKUP(J830,'USD to INR'!$B$2:$G$560,6,TRUE)</f>
        <v>65.22</v>
      </c>
      <c r="M830" s="216">
        <f t="shared" si="38"/>
        <v>1310.4875804967801</v>
      </c>
      <c r="N830" s="563">
        <f t="shared" si="36"/>
        <v>43159</v>
      </c>
    </row>
    <row r="831" spans="1:14" x14ac:dyDescent="0.25">
      <c r="A831" s="188" t="s">
        <v>530</v>
      </c>
      <c r="B831" s="188" t="s">
        <v>531</v>
      </c>
      <c r="C831" s="188" t="s">
        <v>532</v>
      </c>
      <c r="D831" s="560">
        <v>86400</v>
      </c>
      <c r="E831" s="188" t="s">
        <v>98</v>
      </c>
      <c r="F831" s="561">
        <v>1</v>
      </c>
      <c r="G831" s="188" t="s">
        <v>13</v>
      </c>
      <c r="H831" s="188" t="s">
        <v>541</v>
      </c>
      <c r="I831" s="562">
        <v>43160</v>
      </c>
      <c r="J831" s="562">
        <v>43180</v>
      </c>
      <c r="K831" s="6" t="str">
        <f t="shared" si="37"/>
        <v>HD INJ</v>
      </c>
      <c r="L831" s="14">
        <f>VLOOKUP(J831,'USD to INR'!$B$2:$G$560,6,TRUE)</f>
        <v>64.989999999999995</v>
      </c>
      <c r="M831" s="216">
        <f t="shared" si="38"/>
        <v>1329.4352977381136</v>
      </c>
      <c r="N831" s="563">
        <f t="shared" si="36"/>
        <v>43180</v>
      </c>
    </row>
    <row r="832" spans="1:14" x14ac:dyDescent="0.25">
      <c r="A832" s="188" t="s">
        <v>530</v>
      </c>
      <c r="B832" s="188" t="s">
        <v>531</v>
      </c>
      <c r="C832" s="188" t="s">
        <v>532</v>
      </c>
      <c r="D832" s="560">
        <v>84550</v>
      </c>
      <c r="E832" s="188" t="s">
        <v>98</v>
      </c>
      <c r="F832" s="561">
        <v>1</v>
      </c>
      <c r="G832" s="188" t="s">
        <v>13</v>
      </c>
      <c r="H832" s="188" t="s">
        <v>541</v>
      </c>
      <c r="I832" s="562">
        <v>43181</v>
      </c>
      <c r="J832" s="562">
        <v>43190</v>
      </c>
      <c r="K832" s="6" t="str">
        <f t="shared" si="37"/>
        <v>HD INJ</v>
      </c>
      <c r="L832" s="14">
        <f>VLOOKUP(J832,'USD to INR'!$B$2:$G$560,6,TRUE)</f>
        <v>65.114999999999995</v>
      </c>
      <c r="M832" s="216">
        <f t="shared" si="38"/>
        <v>1298.4719342701376</v>
      </c>
      <c r="N832" s="563">
        <f t="shared" si="36"/>
        <v>43190</v>
      </c>
    </row>
    <row r="833" spans="1:14" x14ac:dyDescent="0.25">
      <c r="A833" s="188" t="s">
        <v>530</v>
      </c>
      <c r="B833" s="188" t="s">
        <v>531</v>
      </c>
      <c r="C833" s="188" t="s">
        <v>532</v>
      </c>
      <c r="D833" s="560">
        <v>85930</v>
      </c>
      <c r="E833" s="188" t="s">
        <v>98</v>
      </c>
      <c r="F833" s="561">
        <v>1</v>
      </c>
      <c r="G833" s="188" t="s">
        <v>13</v>
      </c>
      <c r="H833" s="188" t="s">
        <v>541</v>
      </c>
      <c r="I833" s="562">
        <v>43191</v>
      </c>
      <c r="J833" s="562">
        <v>43208</v>
      </c>
      <c r="K833" s="6" t="str">
        <f t="shared" si="37"/>
        <v>HD INJ</v>
      </c>
      <c r="L833" s="14">
        <f>VLOOKUP(J833,'USD to INR'!$B$2:$G$560,6,TRUE)</f>
        <v>66.209999999999994</v>
      </c>
      <c r="M833" s="216">
        <f t="shared" si="38"/>
        <v>1297.8402054070384</v>
      </c>
      <c r="N833" s="563">
        <f t="shared" si="36"/>
        <v>43208</v>
      </c>
    </row>
    <row r="834" spans="1:14" x14ac:dyDescent="0.25">
      <c r="A834" s="188" t="s">
        <v>530</v>
      </c>
      <c r="B834" s="188" t="s">
        <v>531</v>
      </c>
      <c r="C834" s="188" t="s">
        <v>532</v>
      </c>
      <c r="D834" s="560">
        <v>87780</v>
      </c>
      <c r="E834" s="188" t="s">
        <v>98</v>
      </c>
      <c r="F834" s="561">
        <v>1</v>
      </c>
      <c r="G834" s="188" t="s">
        <v>13</v>
      </c>
      <c r="H834" s="188" t="s">
        <v>541</v>
      </c>
      <c r="I834" s="562">
        <v>43209</v>
      </c>
      <c r="J834" s="562">
        <v>43220</v>
      </c>
      <c r="K834" s="6" t="str">
        <f t="shared" si="37"/>
        <v>HD INJ</v>
      </c>
      <c r="L834" s="14">
        <f>VLOOKUP(J834,'USD to INR'!$B$2:$G$560,6,TRUE)</f>
        <v>66.819999999999993</v>
      </c>
      <c r="M834" s="216">
        <f t="shared" si="38"/>
        <v>1313.6785393594732</v>
      </c>
      <c r="N834" s="563">
        <f t="shared" ref="N834:N897" si="39">J834</f>
        <v>43220</v>
      </c>
    </row>
    <row r="835" spans="1:14" x14ac:dyDescent="0.25">
      <c r="A835" s="188" t="s">
        <v>530</v>
      </c>
      <c r="B835" s="188" t="s">
        <v>531</v>
      </c>
      <c r="C835" s="188" t="s">
        <v>532</v>
      </c>
      <c r="D835" s="560">
        <v>89880</v>
      </c>
      <c r="E835" s="188" t="s">
        <v>98</v>
      </c>
      <c r="F835" s="561">
        <v>1</v>
      </c>
      <c r="G835" s="188" t="s">
        <v>13</v>
      </c>
      <c r="H835" s="188" t="s">
        <v>541</v>
      </c>
      <c r="I835" s="562">
        <v>43221</v>
      </c>
      <c r="J835" s="562">
        <v>43236</v>
      </c>
      <c r="K835" s="6" t="str">
        <f t="shared" ref="K835:K898" si="40">VLOOKUP(H835,$V$2:$W$10,2,TRUE)</f>
        <v>HD INJ</v>
      </c>
      <c r="L835" s="14">
        <f>VLOOKUP(J835,'USD to INR'!$B$2:$G$560,6,TRUE)</f>
        <v>67.989999999999995</v>
      </c>
      <c r="M835" s="216">
        <f t="shared" ref="M835:M898" si="41">D835/L835</f>
        <v>1321.9591116340639</v>
      </c>
      <c r="N835" s="563">
        <f t="shared" si="39"/>
        <v>43236</v>
      </c>
    </row>
    <row r="836" spans="1:14" x14ac:dyDescent="0.25">
      <c r="A836" s="188" t="s">
        <v>530</v>
      </c>
      <c r="B836" s="188" t="s">
        <v>531</v>
      </c>
      <c r="C836" s="188" t="s">
        <v>532</v>
      </c>
      <c r="D836" s="560">
        <v>92650</v>
      </c>
      <c r="E836" s="188" t="s">
        <v>98</v>
      </c>
      <c r="F836" s="561">
        <v>1</v>
      </c>
      <c r="G836" s="188" t="s">
        <v>13</v>
      </c>
      <c r="H836" s="188" t="s">
        <v>541</v>
      </c>
      <c r="I836" s="562">
        <v>43237</v>
      </c>
      <c r="J836" s="562">
        <v>43251</v>
      </c>
      <c r="K836" s="6" t="str">
        <f t="shared" si="40"/>
        <v>HD INJ</v>
      </c>
      <c r="L836" s="14">
        <f>VLOOKUP(J836,'USD to INR'!$B$2:$G$560,6,TRUE)</f>
        <v>66.995000000000005</v>
      </c>
      <c r="M836" s="216">
        <f t="shared" si="41"/>
        <v>1382.9390253003955</v>
      </c>
      <c r="N836" s="563">
        <f t="shared" si="39"/>
        <v>43251</v>
      </c>
    </row>
    <row r="837" spans="1:14" x14ac:dyDescent="0.25">
      <c r="A837" s="188" t="s">
        <v>530</v>
      </c>
      <c r="B837" s="188" t="s">
        <v>531</v>
      </c>
      <c r="C837" s="188" t="s">
        <v>532</v>
      </c>
      <c r="D837" s="560">
        <v>92640</v>
      </c>
      <c r="E837" s="188" t="s">
        <v>98</v>
      </c>
      <c r="F837" s="561">
        <v>1</v>
      </c>
      <c r="G837" s="188" t="s">
        <v>13</v>
      </c>
      <c r="H837" s="188" t="s">
        <v>541</v>
      </c>
      <c r="I837" s="562">
        <v>43252</v>
      </c>
      <c r="J837" s="562">
        <v>43281</v>
      </c>
      <c r="K837" s="6" t="str">
        <f t="shared" si="40"/>
        <v>HD INJ</v>
      </c>
      <c r="L837" s="14">
        <f>VLOOKUP(J837,'USD to INR'!$B$2:$G$560,6,TRUE)</f>
        <v>68.459999999999994</v>
      </c>
      <c r="M837" s="216">
        <f t="shared" si="41"/>
        <v>1353.198948290973</v>
      </c>
      <c r="N837" s="563">
        <f t="shared" si="39"/>
        <v>43281</v>
      </c>
    </row>
    <row r="838" spans="1:14" x14ac:dyDescent="0.25">
      <c r="A838" s="188" t="s">
        <v>530</v>
      </c>
      <c r="B838" s="188" t="s">
        <v>531</v>
      </c>
      <c r="C838" s="188" t="s">
        <v>532</v>
      </c>
      <c r="D838" s="560">
        <v>92650</v>
      </c>
      <c r="E838" s="188" t="s">
        <v>98</v>
      </c>
      <c r="F838" s="561">
        <v>1</v>
      </c>
      <c r="G838" s="188" t="s">
        <v>13</v>
      </c>
      <c r="H838" s="188" t="s">
        <v>541</v>
      </c>
      <c r="I838" s="562">
        <v>43282</v>
      </c>
      <c r="J838" s="562">
        <v>43292</v>
      </c>
      <c r="K838" s="6" t="str">
        <f t="shared" si="40"/>
        <v>HD INJ</v>
      </c>
      <c r="L838" s="14">
        <f>VLOOKUP(J838,'USD to INR'!$B$2:$G$560,6,TRUE)</f>
        <v>68.5</v>
      </c>
      <c r="M838" s="216">
        <f t="shared" si="41"/>
        <v>1352.5547445255474</v>
      </c>
      <c r="N838" s="563">
        <f t="shared" si="39"/>
        <v>43292</v>
      </c>
    </row>
    <row r="839" spans="1:14" x14ac:dyDescent="0.25">
      <c r="A839" s="188" t="s">
        <v>530</v>
      </c>
      <c r="B839" s="188" t="s">
        <v>531</v>
      </c>
      <c r="C839" s="188" t="s">
        <v>532</v>
      </c>
      <c r="D839" s="560">
        <v>92650</v>
      </c>
      <c r="E839" s="188" t="s">
        <v>98</v>
      </c>
      <c r="F839" s="561">
        <v>1</v>
      </c>
      <c r="G839" s="188" t="s">
        <v>13</v>
      </c>
      <c r="H839" s="188" t="s">
        <v>541</v>
      </c>
      <c r="I839" s="562">
        <v>43293</v>
      </c>
      <c r="J839" s="562">
        <v>43312</v>
      </c>
      <c r="K839" s="6" t="str">
        <f t="shared" si="40"/>
        <v>HD INJ</v>
      </c>
      <c r="L839" s="14">
        <f>VLOOKUP(J839,'USD to INR'!$B$2:$G$560,6,TRUE)</f>
        <v>68.545000000000002</v>
      </c>
      <c r="M839" s="216">
        <f t="shared" si="41"/>
        <v>1351.6667882413012</v>
      </c>
      <c r="N839" s="563">
        <f t="shared" si="39"/>
        <v>43312</v>
      </c>
    </row>
    <row r="840" spans="1:14" x14ac:dyDescent="0.25">
      <c r="A840" s="188" t="s">
        <v>530</v>
      </c>
      <c r="B840" s="188" t="s">
        <v>531</v>
      </c>
      <c r="C840" s="188" t="s">
        <v>532</v>
      </c>
      <c r="D840" s="560">
        <v>92650</v>
      </c>
      <c r="E840" s="188" t="s">
        <v>98</v>
      </c>
      <c r="F840" s="561">
        <v>1</v>
      </c>
      <c r="G840" s="188" t="s">
        <v>13</v>
      </c>
      <c r="H840" s="188" t="s">
        <v>541</v>
      </c>
      <c r="I840" s="562">
        <v>43313</v>
      </c>
      <c r="J840" s="562">
        <v>43343</v>
      </c>
      <c r="K840" s="6" t="str">
        <f t="shared" si="40"/>
        <v>HD INJ</v>
      </c>
      <c r="L840" s="14">
        <f>VLOOKUP(J840,'USD to INR'!$B$2:$G$560,6,TRUE)</f>
        <v>71.004999999999995</v>
      </c>
      <c r="M840" s="216">
        <f t="shared" si="41"/>
        <v>1304.8376874867968</v>
      </c>
      <c r="N840" s="563">
        <f t="shared" si="39"/>
        <v>43343</v>
      </c>
    </row>
    <row r="841" spans="1:14" x14ac:dyDescent="0.25">
      <c r="A841" s="188" t="s">
        <v>530</v>
      </c>
      <c r="B841" s="188" t="s">
        <v>531</v>
      </c>
      <c r="C841" s="188" t="s">
        <v>532</v>
      </c>
      <c r="D841" s="560">
        <v>92640</v>
      </c>
      <c r="E841" s="188" t="s">
        <v>98</v>
      </c>
      <c r="F841" s="561">
        <v>1</v>
      </c>
      <c r="G841" s="188" t="s">
        <v>13</v>
      </c>
      <c r="H841" s="188" t="s">
        <v>541</v>
      </c>
      <c r="I841" s="562">
        <v>43344</v>
      </c>
      <c r="J841" s="562">
        <v>43373</v>
      </c>
      <c r="K841" s="6" t="str">
        <f t="shared" si="40"/>
        <v>HD INJ</v>
      </c>
      <c r="L841" s="14">
        <f>VLOOKUP(J841,'USD to INR'!$B$2:$G$560,6,TRUE)</f>
        <v>73.77</v>
      </c>
      <c r="M841" s="216">
        <f t="shared" si="41"/>
        <v>1255.795038633591</v>
      </c>
      <c r="N841" s="563">
        <f t="shared" si="39"/>
        <v>43373</v>
      </c>
    </row>
    <row r="842" spans="1:14" x14ac:dyDescent="0.25">
      <c r="A842" s="188" t="s">
        <v>530</v>
      </c>
      <c r="B842" s="188" t="s">
        <v>531</v>
      </c>
      <c r="C842" s="188" t="s">
        <v>532</v>
      </c>
      <c r="D842" s="560">
        <v>92670</v>
      </c>
      <c r="E842" s="188" t="s">
        <v>98</v>
      </c>
      <c r="F842" s="561">
        <v>1</v>
      </c>
      <c r="G842" s="188" t="s">
        <v>13</v>
      </c>
      <c r="H842" s="188" t="s">
        <v>541</v>
      </c>
      <c r="I842" s="562">
        <v>43374</v>
      </c>
      <c r="J842" s="562">
        <v>43383</v>
      </c>
      <c r="K842" s="6" t="str">
        <f t="shared" si="40"/>
        <v>HD INJ</v>
      </c>
      <c r="L842" s="14">
        <f>VLOOKUP(J842,'USD to INR'!$B$2:$G$560,6,TRUE)</f>
        <v>73.61</v>
      </c>
      <c r="M842" s="216">
        <f t="shared" si="41"/>
        <v>1258.9322102975138</v>
      </c>
      <c r="N842" s="563">
        <f t="shared" si="39"/>
        <v>43383</v>
      </c>
    </row>
    <row r="843" spans="1:14" x14ac:dyDescent="0.25">
      <c r="A843" s="188" t="s">
        <v>530</v>
      </c>
      <c r="B843" s="188" t="s">
        <v>531</v>
      </c>
      <c r="C843" s="188" t="s">
        <v>532</v>
      </c>
      <c r="D843" s="560">
        <v>94060</v>
      </c>
      <c r="E843" s="188" t="s">
        <v>98</v>
      </c>
      <c r="F843" s="561">
        <v>1</v>
      </c>
      <c r="G843" s="188" t="s">
        <v>13</v>
      </c>
      <c r="H843" s="188" t="s">
        <v>541</v>
      </c>
      <c r="I843" s="562">
        <v>43384</v>
      </c>
      <c r="J843" s="562">
        <v>43404</v>
      </c>
      <c r="K843" s="6" t="str">
        <f t="shared" si="40"/>
        <v>HD INJ</v>
      </c>
      <c r="L843" s="14">
        <f>VLOOKUP(J843,'USD to INR'!$B$2:$G$560,6,TRUE)</f>
        <v>72.44</v>
      </c>
      <c r="M843" s="216">
        <f t="shared" si="41"/>
        <v>1298.4538928768636</v>
      </c>
      <c r="N843" s="563">
        <f t="shared" si="39"/>
        <v>43404</v>
      </c>
    </row>
    <row r="844" spans="1:14" x14ac:dyDescent="0.25">
      <c r="A844" s="188" t="s">
        <v>530</v>
      </c>
      <c r="B844" s="188" t="s">
        <v>531</v>
      </c>
      <c r="C844" s="188" t="s">
        <v>532</v>
      </c>
      <c r="D844" s="560">
        <v>94060</v>
      </c>
      <c r="E844" s="188" t="s">
        <v>98</v>
      </c>
      <c r="F844" s="561">
        <v>1</v>
      </c>
      <c r="G844" s="188" t="s">
        <v>13</v>
      </c>
      <c r="H844" s="188" t="s">
        <v>541</v>
      </c>
      <c r="I844" s="562">
        <v>43405</v>
      </c>
      <c r="J844" s="562">
        <v>43418</v>
      </c>
      <c r="K844" s="6" t="str">
        <f t="shared" si="40"/>
        <v>HD INJ</v>
      </c>
      <c r="L844" s="14">
        <f>VLOOKUP(J844,'USD to INR'!$B$2:$G$560,6,TRUE)</f>
        <v>71.98</v>
      </c>
      <c r="M844" s="216">
        <f t="shared" si="41"/>
        <v>1306.751875520978</v>
      </c>
      <c r="N844" s="563">
        <f t="shared" si="39"/>
        <v>43418</v>
      </c>
    </row>
    <row r="845" spans="1:14" x14ac:dyDescent="0.25">
      <c r="A845" s="188" t="s">
        <v>530</v>
      </c>
      <c r="B845" s="188" t="s">
        <v>531</v>
      </c>
      <c r="C845" s="188" t="s">
        <v>532</v>
      </c>
      <c r="D845" s="560">
        <v>89440</v>
      </c>
      <c r="E845" s="188" t="s">
        <v>98</v>
      </c>
      <c r="F845" s="561">
        <v>1</v>
      </c>
      <c r="G845" s="188" t="s">
        <v>13</v>
      </c>
      <c r="H845" s="188" t="s">
        <v>541</v>
      </c>
      <c r="I845" s="562">
        <v>43419</v>
      </c>
      <c r="J845" s="562">
        <v>43425</v>
      </c>
      <c r="K845" s="6" t="str">
        <f t="shared" si="40"/>
        <v>HD INJ</v>
      </c>
      <c r="L845" s="14">
        <f>VLOOKUP(J845,'USD to INR'!$B$2:$G$560,6,TRUE)</f>
        <v>70.655000000000001</v>
      </c>
      <c r="M845" s="216">
        <f t="shared" si="41"/>
        <v>1265.869365225391</v>
      </c>
      <c r="N845" s="563">
        <f t="shared" si="39"/>
        <v>43425</v>
      </c>
    </row>
    <row r="846" spans="1:14" x14ac:dyDescent="0.25">
      <c r="A846" s="188" t="s">
        <v>530</v>
      </c>
      <c r="B846" s="188" t="s">
        <v>531</v>
      </c>
      <c r="C846" s="188" t="s">
        <v>532</v>
      </c>
      <c r="D846" s="560">
        <v>83900</v>
      </c>
      <c r="E846" s="188" t="s">
        <v>98</v>
      </c>
      <c r="F846" s="561">
        <v>1</v>
      </c>
      <c r="G846" s="188" t="s">
        <v>13</v>
      </c>
      <c r="H846" s="188" t="s">
        <v>541</v>
      </c>
      <c r="I846" s="562">
        <v>43426</v>
      </c>
      <c r="J846" s="562">
        <v>43434</v>
      </c>
      <c r="K846" s="6" t="str">
        <f t="shared" si="40"/>
        <v>HD INJ</v>
      </c>
      <c r="L846" s="14">
        <f>VLOOKUP(J846,'USD to INR'!$B$2:$G$560,6,TRUE)</f>
        <v>69.650000000000006</v>
      </c>
      <c r="M846" s="216">
        <f t="shared" si="41"/>
        <v>1204.5944005742999</v>
      </c>
      <c r="N846" s="563">
        <f t="shared" si="39"/>
        <v>43434</v>
      </c>
    </row>
    <row r="847" spans="1:14" x14ac:dyDescent="0.25">
      <c r="A847" s="188" t="s">
        <v>530</v>
      </c>
      <c r="B847" s="188" t="s">
        <v>531</v>
      </c>
      <c r="C847" s="188" t="s">
        <v>532</v>
      </c>
      <c r="D847" s="560">
        <v>82070</v>
      </c>
      <c r="E847" s="188" t="s">
        <v>98</v>
      </c>
      <c r="F847" s="561">
        <v>1</v>
      </c>
      <c r="G847" s="188" t="s">
        <v>13</v>
      </c>
      <c r="H847" s="188" t="s">
        <v>541</v>
      </c>
      <c r="I847" s="562">
        <v>43435</v>
      </c>
      <c r="J847" s="562">
        <v>43465</v>
      </c>
      <c r="K847" s="6" t="str">
        <f t="shared" si="40"/>
        <v>HD INJ</v>
      </c>
      <c r="L847" s="14">
        <f>VLOOKUP(J847,'USD to INR'!$B$2:$G$560,6,TRUE)</f>
        <v>69.55</v>
      </c>
      <c r="M847" s="216">
        <f t="shared" si="41"/>
        <v>1180.0143781452193</v>
      </c>
      <c r="N847" s="563">
        <f t="shared" si="39"/>
        <v>43465</v>
      </c>
    </row>
    <row r="848" spans="1:14" x14ac:dyDescent="0.25">
      <c r="A848" s="188" t="s">
        <v>530</v>
      </c>
      <c r="B848" s="188" t="s">
        <v>531</v>
      </c>
      <c r="C848" s="188" t="s">
        <v>532</v>
      </c>
      <c r="D848" s="560">
        <v>82195</v>
      </c>
      <c r="E848" s="188" t="s">
        <v>98</v>
      </c>
      <c r="F848" s="561">
        <v>1</v>
      </c>
      <c r="G848" s="188" t="s">
        <v>13</v>
      </c>
      <c r="H848" s="188" t="s">
        <v>541</v>
      </c>
      <c r="I848" s="562">
        <v>43466</v>
      </c>
      <c r="J848" s="562">
        <v>43474</v>
      </c>
      <c r="K848" s="6" t="str">
        <f t="shared" si="40"/>
        <v>HD INJ</v>
      </c>
      <c r="L848" s="14">
        <f>VLOOKUP(J848,'USD to INR'!$B$2:$G$560,6,TRUE)</f>
        <v>70.399000000000001</v>
      </c>
      <c r="M848" s="216">
        <f t="shared" si="41"/>
        <v>1167.5591982840665</v>
      </c>
      <c r="N848" s="563">
        <f t="shared" si="39"/>
        <v>43474</v>
      </c>
    </row>
    <row r="849" spans="1:14" x14ac:dyDescent="0.25">
      <c r="A849" s="188" t="s">
        <v>530</v>
      </c>
      <c r="B849" s="188" t="s">
        <v>531</v>
      </c>
      <c r="C849" s="188" t="s">
        <v>532</v>
      </c>
      <c r="D849" s="560">
        <v>80345</v>
      </c>
      <c r="E849" s="188" t="s">
        <v>98</v>
      </c>
      <c r="F849" s="561">
        <v>1</v>
      </c>
      <c r="G849" s="188" t="s">
        <v>13</v>
      </c>
      <c r="H849" s="188" t="s">
        <v>541</v>
      </c>
      <c r="I849" s="562">
        <v>43475</v>
      </c>
      <c r="J849" s="562">
        <v>43496</v>
      </c>
      <c r="K849" s="6" t="str">
        <f t="shared" si="40"/>
        <v>HD INJ</v>
      </c>
      <c r="L849" s="14">
        <f>VLOOKUP(J849,'USD to INR'!$B$2:$G$560,6,TRUE)</f>
        <v>71.435000000000002</v>
      </c>
      <c r="M849" s="216">
        <f t="shared" si="41"/>
        <v>1124.728774410303</v>
      </c>
      <c r="N849" s="563">
        <f t="shared" si="39"/>
        <v>43496</v>
      </c>
    </row>
    <row r="850" spans="1:14" x14ac:dyDescent="0.25">
      <c r="A850" s="188" t="s">
        <v>530</v>
      </c>
      <c r="B850" s="188" t="s">
        <v>531</v>
      </c>
      <c r="C850" s="188" t="s">
        <v>532</v>
      </c>
      <c r="D850" s="560">
        <v>80335</v>
      </c>
      <c r="E850" s="188" t="s">
        <v>98</v>
      </c>
      <c r="F850" s="561">
        <v>1</v>
      </c>
      <c r="G850" s="188" t="s">
        <v>13</v>
      </c>
      <c r="H850" s="188" t="s">
        <v>541</v>
      </c>
      <c r="I850" s="562">
        <v>43497</v>
      </c>
      <c r="J850" s="562">
        <v>43524</v>
      </c>
      <c r="K850" s="6" t="str">
        <f t="shared" si="40"/>
        <v>HD INJ</v>
      </c>
      <c r="L850" s="14">
        <f>VLOOKUP(J850,'USD to INR'!$B$2:$G$560,6,TRUE)</f>
        <v>71</v>
      </c>
      <c r="M850" s="216">
        <f t="shared" si="41"/>
        <v>1131.4788732394366</v>
      </c>
      <c r="N850" s="563">
        <f t="shared" si="39"/>
        <v>43524</v>
      </c>
    </row>
    <row r="851" spans="1:14" x14ac:dyDescent="0.25">
      <c r="A851" s="188" t="s">
        <v>530</v>
      </c>
      <c r="B851" s="188" t="s">
        <v>531</v>
      </c>
      <c r="C851" s="188" t="s">
        <v>532</v>
      </c>
      <c r="D851" s="560">
        <v>80335</v>
      </c>
      <c r="E851" s="188" t="s">
        <v>98</v>
      </c>
      <c r="F851" s="561">
        <v>1</v>
      </c>
      <c r="G851" s="188" t="s">
        <v>13</v>
      </c>
      <c r="H851" s="188" t="s">
        <v>541</v>
      </c>
      <c r="I851" s="562">
        <v>43525</v>
      </c>
      <c r="J851" s="562">
        <v>43555</v>
      </c>
      <c r="K851" s="6" t="str">
        <f t="shared" si="40"/>
        <v>HD INJ</v>
      </c>
      <c r="L851" s="14">
        <f>VLOOKUP(J851,'USD to INR'!$B$2:$G$560,6,TRUE)</f>
        <v>69.17</v>
      </c>
      <c r="M851" s="216">
        <f t="shared" si="41"/>
        <v>1161.4139077634813</v>
      </c>
      <c r="N851" s="563">
        <f t="shared" si="39"/>
        <v>43555</v>
      </c>
    </row>
    <row r="852" spans="1:14" x14ac:dyDescent="0.25">
      <c r="A852" s="188" t="s">
        <v>530</v>
      </c>
      <c r="B852" s="188" t="s">
        <v>531</v>
      </c>
      <c r="C852" s="188" t="s">
        <v>532</v>
      </c>
      <c r="D852" s="560">
        <v>80335</v>
      </c>
      <c r="E852" s="188" t="s">
        <v>98</v>
      </c>
      <c r="F852" s="561">
        <v>1</v>
      </c>
      <c r="G852" s="188" t="s">
        <v>13</v>
      </c>
      <c r="H852" s="188" t="s">
        <v>541</v>
      </c>
      <c r="I852" s="562">
        <v>43556</v>
      </c>
      <c r="J852" s="562">
        <v>43585</v>
      </c>
      <c r="K852" s="6" t="str">
        <f t="shared" si="40"/>
        <v>HD INJ</v>
      </c>
      <c r="L852" s="14">
        <f>VLOOKUP(J852,'USD to INR'!$B$2:$G$560,6,TRUE)</f>
        <v>69.094999999999999</v>
      </c>
      <c r="M852" s="216">
        <f t="shared" si="41"/>
        <v>1162.6745784789059</v>
      </c>
      <c r="N852" s="563">
        <f t="shared" si="39"/>
        <v>43585</v>
      </c>
    </row>
    <row r="853" spans="1:14" x14ac:dyDescent="0.25">
      <c r="A853" s="188" t="s">
        <v>530</v>
      </c>
      <c r="B853" s="188" t="s">
        <v>531</v>
      </c>
      <c r="C853" s="188" t="s">
        <v>532</v>
      </c>
      <c r="D853" s="560">
        <v>78745</v>
      </c>
      <c r="E853" s="188" t="s">
        <v>98</v>
      </c>
      <c r="F853" s="561">
        <v>1</v>
      </c>
      <c r="G853" s="188" t="s">
        <v>13</v>
      </c>
      <c r="H853" s="188" t="s">
        <v>541</v>
      </c>
      <c r="I853" s="562">
        <v>43586</v>
      </c>
      <c r="J853" s="562">
        <v>43586</v>
      </c>
      <c r="K853" s="6" t="str">
        <f t="shared" si="40"/>
        <v>HD INJ</v>
      </c>
      <c r="L853" s="14">
        <f>VLOOKUP(J853,'USD to INR'!$B$2:$G$560,6,TRUE)</f>
        <v>69.094999999999999</v>
      </c>
      <c r="M853" s="216">
        <f t="shared" si="41"/>
        <v>1139.6627831246835</v>
      </c>
      <c r="N853" s="563">
        <f t="shared" si="39"/>
        <v>43586</v>
      </c>
    </row>
    <row r="854" spans="1:14" x14ac:dyDescent="0.25">
      <c r="A854" s="188" t="s">
        <v>530</v>
      </c>
      <c r="B854" s="188" t="s">
        <v>531</v>
      </c>
      <c r="C854" s="188" t="s">
        <v>532</v>
      </c>
      <c r="D854" s="560">
        <v>76905</v>
      </c>
      <c r="E854" s="188" t="s">
        <v>98</v>
      </c>
      <c r="F854" s="561">
        <v>1</v>
      </c>
      <c r="G854" s="188" t="s">
        <v>13</v>
      </c>
      <c r="H854" s="188" t="s">
        <v>541</v>
      </c>
      <c r="I854" s="562">
        <v>43587</v>
      </c>
      <c r="J854" s="562">
        <v>43593</v>
      </c>
      <c r="K854" s="6" t="str">
        <f t="shared" si="40"/>
        <v>HD INJ</v>
      </c>
      <c r="L854" s="14">
        <f>VLOOKUP(J854,'USD to INR'!$B$2:$G$560,6,TRUE)</f>
        <v>70.015000000000001</v>
      </c>
      <c r="M854" s="216">
        <f t="shared" si="41"/>
        <v>1098.4074841105478</v>
      </c>
      <c r="N854" s="563">
        <f t="shared" si="39"/>
        <v>43593</v>
      </c>
    </row>
    <row r="855" spans="1:14" x14ac:dyDescent="0.25">
      <c r="A855" s="188" t="s">
        <v>530</v>
      </c>
      <c r="B855" s="188" t="s">
        <v>531</v>
      </c>
      <c r="C855" s="188" t="s">
        <v>532</v>
      </c>
      <c r="D855" s="560">
        <v>76905</v>
      </c>
      <c r="E855" s="188" t="s">
        <v>98</v>
      </c>
      <c r="F855" s="561">
        <v>1</v>
      </c>
      <c r="G855" s="188" t="s">
        <v>13</v>
      </c>
      <c r="H855" s="188" t="s">
        <v>541</v>
      </c>
      <c r="I855" s="562">
        <v>43594</v>
      </c>
      <c r="J855" s="562">
        <v>43600</v>
      </c>
      <c r="K855" s="6" t="str">
        <f t="shared" si="40"/>
        <v>HD INJ</v>
      </c>
      <c r="L855" s="14">
        <f>VLOOKUP(J855,'USD to INR'!$B$2:$G$560,6,TRUE)</f>
        <v>70.28</v>
      </c>
      <c r="M855" s="216">
        <f t="shared" si="41"/>
        <v>1094.2657939669891</v>
      </c>
      <c r="N855" s="563">
        <f t="shared" si="39"/>
        <v>43600</v>
      </c>
    </row>
    <row r="856" spans="1:14" x14ac:dyDescent="0.25">
      <c r="A856" s="188" t="s">
        <v>530</v>
      </c>
      <c r="B856" s="188" t="s">
        <v>531</v>
      </c>
      <c r="C856" s="188" t="s">
        <v>532</v>
      </c>
      <c r="D856" s="560">
        <v>75520</v>
      </c>
      <c r="E856" s="188" t="s">
        <v>98</v>
      </c>
      <c r="F856" s="561">
        <v>1</v>
      </c>
      <c r="G856" s="188" t="s">
        <v>13</v>
      </c>
      <c r="H856" s="188" t="s">
        <v>541</v>
      </c>
      <c r="I856" s="562">
        <v>43601</v>
      </c>
      <c r="J856" s="562">
        <v>43616</v>
      </c>
      <c r="K856" s="6" t="str">
        <f t="shared" si="40"/>
        <v>HD INJ</v>
      </c>
      <c r="L856" s="14">
        <f>VLOOKUP(J856,'USD to INR'!$B$2:$G$560,6,TRUE)</f>
        <v>69.58</v>
      </c>
      <c r="M856" s="216">
        <f t="shared" si="41"/>
        <v>1085.3693590112102</v>
      </c>
      <c r="N856" s="563">
        <f t="shared" si="39"/>
        <v>43616</v>
      </c>
    </row>
    <row r="857" spans="1:14" x14ac:dyDescent="0.25">
      <c r="A857" s="188" t="s">
        <v>530</v>
      </c>
      <c r="B857" s="188" t="s">
        <v>531</v>
      </c>
      <c r="C857" s="188" t="s">
        <v>532</v>
      </c>
      <c r="D857" s="560">
        <v>74591</v>
      </c>
      <c r="E857" s="188" t="s">
        <v>98</v>
      </c>
      <c r="F857" s="561">
        <v>1</v>
      </c>
      <c r="G857" s="188" t="s">
        <v>13</v>
      </c>
      <c r="H857" s="188" t="s">
        <v>541</v>
      </c>
      <c r="I857" s="562">
        <v>43617</v>
      </c>
      <c r="J857" s="562">
        <v>43620</v>
      </c>
      <c r="K857" s="6" t="str">
        <f t="shared" si="40"/>
        <v>HD INJ</v>
      </c>
      <c r="L857" s="14">
        <f>VLOOKUP(J857,'USD to INR'!$B$2:$G$560,6,TRUE)</f>
        <v>69.355000000000004</v>
      </c>
      <c r="M857" s="216">
        <f t="shared" si="41"/>
        <v>1075.4956383822362</v>
      </c>
      <c r="N857" s="563">
        <f t="shared" si="39"/>
        <v>43620</v>
      </c>
    </row>
    <row r="858" spans="1:14" x14ac:dyDescent="0.25">
      <c r="A858" s="188" t="s">
        <v>530</v>
      </c>
      <c r="B858" s="188" t="s">
        <v>531</v>
      </c>
      <c r="C858" s="188" t="s">
        <v>532</v>
      </c>
      <c r="D858" s="560">
        <v>72286</v>
      </c>
      <c r="E858" s="188" t="s">
        <v>98</v>
      </c>
      <c r="F858" s="561">
        <v>1</v>
      </c>
      <c r="G858" s="188" t="s">
        <v>13</v>
      </c>
      <c r="H858" s="188" t="s">
        <v>541</v>
      </c>
      <c r="I858" s="562">
        <v>43621</v>
      </c>
      <c r="J858" s="562">
        <v>43628</v>
      </c>
      <c r="K858" s="6" t="str">
        <f t="shared" si="40"/>
        <v>HD INJ</v>
      </c>
      <c r="L858" s="14">
        <f>VLOOKUP(J858,'USD to INR'!$B$2:$G$560,6,TRUE)</f>
        <v>69.832999999999998</v>
      </c>
      <c r="M858" s="216">
        <f t="shared" si="41"/>
        <v>1035.1266593157964</v>
      </c>
      <c r="N858" s="563">
        <f t="shared" si="39"/>
        <v>43628</v>
      </c>
    </row>
    <row r="859" spans="1:14" x14ac:dyDescent="0.25">
      <c r="A859" s="188" t="s">
        <v>530</v>
      </c>
      <c r="B859" s="188" t="s">
        <v>531</v>
      </c>
      <c r="C859" s="188" t="s">
        <v>532</v>
      </c>
      <c r="D859" s="560">
        <v>70437</v>
      </c>
      <c r="E859" s="188" t="s">
        <v>98</v>
      </c>
      <c r="F859" s="561">
        <v>1</v>
      </c>
      <c r="G859" s="188" t="s">
        <v>13</v>
      </c>
      <c r="H859" s="188" t="s">
        <v>541</v>
      </c>
      <c r="I859" s="562">
        <v>43629</v>
      </c>
      <c r="J859" s="562">
        <v>43646</v>
      </c>
      <c r="K859" s="6" t="str">
        <f t="shared" si="40"/>
        <v>HD INJ</v>
      </c>
      <c r="L859" s="14">
        <f>VLOOKUP(J859,'USD to INR'!$B$2:$G$560,6,TRUE)</f>
        <v>68.45</v>
      </c>
      <c r="M859" s="216">
        <f t="shared" si="41"/>
        <v>1029.0284879474068</v>
      </c>
      <c r="N859" s="563">
        <f t="shared" si="39"/>
        <v>43646</v>
      </c>
    </row>
    <row r="860" spans="1:14" x14ac:dyDescent="0.25">
      <c r="A860" s="188" t="s">
        <v>530</v>
      </c>
      <c r="B860" s="188" t="s">
        <v>531</v>
      </c>
      <c r="C860" s="188" t="s">
        <v>532</v>
      </c>
      <c r="D860" s="560">
        <v>70365</v>
      </c>
      <c r="E860" s="188" t="s">
        <v>98</v>
      </c>
      <c r="F860" s="561">
        <v>1</v>
      </c>
      <c r="G860" s="188" t="s">
        <v>13</v>
      </c>
      <c r="H860" s="188" t="s">
        <v>541</v>
      </c>
      <c r="I860" s="562">
        <v>43647</v>
      </c>
      <c r="J860" s="562">
        <v>43677</v>
      </c>
      <c r="K860" s="6" t="str">
        <f t="shared" si="40"/>
        <v>HD INJ</v>
      </c>
      <c r="L860" s="14">
        <f>VLOOKUP(J860,'USD to INR'!$B$2:$G$560,6,TRUE)</f>
        <v>69.7</v>
      </c>
      <c r="M860" s="216">
        <f t="shared" si="41"/>
        <v>1009.5408895265423</v>
      </c>
      <c r="N860" s="563">
        <f t="shared" si="39"/>
        <v>43677</v>
      </c>
    </row>
    <row r="861" spans="1:14" x14ac:dyDescent="0.25">
      <c r="A861" s="188" t="s">
        <v>530</v>
      </c>
      <c r="B861" s="188" t="s">
        <v>531</v>
      </c>
      <c r="C861" s="188" t="s">
        <v>532</v>
      </c>
      <c r="D861" s="560">
        <v>70355</v>
      </c>
      <c r="E861" s="188" t="s">
        <v>98</v>
      </c>
      <c r="F861" s="561">
        <v>1</v>
      </c>
      <c r="G861" s="188" t="s">
        <v>13</v>
      </c>
      <c r="H861" s="188" t="s">
        <v>541</v>
      </c>
      <c r="I861" s="562">
        <v>43678</v>
      </c>
      <c r="J861" s="562">
        <v>43684</v>
      </c>
      <c r="K861" s="6" t="str">
        <f t="shared" si="40"/>
        <v>HD INJ</v>
      </c>
      <c r="L861" s="14">
        <f>VLOOKUP(J861,'USD to INR'!$B$2:$G$560,6,TRUE)</f>
        <v>70.924000000000007</v>
      </c>
      <c r="M861" s="216">
        <f t="shared" si="41"/>
        <v>991.97732784388916</v>
      </c>
      <c r="N861" s="563">
        <f t="shared" si="39"/>
        <v>43684</v>
      </c>
    </row>
    <row r="862" spans="1:14" x14ac:dyDescent="0.25">
      <c r="A862" s="188" t="s">
        <v>530</v>
      </c>
      <c r="B862" s="188" t="s">
        <v>531</v>
      </c>
      <c r="C862" s="188" t="s">
        <v>532</v>
      </c>
      <c r="D862" s="560">
        <v>71741</v>
      </c>
      <c r="E862" s="188" t="s">
        <v>98</v>
      </c>
      <c r="F862" s="561">
        <v>1</v>
      </c>
      <c r="G862" s="188" t="s">
        <v>13</v>
      </c>
      <c r="H862" s="188" t="s">
        <v>541</v>
      </c>
      <c r="I862" s="562">
        <v>43685</v>
      </c>
      <c r="J862" s="562">
        <v>43708</v>
      </c>
      <c r="K862" s="6" t="str">
        <f t="shared" si="40"/>
        <v>HD INJ</v>
      </c>
      <c r="L862" s="14">
        <f>VLOOKUP(J862,'USD to INR'!$B$2:$G$560,6,TRUE)</f>
        <v>71.453000000000003</v>
      </c>
      <c r="M862" s="216">
        <f t="shared" si="41"/>
        <v>1004.0306215274376</v>
      </c>
      <c r="N862" s="563">
        <f t="shared" si="39"/>
        <v>43708</v>
      </c>
    </row>
    <row r="863" spans="1:14" x14ac:dyDescent="0.25">
      <c r="A863" s="188" t="s">
        <v>530</v>
      </c>
      <c r="B863" s="188" t="s">
        <v>531</v>
      </c>
      <c r="C863" s="188" t="s">
        <v>532</v>
      </c>
      <c r="D863" s="560">
        <v>71745</v>
      </c>
      <c r="E863" s="188" t="s">
        <v>98</v>
      </c>
      <c r="F863" s="561">
        <v>1</v>
      </c>
      <c r="G863" s="188" t="s">
        <v>13</v>
      </c>
      <c r="H863" s="188" t="s">
        <v>541</v>
      </c>
      <c r="I863" s="562">
        <v>43709</v>
      </c>
      <c r="J863" s="562">
        <v>43719</v>
      </c>
      <c r="K863" s="6" t="str">
        <f t="shared" si="40"/>
        <v>HD INJ</v>
      </c>
      <c r="L863" s="14">
        <f>VLOOKUP(J863,'USD to INR'!$B$2:$G$560,6,TRUE)</f>
        <v>70.984999999999999</v>
      </c>
      <c r="M863" s="216">
        <f t="shared" si="41"/>
        <v>1010.7064872860464</v>
      </c>
      <c r="N863" s="563">
        <f t="shared" si="39"/>
        <v>43719</v>
      </c>
    </row>
    <row r="864" spans="1:14" x14ac:dyDescent="0.25">
      <c r="A864" s="188" t="s">
        <v>530</v>
      </c>
      <c r="B864" s="188" t="s">
        <v>531</v>
      </c>
      <c r="C864" s="188" t="s">
        <v>532</v>
      </c>
      <c r="D864" s="560">
        <v>68974</v>
      </c>
      <c r="E864" s="188" t="s">
        <v>98</v>
      </c>
      <c r="F864" s="561">
        <v>1</v>
      </c>
      <c r="G864" s="188" t="s">
        <v>13</v>
      </c>
      <c r="H864" s="188" t="s">
        <v>541</v>
      </c>
      <c r="I864" s="562">
        <v>43720</v>
      </c>
      <c r="J864" s="562">
        <v>43726</v>
      </c>
      <c r="K864" s="6" t="str">
        <f t="shared" si="40"/>
        <v>HD INJ</v>
      </c>
      <c r="L864" s="14">
        <f>VLOOKUP(J864,'USD to INR'!$B$2:$G$560,6,TRUE)</f>
        <v>71.075000000000003</v>
      </c>
      <c r="M864" s="216">
        <f t="shared" si="41"/>
        <v>970.43967639817095</v>
      </c>
      <c r="N864" s="563">
        <f t="shared" si="39"/>
        <v>43726</v>
      </c>
    </row>
    <row r="865" spans="1:14" x14ac:dyDescent="0.25">
      <c r="A865" s="188" t="s">
        <v>530</v>
      </c>
      <c r="B865" s="188" t="s">
        <v>531</v>
      </c>
      <c r="C865" s="188" t="s">
        <v>532</v>
      </c>
      <c r="D865" s="560">
        <v>69899</v>
      </c>
      <c r="E865" s="188" t="s">
        <v>98</v>
      </c>
      <c r="F865" s="561">
        <v>1</v>
      </c>
      <c r="G865" s="188" t="s">
        <v>13</v>
      </c>
      <c r="H865" s="188" t="s">
        <v>541</v>
      </c>
      <c r="I865" s="562">
        <v>43727</v>
      </c>
      <c r="J865" s="562">
        <v>43738</v>
      </c>
      <c r="K865" s="6" t="str">
        <f t="shared" si="40"/>
        <v>HD INJ</v>
      </c>
      <c r="L865" s="14">
        <f>VLOOKUP(J865,'USD to INR'!$B$2:$G$560,6,TRUE)</f>
        <v>70.825000000000003</v>
      </c>
      <c r="M865" s="216">
        <f t="shared" si="41"/>
        <v>986.92552064948813</v>
      </c>
      <c r="N865" s="563">
        <f t="shared" si="39"/>
        <v>43738</v>
      </c>
    </row>
    <row r="866" spans="1:14" x14ac:dyDescent="0.25">
      <c r="A866" s="188" t="s">
        <v>530</v>
      </c>
      <c r="B866" s="188" t="s">
        <v>531</v>
      </c>
      <c r="C866" s="188" t="s">
        <v>532</v>
      </c>
      <c r="D866" s="560">
        <v>71740</v>
      </c>
      <c r="E866" s="188" t="s">
        <v>98</v>
      </c>
      <c r="F866" s="561">
        <v>1</v>
      </c>
      <c r="G866" s="188" t="s">
        <v>13</v>
      </c>
      <c r="H866" s="188" t="s">
        <v>541</v>
      </c>
      <c r="I866" s="562">
        <v>43739</v>
      </c>
      <c r="J866" s="562">
        <v>43747</v>
      </c>
      <c r="K866" s="6" t="str">
        <f t="shared" si="40"/>
        <v>HD INJ</v>
      </c>
      <c r="L866" s="14">
        <f>VLOOKUP(J866,'USD to INR'!$B$2:$G$560,6,TRUE)</f>
        <v>70.924000000000007</v>
      </c>
      <c r="M866" s="216">
        <f t="shared" si="41"/>
        <v>1011.5052732502396</v>
      </c>
      <c r="N866" s="563">
        <f t="shared" si="39"/>
        <v>43747</v>
      </c>
    </row>
    <row r="867" spans="1:14" x14ac:dyDescent="0.25">
      <c r="A867" s="188" t="s">
        <v>530</v>
      </c>
      <c r="B867" s="188" t="s">
        <v>531</v>
      </c>
      <c r="C867" s="188" t="s">
        <v>532</v>
      </c>
      <c r="D867" s="560">
        <v>69890</v>
      </c>
      <c r="E867" s="188" t="s">
        <v>98</v>
      </c>
      <c r="F867" s="561">
        <v>1</v>
      </c>
      <c r="G867" s="188" t="s">
        <v>13</v>
      </c>
      <c r="H867" s="188" t="s">
        <v>541</v>
      </c>
      <c r="I867" s="562">
        <v>43748</v>
      </c>
      <c r="J867" s="562">
        <v>43754</v>
      </c>
      <c r="K867" s="6" t="str">
        <f t="shared" si="40"/>
        <v>HD INJ</v>
      </c>
      <c r="L867" s="14">
        <f>VLOOKUP(J867,'USD to INR'!$B$2:$G$560,6,TRUE)</f>
        <v>71.09</v>
      </c>
      <c r="M867" s="216">
        <f t="shared" si="41"/>
        <v>983.11998874665915</v>
      </c>
      <c r="N867" s="563">
        <f t="shared" si="39"/>
        <v>43754</v>
      </c>
    </row>
    <row r="868" spans="1:14" x14ac:dyDescent="0.25">
      <c r="A868" s="188" t="s">
        <v>530</v>
      </c>
      <c r="B868" s="188" t="s">
        <v>531</v>
      </c>
      <c r="C868" s="188" t="s">
        <v>532</v>
      </c>
      <c r="D868" s="560">
        <v>68500</v>
      </c>
      <c r="E868" s="188" t="s">
        <v>98</v>
      </c>
      <c r="F868" s="561">
        <v>1</v>
      </c>
      <c r="G868" s="188" t="s">
        <v>13</v>
      </c>
      <c r="H868" s="188" t="s">
        <v>541</v>
      </c>
      <c r="I868" s="562">
        <v>43755</v>
      </c>
      <c r="J868" s="562">
        <v>43769</v>
      </c>
      <c r="K868" s="6" t="str">
        <f t="shared" si="40"/>
        <v>HD INJ</v>
      </c>
      <c r="L868" s="14">
        <f>VLOOKUP(J868,'USD to INR'!$B$2:$G$560,6,TRUE)</f>
        <v>70.760000000000005</v>
      </c>
      <c r="M868" s="216">
        <f t="shared" si="41"/>
        <v>968.06105144149228</v>
      </c>
      <c r="N868" s="563">
        <f t="shared" si="39"/>
        <v>43769</v>
      </c>
    </row>
    <row r="869" spans="1:14" x14ac:dyDescent="0.25">
      <c r="A869" s="188" t="s">
        <v>530</v>
      </c>
      <c r="B869" s="188" t="s">
        <v>531</v>
      </c>
      <c r="C869" s="188" t="s">
        <v>532</v>
      </c>
      <c r="D869" s="560">
        <v>67580</v>
      </c>
      <c r="E869" s="188" t="s">
        <v>98</v>
      </c>
      <c r="F869" s="561">
        <v>1</v>
      </c>
      <c r="G869" s="188" t="s">
        <v>13</v>
      </c>
      <c r="H869" s="188" t="s">
        <v>541</v>
      </c>
      <c r="I869" s="562">
        <v>43770</v>
      </c>
      <c r="J869" s="562">
        <v>43789</v>
      </c>
      <c r="K869" s="6" t="str">
        <f t="shared" si="40"/>
        <v>HD INJ</v>
      </c>
      <c r="L869" s="14">
        <f>VLOOKUP(J869,'USD to INR'!$B$2:$G$560,6,TRUE)</f>
        <v>71.792000000000002</v>
      </c>
      <c r="M869" s="216">
        <f t="shared" si="41"/>
        <v>941.33051036327163</v>
      </c>
      <c r="N869" s="563">
        <f t="shared" si="39"/>
        <v>43789</v>
      </c>
    </row>
    <row r="870" spans="1:14" x14ac:dyDescent="0.25">
      <c r="A870" s="188" t="s">
        <v>530</v>
      </c>
      <c r="B870" s="188" t="s">
        <v>531</v>
      </c>
      <c r="C870" s="188" t="s">
        <v>532</v>
      </c>
      <c r="D870" s="560">
        <v>66660</v>
      </c>
      <c r="E870" s="188" t="s">
        <v>98</v>
      </c>
      <c r="F870" s="561">
        <v>1</v>
      </c>
      <c r="G870" s="188" t="s">
        <v>13</v>
      </c>
      <c r="H870" s="188" t="s">
        <v>541</v>
      </c>
      <c r="I870" s="562">
        <v>43790</v>
      </c>
      <c r="J870" s="562">
        <v>43799</v>
      </c>
      <c r="K870" s="6" t="str">
        <f t="shared" si="40"/>
        <v>HD INJ</v>
      </c>
      <c r="L870" s="14">
        <f>VLOOKUP(J870,'USD to INR'!$B$2:$G$560,6,TRUE)</f>
        <v>71.748999999999995</v>
      </c>
      <c r="M870" s="216">
        <f t="shared" si="41"/>
        <v>929.07218219069262</v>
      </c>
      <c r="N870" s="563">
        <f t="shared" si="39"/>
        <v>43799</v>
      </c>
    </row>
    <row r="871" spans="1:14" x14ac:dyDescent="0.25">
      <c r="A871" s="188" t="s">
        <v>530</v>
      </c>
      <c r="B871" s="188" t="s">
        <v>531</v>
      </c>
      <c r="C871" s="188" t="s">
        <v>532</v>
      </c>
      <c r="D871" s="560">
        <v>66660</v>
      </c>
      <c r="E871" s="188" t="s">
        <v>98</v>
      </c>
      <c r="F871" s="561">
        <v>1</v>
      </c>
      <c r="G871" s="188" t="s">
        <v>13</v>
      </c>
      <c r="H871" s="188" t="s">
        <v>541</v>
      </c>
      <c r="I871" s="562">
        <v>43800</v>
      </c>
      <c r="J871" s="562">
        <v>43830</v>
      </c>
      <c r="K871" s="6" t="str">
        <f t="shared" si="40"/>
        <v>HD INJ</v>
      </c>
      <c r="L871" s="14">
        <f>VLOOKUP(J871,'USD to INR'!$B$2:$G$560,6,TRUE)</f>
        <v>71.77</v>
      </c>
      <c r="M871" s="216">
        <f t="shared" si="41"/>
        <v>928.80033440156058</v>
      </c>
      <c r="N871" s="563">
        <f t="shared" si="39"/>
        <v>43830</v>
      </c>
    </row>
    <row r="872" spans="1:14" x14ac:dyDescent="0.25">
      <c r="A872" s="188" t="s">
        <v>530</v>
      </c>
      <c r="B872" s="188" t="s">
        <v>531</v>
      </c>
      <c r="C872" s="188" t="s">
        <v>532</v>
      </c>
      <c r="D872" s="560">
        <v>66660</v>
      </c>
      <c r="E872" s="188" t="s">
        <v>98</v>
      </c>
      <c r="F872" s="561">
        <v>1</v>
      </c>
      <c r="G872" s="188" t="s">
        <v>13</v>
      </c>
      <c r="H872" s="188" t="s">
        <v>541</v>
      </c>
      <c r="I872" s="562">
        <v>43831</v>
      </c>
      <c r="J872" s="562">
        <v>43838</v>
      </c>
      <c r="K872" s="6" t="str">
        <f t="shared" si="40"/>
        <v>HD INJ</v>
      </c>
      <c r="L872" s="14">
        <f>VLOOKUP(J872,'USD to INR'!$B$2:$G$560,6,TRUE)</f>
        <v>70.959999999999994</v>
      </c>
      <c r="M872" s="216">
        <f t="shared" si="41"/>
        <v>939.4024802705751</v>
      </c>
      <c r="N872" s="563">
        <f t="shared" si="39"/>
        <v>43838</v>
      </c>
    </row>
    <row r="873" spans="1:14" x14ac:dyDescent="0.25">
      <c r="A873" s="188" t="s">
        <v>530</v>
      </c>
      <c r="B873" s="188" t="s">
        <v>531</v>
      </c>
      <c r="C873" s="188" t="s">
        <v>532</v>
      </c>
      <c r="D873" s="560">
        <v>67590</v>
      </c>
      <c r="E873" s="188" t="s">
        <v>98</v>
      </c>
      <c r="F873" s="561">
        <v>1</v>
      </c>
      <c r="G873" s="188" t="s">
        <v>13</v>
      </c>
      <c r="H873" s="188" t="s">
        <v>541</v>
      </c>
      <c r="I873" s="562">
        <v>43839</v>
      </c>
      <c r="J873" s="562">
        <v>43861</v>
      </c>
      <c r="K873" s="6" t="str">
        <f t="shared" si="40"/>
        <v>HD INJ</v>
      </c>
      <c r="L873" s="14">
        <f>VLOOKUP(J873,'USD to INR'!$B$2:$G$560,6,TRUE)</f>
        <v>71.555000000000007</v>
      </c>
      <c r="M873" s="216">
        <f t="shared" si="41"/>
        <v>944.58807909999291</v>
      </c>
      <c r="N873" s="563">
        <f t="shared" si="39"/>
        <v>43861</v>
      </c>
    </row>
    <row r="874" spans="1:14" x14ac:dyDescent="0.25">
      <c r="A874" s="188" t="s">
        <v>530</v>
      </c>
      <c r="B874" s="188" t="s">
        <v>531</v>
      </c>
      <c r="C874" s="188" t="s">
        <v>532</v>
      </c>
      <c r="D874" s="560">
        <v>67590</v>
      </c>
      <c r="E874" s="188" t="s">
        <v>98</v>
      </c>
      <c r="F874" s="561">
        <v>1</v>
      </c>
      <c r="G874" s="188" t="s">
        <v>13</v>
      </c>
      <c r="H874" s="188" t="s">
        <v>541</v>
      </c>
      <c r="I874" s="562">
        <v>43862</v>
      </c>
      <c r="J874" s="562">
        <v>43880</v>
      </c>
      <c r="K874" s="6" t="str">
        <f t="shared" si="40"/>
        <v>HD INJ</v>
      </c>
      <c r="L874" s="14">
        <f>VLOOKUP(J874,'USD to INR'!$B$2:$G$560,6,TRUE)</f>
        <v>71.88</v>
      </c>
      <c r="M874" s="216">
        <f t="shared" si="41"/>
        <v>940.31719532554268</v>
      </c>
      <c r="N874" s="563">
        <f t="shared" si="39"/>
        <v>43880</v>
      </c>
    </row>
    <row r="875" spans="1:14" x14ac:dyDescent="0.25">
      <c r="A875" s="188" t="s">
        <v>530</v>
      </c>
      <c r="B875" s="188" t="s">
        <v>531</v>
      </c>
      <c r="C875" s="188" t="s">
        <v>532</v>
      </c>
      <c r="D875" s="560">
        <v>67590</v>
      </c>
      <c r="E875" s="188" t="s">
        <v>98</v>
      </c>
      <c r="F875" s="561">
        <v>1</v>
      </c>
      <c r="G875" s="188" t="s">
        <v>13</v>
      </c>
      <c r="H875" s="188" t="s">
        <v>541</v>
      </c>
      <c r="I875" s="562">
        <v>43881</v>
      </c>
      <c r="J875" s="562">
        <v>43890</v>
      </c>
      <c r="K875" s="6" t="str">
        <f t="shared" si="40"/>
        <v>HD INJ</v>
      </c>
      <c r="L875" s="14">
        <f>VLOOKUP(J875,'USD to INR'!$B$2:$G$560,6,TRUE)</f>
        <v>72.539000000000001</v>
      </c>
      <c r="M875" s="216">
        <f t="shared" si="41"/>
        <v>931.77463157749628</v>
      </c>
      <c r="N875" s="563">
        <f t="shared" si="39"/>
        <v>43890</v>
      </c>
    </row>
    <row r="876" spans="1:14" x14ac:dyDescent="0.25">
      <c r="A876" s="188" t="s">
        <v>530</v>
      </c>
      <c r="B876" s="188" t="s">
        <v>531</v>
      </c>
      <c r="C876" s="188" t="s">
        <v>532</v>
      </c>
      <c r="D876" s="560">
        <v>67600</v>
      </c>
      <c r="E876" s="188" t="s">
        <v>98</v>
      </c>
      <c r="F876" s="561">
        <v>1</v>
      </c>
      <c r="G876" s="188" t="s">
        <v>13</v>
      </c>
      <c r="H876" s="188" t="s">
        <v>541</v>
      </c>
      <c r="I876" s="562">
        <v>43891</v>
      </c>
      <c r="J876" s="562">
        <v>43921</v>
      </c>
      <c r="K876" s="6" t="str">
        <f t="shared" si="40"/>
        <v>HD INJ</v>
      </c>
      <c r="L876" s="14">
        <f>VLOOKUP(J876,'USD to INR'!$B$2:$G$560,6,TRUE)</f>
        <v>76.241</v>
      </c>
      <c r="M876" s="216">
        <f t="shared" si="41"/>
        <v>886.662032239871</v>
      </c>
      <c r="N876" s="563">
        <f t="shared" si="39"/>
        <v>43921</v>
      </c>
    </row>
    <row r="877" spans="1:14" x14ac:dyDescent="0.25">
      <c r="A877" s="188" t="s">
        <v>530</v>
      </c>
      <c r="B877" s="188" t="s">
        <v>531</v>
      </c>
      <c r="C877" s="188" t="s">
        <v>532</v>
      </c>
      <c r="D877" s="560">
        <v>66690</v>
      </c>
      <c r="E877" s="188" t="s">
        <v>98</v>
      </c>
      <c r="F877" s="561">
        <v>1</v>
      </c>
      <c r="G877" s="188" t="s">
        <v>13</v>
      </c>
      <c r="H877" s="188" t="s">
        <v>541</v>
      </c>
      <c r="I877" s="562">
        <v>43922</v>
      </c>
      <c r="J877" s="562">
        <v>43930</v>
      </c>
      <c r="K877" s="6" t="str">
        <f t="shared" si="40"/>
        <v>HD INJ</v>
      </c>
      <c r="L877" s="14">
        <f>VLOOKUP(J877,'USD to INR'!$B$2:$G$560,6,TRUE)</f>
        <v>75.879000000000005</v>
      </c>
      <c r="M877" s="216">
        <f t="shared" si="41"/>
        <v>878.89930020163672</v>
      </c>
      <c r="N877" s="563">
        <f t="shared" si="39"/>
        <v>43930</v>
      </c>
    </row>
    <row r="878" spans="1:14" x14ac:dyDescent="0.25">
      <c r="A878" s="188" t="s">
        <v>530</v>
      </c>
      <c r="B878" s="188" t="s">
        <v>531</v>
      </c>
      <c r="C878" s="188" t="s">
        <v>532</v>
      </c>
      <c r="D878" s="560">
        <v>63920</v>
      </c>
      <c r="E878" s="188" t="s">
        <v>98</v>
      </c>
      <c r="F878" s="561">
        <v>1</v>
      </c>
      <c r="G878" s="188" t="s">
        <v>13</v>
      </c>
      <c r="H878" s="188" t="s">
        <v>541</v>
      </c>
      <c r="I878" s="562">
        <v>43931</v>
      </c>
      <c r="J878" s="562">
        <v>43951</v>
      </c>
      <c r="K878" s="6" t="str">
        <f t="shared" si="40"/>
        <v>HD INJ</v>
      </c>
      <c r="L878" s="14">
        <f>VLOOKUP(J878,'USD to INR'!$B$2:$G$560,6,TRUE)</f>
        <v>75.748999999999995</v>
      </c>
      <c r="M878" s="216">
        <f t="shared" si="41"/>
        <v>843.83952263396225</v>
      </c>
      <c r="N878" s="563">
        <f t="shared" si="39"/>
        <v>43951</v>
      </c>
    </row>
    <row r="879" spans="1:14" x14ac:dyDescent="0.25">
      <c r="A879" s="188" t="s">
        <v>530</v>
      </c>
      <c r="B879" s="188" t="s">
        <v>531</v>
      </c>
      <c r="C879" s="188" t="s">
        <v>532</v>
      </c>
      <c r="D879" s="560">
        <v>63920</v>
      </c>
      <c r="E879" s="188" t="s">
        <v>98</v>
      </c>
      <c r="F879" s="561">
        <v>1</v>
      </c>
      <c r="G879" s="188" t="s">
        <v>13</v>
      </c>
      <c r="H879" s="188" t="s">
        <v>541</v>
      </c>
      <c r="I879" s="562">
        <v>43952</v>
      </c>
      <c r="J879" s="562">
        <v>43971</v>
      </c>
      <c r="K879" s="6" t="str">
        <f t="shared" si="40"/>
        <v>HD INJ</v>
      </c>
      <c r="L879" s="14">
        <f>VLOOKUP(J879,'USD to INR'!$B$2:$G$560,6,TRUE)</f>
        <v>75.95</v>
      </c>
      <c r="M879" s="216">
        <f t="shared" si="41"/>
        <v>841.60631994733376</v>
      </c>
      <c r="N879" s="563">
        <f t="shared" si="39"/>
        <v>43971</v>
      </c>
    </row>
    <row r="880" spans="1:14" x14ac:dyDescent="0.25">
      <c r="A880" s="188" t="s">
        <v>530</v>
      </c>
      <c r="B880" s="188" t="s">
        <v>531</v>
      </c>
      <c r="C880" s="188" t="s">
        <v>532</v>
      </c>
      <c r="D880" s="560">
        <v>64850</v>
      </c>
      <c r="E880" s="188" t="s">
        <v>98</v>
      </c>
      <c r="F880" s="561">
        <v>1</v>
      </c>
      <c r="G880" s="188" t="s">
        <v>13</v>
      </c>
      <c r="H880" s="188" t="s">
        <v>541</v>
      </c>
      <c r="I880" s="562">
        <v>43972</v>
      </c>
      <c r="J880" s="562">
        <v>43982</v>
      </c>
      <c r="K880" s="6" t="str">
        <f t="shared" si="40"/>
        <v>HD INJ</v>
      </c>
      <c r="L880" s="14">
        <f>VLOOKUP(J880,'USD to INR'!$B$2:$G$560,6,TRUE)</f>
        <v>75.56</v>
      </c>
      <c r="M880" s="216">
        <f t="shared" si="41"/>
        <v>858.25833774483851</v>
      </c>
      <c r="N880" s="563">
        <f t="shared" si="39"/>
        <v>43982</v>
      </c>
    </row>
    <row r="881" spans="1:14" x14ac:dyDescent="0.25">
      <c r="A881" s="188" t="s">
        <v>530</v>
      </c>
      <c r="B881" s="188" t="s">
        <v>531</v>
      </c>
      <c r="C881" s="188" t="s">
        <v>532</v>
      </c>
      <c r="D881" s="560">
        <v>65780</v>
      </c>
      <c r="E881" s="188" t="s">
        <v>98</v>
      </c>
      <c r="F881" s="561">
        <v>1</v>
      </c>
      <c r="G881" s="188" t="s">
        <v>13</v>
      </c>
      <c r="H881" s="188" t="s">
        <v>541</v>
      </c>
      <c r="I881" s="562">
        <v>43983</v>
      </c>
      <c r="J881" s="562">
        <v>43992</v>
      </c>
      <c r="K881" s="6" t="str">
        <f t="shared" si="40"/>
        <v>HD INJ</v>
      </c>
      <c r="L881" s="14">
        <f>VLOOKUP(J881,'USD to INR'!$B$2:$G$560,6,TRUE)</f>
        <v>76.05</v>
      </c>
      <c r="M881" s="216">
        <f t="shared" si="41"/>
        <v>864.95726495726501</v>
      </c>
      <c r="N881" s="563">
        <f t="shared" si="39"/>
        <v>43992</v>
      </c>
    </row>
    <row r="882" spans="1:14" x14ac:dyDescent="0.25">
      <c r="A882" s="188" t="s">
        <v>530</v>
      </c>
      <c r="B882" s="188" t="s">
        <v>531</v>
      </c>
      <c r="C882" s="188" t="s">
        <v>532</v>
      </c>
      <c r="D882" s="560">
        <v>66710</v>
      </c>
      <c r="E882" s="188" t="s">
        <v>98</v>
      </c>
      <c r="F882" s="561">
        <v>1</v>
      </c>
      <c r="G882" s="188" t="s">
        <v>13</v>
      </c>
      <c r="H882" s="188" t="s">
        <v>541</v>
      </c>
      <c r="I882" s="562">
        <v>43993</v>
      </c>
      <c r="J882" s="562">
        <v>43999</v>
      </c>
      <c r="K882" s="6" t="str">
        <f t="shared" si="40"/>
        <v>HD INJ</v>
      </c>
      <c r="L882" s="14">
        <f>VLOOKUP(J882,'USD to INR'!$B$2:$G$560,6,TRUE)</f>
        <v>76.260000000000005</v>
      </c>
      <c r="M882" s="216">
        <f t="shared" si="41"/>
        <v>874.77052189876736</v>
      </c>
      <c r="N882" s="563">
        <f t="shared" si="39"/>
        <v>43999</v>
      </c>
    </row>
    <row r="883" spans="1:14" x14ac:dyDescent="0.25">
      <c r="A883" s="188" t="s">
        <v>530</v>
      </c>
      <c r="B883" s="188" t="s">
        <v>531</v>
      </c>
      <c r="C883" s="188" t="s">
        <v>532</v>
      </c>
      <c r="D883" s="560">
        <v>68100</v>
      </c>
      <c r="E883" s="188" t="s">
        <v>98</v>
      </c>
      <c r="F883" s="561">
        <v>1</v>
      </c>
      <c r="G883" s="188" t="s">
        <v>13</v>
      </c>
      <c r="H883" s="188" t="s">
        <v>541</v>
      </c>
      <c r="I883" s="562">
        <v>44000</v>
      </c>
      <c r="J883" s="562">
        <v>44012</v>
      </c>
      <c r="K883" s="6" t="str">
        <f t="shared" si="40"/>
        <v>HD INJ</v>
      </c>
      <c r="L883" s="14">
        <f>VLOOKUP(J883,'USD to INR'!$B$2:$G$560,6,TRUE)</f>
        <v>74.635999999999996</v>
      </c>
      <c r="M883" s="216">
        <f t="shared" si="41"/>
        <v>912.42831877378217</v>
      </c>
      <c r="N883" s="563">
        <f t="shared" si="39"/>
        <v>44012</v>
      </c>
    </row>
    <row r="884" spans="1:14" x14ac:dyDescent="0.25">
      <c r="A884" s="188" t="s">
        <v>530</v>
      </c>
      <c r="B884" s="188" t="s">
        <v>531</v>
      </c>
      <c r="C884" s="188" t="s">
        <v>532</v>
      </c>
      <c r="D884" s="560">
        <v>69460</v>
      </c>
      <c r="E884" s="188" t="s">
        <v>98</v>
      </c>
      <c r="F884" s="561">
        <v>1</v>
      </c>
      <c r="G884" s="188" t="s">
        <v>13</v>
      </c>
      <c r="H884" s="188" t="s">
        <v>541</v>
      </c>
      <c r="I884" s="562">
        <v>44013</v>
      </c>
      <c r="J884" s="562">
        <v>44027</v>
      </c>
      <c r="K884" s="6" t="str">
        <f t="shared" si="40"/>
        <v>HD INJ</v>
      </c>
      <c r="L884" s="14">
        <f>VLOOKUP(J884,'USD to INR'!$B$2:$G$560,6,TRUE)</f>
        <v>74.897000000000006</v>
      </c>
      <c r="M884" s="216">
        <f t="shared" si="41"/>
        <v>927.40697224187875</v>
      </c>
      <c r="N884" s="563">
        <f t="shared" si="39"/>
        <v>44027</v>
      </c>
    </row>
    <row r="885" spans="1:14" x14ac:dyDescent="0.25">
      <c r="A885" s="188" t="s">
        <v>530</v>
      </c>
      <c r="B885" s="188" t="s">
        <v>531</v>
      </c>
      <c r="C885" s="188" t="s">
        <v>532</v>
      </c>
      <c r="D885" s="560">
        <v>71310</v>
      </c>
      <c r="E885" s="188" t="s">
        <v>98</v>
      </c>
      <c r="F885" s="561">
        <v>1</v>
      </c>
      <c r="G885" s="188" t="s">
        <v>13</v>
      </c>
      <c r="H885" s="188" t="s">
        <v>541</v>
      </c>
      <c r="I885" s="562">
        <v>44028</v>
      </c>
      <c r="J885" s="562">
        <v>44043</v>
      </c>
      <c r="K885" s="6" t="str">
        <f t="shared" si="40"/>
        <v>HD INJ</v>
      </c>
      <c r="L885" s="14">
        <f>VLOOKUP(J885,'USD to INR'!$B$2:$G$560,6,TRUE)</f>
        <v>74.915999999999997</v>
      </c>
      <c r="M885" s="216">
        <f t="shared" si="41"/>
        <v>951.86609002082332</v>
      </c>
      <c r="N885" s="563">
        <f t="shared" si="39"/>
        <v>44043</v>
      </c>
    </row>
    <row r="886" spans="1:14" x14ac:dyDescent="0.25">
      <c r="A886" s="188" t="s">
        <v>530</v>
      </c>
      <c r="B886" s="188" t="s">
        <v>531</v>
      </c>
      <c r="C886" s="188" t="s">
        <v>532</v>
      </c>
      <c r="D886" s="560">
        <v>71310</v>
      </c>
      <c r="E886" s="188" t="s">
        <v>98</v>
      </c>
      <c r="F886" s="561">
        <v>1</v>
      </c>
      <c r="G886" s="188" t="s">
        <v>13</v>
      </c>
      <c r="H886" s="188" t="s">
        <v>541</v>
      </c>
      <c r="I886" s="562">
        <v>44044</v>
      </c>
      <c r="J886" s="562">
        <v>44074</v>
      </c>
      <c r="K886" s="6" t="str">
        <f t="shared" si="40"/>
        <v>HD INJ</v>
      </c>
      <c r="L886" s="14">
        <f>VLOOKUP(J886,'USD to INR'!$B$2:$G$560,6,TRUE)</f>
        <v>73.289000000000001</v>
      </c>
      <c r="M886" s="216">
        <f t="shared" si="41"/>
        <v>972.99731201135228</v>
      </c>
      <c r="N886" s="563">
        <f t="shared" si="39"/>
        <v>44074</v>
      </c>
    </row>
    <row r="887" spans="1:14" x14ac:dyDescent="0.25">
      <c r="A887" s="188" t="s">
        <v>530</v>
      </c>
      <c r="B887" s="188" t="s">
        <v>531</v>
      </c>
      <c r="C887" s="188" t="s">
        <v>532</v>
      </c>
      <c r="D887" s="560">
        <v>71310</v>
      </c>
      <c r="E887" s="188" t="s">
        <v>98</v>
      </c>
      <c r="F887" s="561">
        <v>1</v>
      </c>
      <c r="G887" s="188" t="s">
        <v>13</v>
      </c>
      <c r="H887" s="188" t="s">
        <v>541</v>
      </c>
      <c r="I887" s="562">
        <v>44075</v>
      </c>
      <c r="J887" s="562">
        <v>44076</v>
      </c>
      <c r="K887" s="6" t="str">
        <f t="shared" si="40"/>
        <v>HD INJ</v>
      </c>
      <c r="L887" s="14">
        <f>VLOOKUP(J887,'USD to INR'!$B$2:$G$560,6,TRUE)</f>
        <v>73.289000000000001</v>
      </c>
      <c r="M887" s="216">
        <f t="shared" si="41"/>
        <v>972.99731201135228</v>
      </c>
      <c r="N887" s="563">
        <f t="shared" si="39"/>
        <v>44076</v>
      </c>
    </row>
    <row r="888" spans="1:14" x14ac:dyDescent="0.25">
      <c r="A888" s="188" t="s">
        <v>530</v>
      </c>
      <c r="B888" s="188" t="s">
        <v>531</v>
      </c>
      <c r="C888" s="188" t="s">
        <v>532</v>
      </c>
      <c r="D888" s="560">
        <v>72700</v>
      </c>
      <c r="E888" s="188" t="s">
        <v>98</v>
      </c>
      <c r="F888" s="561">
        <v>1</v>
      </c>
      <c r="G888" s="188" t="s">
        <v>13</v>
      </c>
      <c r="H888" s="188" t="s">
        <v>541</v>
      </c>
      <c r="I888" s="562">
        <v>44077</v>
      </c>
      <c r="J888" s="562">
        <v>44083</v>
      </c>
      <c r="K888" s="6" t="str">
        <f t="shared" si="40"/>
        <v>HD INJ</v>
      </c>
      <c r="L888" s="14">
        <f>VLOOKUP(J888,'USD to INR'!$B$2:$G$560,6,TRUE)</f>
        <v>73.430000000000007</v>
      </c>
      <c r="M888" s="216">
        <f t="shared" si="41"/>
        <v>990.0585591720004</v>
      </c>
      <c r="N888" s="563">
        <f t="shared" si="39"/>
        <v>44083</v>
      </c>
    </row>
    <row r="889" spans="1:14" x14ac:dyDescent="0.25">
      <c r="A889" s="188" t="s">
        <v>530</v>
      </c>
      <c r="B889" s="188" t="s">
        <v>531</v>
      </c>
      <c r="C889" s="188" t="s">
        <v>532</v>
      </c>
      <c r="D889" s="560">
        <v>73630</v>
      </c>
      <c r="E889" s="188" t="s">
        <v>98</v>
      </c>
      <c r="F889" s="561">
        <v>1</v>
      </c>
      <c r="G889" s="188" t="s">
        <v>13</v>
      </c>
      <c r="H889" s="188" t="s">
        <v>541</v>
      </c>
      <c r="I889" s="562">
        <v>44084</v>
      </c>
      <c r="J889" s="562">
        <v>44104</v>
      </c>
      <c r="K889" s="6" t="str">
        <f t="shared" si="40"/>
        <v>HD INJ</v>
      </c>
      <c r="L889" s="14">
        <f>VLOOKUP(J889,'USD to INR'!$B$2:$G$560,6,TRUE)</f>
        <v>73.290000000000006</v>
      </c>
      <c r="M889" s="216">
        <f t="shared" si="41"/>
        <v>1004.6391049256378</v>
      </c>
      <c r="N889" s="563">
        <f t="shared" si="39"/>
        <v>44104</v>
      </c>
    </row>
    <row r="890" spans="1:14" x14ac:dyDescent="0.25">
      <c r="A890" s="188" t="s">
        <v>530</v>
      </c>
      <c r="B890" s="188" t="s">
        <v>531</v>
      </c>
      <c r="C890" s="188" t="s">
        <v>532</v>
      </c>
      <c r="D890" s="560">
        <v>74570</v>
      </c>
      <c r="E890" s="188" t="s">
        <v>98</v>
      </c>
      <c r="F890" s="561">
        <v>1</v>
      </c>
      <c r="G890" s="188" t="s">
        <v>13</v>
      </c>
      <c r="H890" s="188" t="s">
        <v>541</v>
      </c>
      <c r="I890" s="562">
        <v>44105</v>
      </c>
      <c r="J890" s="562">
        <v>44135</v>
      </c>
      <c r="K890" s="6" t="str">
        <f t="shared" si="40"/>
        <v>HD INJ</v>
      </c>
      <c r="L890" s="14">
        <f>VLOOKUP(J890,'USD to INR'!$B$2:$G$560,6,TRUE)</f>
        <v>74.554000000000002</v>
      </c>
      <c r="M890" s="216">
        <f t="shared" si="41"/>
        <v>1000.2146095447595</v>
      </c>
      <c r="N890" s="563">
        <f t="shared" si="39"/>
        <v>44135</v>
      </c>
    </row>
    <row r="891" spans="1:14" x14ac:dyDescent="0.25">
      <c r="A891" s="188" t="s">
        <v>530</v>
      </c>
      <c r="B891" s="188" t="s">
        <v>531</v>
      </c>
      <c r="C891" s="188" t="s">
        <v>532</v>
      </c>
      <c r="D891" s="560">
        <v>74580</v>
      </c>
      <c r="E891" s="188" t="s">
        <v>98</v>
      </c>
      <c r="F891" s="561">
        <v>1</v>
      </c>
      <c r="G891" s="188" t="s">
        <v>13</v>
      </c>
      <c r="H891" s="188" t="s">
        <v>541</v>
      </c>
      <c r="I891" s="562">
        <v>44136</v>
      </c>
      <c r="J891" s="562">
        <v>44153</v>
      </c>
      <c r="K891" s="6" t="str">
        <f t="shared" si="40"/>
        <v>HD INJ</v>
      </c>
      <c r="L891" s="14">
        <f>VLOOKUP(J891,'USD to INR'!$B$2:$G$560,6,TRUE)</f>
        <v>74.11</v>
      </c>
      <c r="M891" s="216">
        <f t="shared" si="41"/>
        <v>1006.3419241667791</v>
      </c>
      <c r="N891" s="563">
        <f t="shared" si="39"/>
        <v>44153</v>
      </c>
    </row>
    <row r="892" spans="1:14" x14ac:dyDescent="0.25">
      <c r="A892" s="188" t="s">
        <v>530</v>
      </c>
      <c r="B892" s="188" t="s">
        <v>531</v>
      </c>
      <c r="C892" s="188" t="s">
        <v>532</v>
      </c>
      <c r="D892" s="560">
        <v>75510</v>
      </c>
      <c r="E892" s="188" t="s">
        <v>98</v>
      </c>
      <c r="F892" s="561">
        <v>1</v>
      </c>
      <c r="G892" s="188" t="s">
        <v>13</v>
      </c>
      <c r="H892" s="188" t="s">
        <v>541</v>
      </c>
      <c r="I892" s="562">
        <v>44154</v>
      </c>
      <c r="J892" s="562">
        <v>44160</v>
      </c>
      <c r="K892" s="6" t="str">
        <f t="shared" si="40"/>
        <v>HD INJ</v>
      </c>
      <c r="L892" s="14">
        <f>VLOOKUP(J892,'USD to INR'!$B$2:$G$560,6,TRUE)</f>
        <v>73.933000000000007</v>
      </c>
      <c r="M892" s="216">
        <f t="shared" si="41"/>
        <v>1021.3301232196718</v>
      </c>
      <c r="N892" s="563">
        <f t="shared" si="39"/>
        <v>44160</v>
      </c>
    </row>
    <row r="893" spans="1:14" x14ac:dyDescent="0.25">
      <c r="A893" s="188" t="s">
        <v>530</v>
      </c>
      <c r="B893" s="188" t="s">
        <v>531</v>
      </c>
      <c r="C893" s="188" t="s">
        <v>532</v>
      </c>
      <c r="D893" s="560">
        <v>78290</v>
      </c>
      <c r="E893" s="188" t="s">
        <v>98</v>
      </c>
      <c r="F893" s="561">
        <v>1</v>
      </c>
      <c r="G893" s="188" t="s">
        <v>13</v>
      </c>
      <c r="H893" s="188" t="s">
        <v>541</v>
      </c>
      <c r="I893" s="562">
        <v>44161</v>
      </c>
      <c r="J893" s="562">
        <v>44165</v>
      </c>
      <c r="K893" s="6" t="str">
        <f t="shared" si="40"/>
        <v>HD INJ</v>
      </c>
      <c r="L893" s="14">
        <f>VLOOKUP(J893,'USD to INR'!$B$2:$G$560,6,TRUE)</f>
        <v>73.757000000000005</v>
      </c>
      <c r="M893" s="216">
        <f t="shared" si="41"/>
        <v>1061.4585734235393</v>
      </c>
      <c r="N893" s="563">
        <f t="shared" si="39"/>
        <v>44165</v>
      </c>
    </row>
    <row r="894" spans="1:14" x14ac:dyDescent="0.25">
      <c r="A894" s="188" t="s">
        <v>530</v>
      </c>
      <c r="B894" s="188" t="s">
        <v>531</v>
      </c>
      <c r="C894" s="188" t="s">
        <v>532</v>
      </c>
      <c r="D894" s="560">
        <v>80140</v>
      </c>
      <c r="E894" s="188" t="s">
        <v>98</v>
      </c>
      <c r="F894" s="561">
        <v>1</v>
      </c>
      <c r="G894" s="188" t="s">
        <v>13</v>
      </c>
      <c r="H894" s="188" t="s">
        <v>541</v>
      </c>
      <c r="I894" s="562">
        <v>44166</v>
      </c>
      <c r="J894" s="562">
        <v>44196</v>
      </c>
      <c r="K894" s="6" t="str">
        <f t="shared" si="40"/>
        <v>HD INJ</v>
      </c>
      <c r="L894" s="14">
        <f>VLOOKUP(J894,'USD to INR'!$B$2:$G$560,6,TRUE)</f>
        <v>73.12</v>
      </c>
      <c r="M894" s="216">
        <f t="shared" si="41"/>
        <v>1096.0065645514223</v>
      </c>
      <c r="N894" s="563">
        <f t="shared" si="39"/>
        <v>44196</v>
      </c>
    </row>
    <row r="895" spans="1:14" x14ac:dyDescent="0.25">
      <c r="A895" s="188" t="s">
        <v>530</v>
      </c>
      <c r="B895" s="188" t="s">
        <v>531</v>
      </c>
      <c r="C895" s="188" t="s">
        <v>532</v>
      </c>
      <c r="D895" s="560">
        <v>80140</v>
      </c>
      <c r="E895" s="188" t="s">
        <v>98</v>
      </c>
      <c r="F895" s="561">
        <v>1</v>
      </c>
      <c r="G895" s="188" t="s">
        <v>13</v>
      </c>
      <c r="H895" s="188" t="s">
        <v>541</v>
      </c>
      <c r="I895" s="562">
        <v>44197</v>
      </c>
      <c r="J895" s="562">
        <v>44227</v>
      </c>
      <c r="K895" s="6" t="str">
        <f t="shared" si="40"/>
        <v>HD INJ</v>
      </c>
      <c r="L895" s="14">
        <f>VLOOKUP(J895,'USD to INR'!$B$2:$G$560,6,TRUE)</f>
        <v>72.81</v>
      </c>
      <c r="M895" s="216">
        <f t="shared" si="41"/>
        <v>1100.6729844801539</v>
      </c>
      <c r="N895" s="563">
        <f t="shared" si="39"/>
        <v>44227</v>
      </c>
    </row>
    <row r="896" spans="1:14" x14ac:dyDescent="0.25">
      <c r="A896" s="188" t="s">
        <v>530</v>
      </c>
      <c r="B896" s="188" t="s">
        <v>531</v>
      </c>
      <c r="C896" s="188" t="s">
        <v>532</v>
      </c>
      <c r="D896" s="560">
        <v>80140</v>
      </c>
      <c r="E896" s="188" t="s">
        <v>98</v>
      </c>
      <c r="F896" s="561">
        <v>1</v>
      </c>
      <c r="G896" s="188" t="s">
        <v>13</v>
      </c>
      <c r="H896" s="188" t="s">
        <v>541</v>
      </c>
      <c r="I896" s="562">
        <v>44228</v>
      </c>
      <c r="J896" s="562">
        <v>44244</v>
      </c>
      <c r="K896" s="6" t="str">
        <f t="shared" si="40"/>
        <v>HD INJ</v>
      </c>
      <c r="L896" s="14">
        <f>VLOOKUP(J896,'USD to INR'!$B$2:$G$560,6,TRUE)</f>
        <v>72.55</v>
      </c>
      <c r="M896" s="216">
        <f t="shared" si="41"/>
        <v>1104.6175051688492</v>
      </c>
      <c r="N896" s="563">
        <f t="shared" si="39"/>
        <v>44244</v>
      </c>
    </row>
    <row r="897" spans="1:14" x14ac:dyDescent="0.25">
      <c r="A897" s="188" t="s">
        <v>530</v>
      </c>
      <c r="B897" s="188" t="s">
        <v>531</v>
      </c>
      <c r="C897" s="188" t="s">
        <v>532</v>
      </c>
      <c r="D897" s="560">
        <v>85960</v>
      </c>
      <c r="E897" s="188" t="s">
        <v>98</v>
      </c>
      <c r="F897" s="561">
        <v>1</v>
      </c>
      <c r="G897" s="188" t="s">
        <v>13</v>
      </c>
      <c r="H897" s="188" t="s">
        <v>541</v>
      </c>
      <c r="I897" s="562">
        <v>44245</v>
      </c>
      <c r="J897" s="562">
        <v>44251</v>
      </c>
      <c r="K897" s="6" t="str">
        <f t="shared" si="40"/>
        <v>HD INJ</v>
      </c>
      <c r="L897" s="14">
        <f>VLOOKUP(J897,'USD to INR'!$B$2:$G$560,6,TRUE)</f>
        <v>73.92</v>
      </c>
      <c r="M897" s="216">
        <f t="shared" si="41"/>
        <v>1162.8787878787878</v>
      </c>
      <c r="N897" s="563">
        <f t="shared" si="39"/>
        <v>44251</v>
      </c>
    </row>
    <row r="898" spans="1:14" x14ac:dyDescent="0.25">
      <c r="A898" s="188" t="s">
        <v>530</v>
      </c>
      <c r="B898" s="188" t="s">
        <v>531</v>
      </c>
      <c r="C898" s="188" t="s">
        <v>532</v>
      </c>
      <c r="D898" s="560">
        <v>88740</v>
      </c>
      <c r="E898" s="188" t="s">
        <v>98</v>
      </c>
      <c r="F898" s="561">
        <v>1</v>
      </c>
      <c r="G898" s="188" t="s">
        <v>13</v>
      </c>
      <c r="H898" s="188" t="s">
        <v>541</v>
      </c>
      <c r="I898" s="562">
        <v>44252</v>
      </c>
      <c r="J898" s="562">
        <v>44255</v>
      </c>
      <c r="K898" s="6" t="str">
        <f t="shared" si="40"/>
        <v>HD INJ</v>
      </c>
      <c r="L898" s="14">
        <f>VLOOKUP(J898,'USD to INR'!$B$2:$G$560,6,TRUE)</f>
        <v>73.180000000000007</v>
      </c>
      <c r="M898" s="216">
        <f t="shared" si="41"/>
        <v>1212.6264006559168</v>
      </c>
      <c r="N898" s="563">
        <f t="shared" ref="N898:N922" si="42">J898</f>
        <v>44255</v>
      </c>
    </row>
    <row r="899" spans="1:14" x14ac:dyDescent="0.25">
      <c r="A899" s="188" t="s">
        <v>530</v>
      </c>
      <c r="B899" s="188" t="s">
        <v>531</v>
      </c>
      <c r="C899" s="188" t="s">
        <v>532</v>
      </c>
      <c r="D899" s="560">
        <v>90580</v>
      </c>
      <c r="E899" s="188" t="s">
        <v>98</v>
      </c>
      <c r="F899" s="561">
        <v>1</v>
      </c>
      <c r="G899" s="188" t="s">
        <v>13</v>
      </c>
      <c r="H899" s="188" t="s">
        <v>541</v>
      </c>
      <c r="I899" s="562">
        <v>44256</v>
      </c>
      <c r="J899" s="562">
        <v>44258</v>
      </c>
      <c r="K899" s="6" t="str">
        <f t="shared" ref="K899:K922" si="43">VLOOKUP(H899,$V$2:$W$10,2,TRUE)</f>
        <v>HD INJ</v>
      </c>
      <c r="L899" s="14">
        <f>VLOOKUP(J899,'USD to INR'!$B$2:$G$560,6,TRUE)</f>
        <v>73.180000000000007</v>
      </c>
      <c r="M899" s="216">
        <f t="shared" ref="M899:M922" si="44">D899/L899</f>
        <v>1237.7698824815523</v>
      </c>
      <c r="N899" s="563">
        <f t="shared" si="42"/>
        <v>44258</v>
      </c>
    </row>
    <row r="900" spans="1:14" x14ac:dyDescent="0.25">
      <c r="A900" s="188" t="s">
        <v>530</v>
      </c>
      <c r="B900" s="188" t="s">
        <v>531</v>
      </c>
      <c r="C900" s="188" t="s">
        <v>532</v>
      </c>
      <c r="D900" s="560">
        <v>92430</v>
      </c>
      <c r="E900" s="188" t="s">
        <v>98</v>
      </c>
      <c r="F900" s="561">
        <v>1</v>
      </c>
      <c r="G900" s="188" t="s">
        <v>13</v>
      </c>
      <c r="H900" s="188" t="s">
        <v>541</v>
      </c>
      <c r="I900" s="562">
        <v>44259</v>
      </c>
      <c r="J900" s="562">
        <v>44265</v>
      </c>
      <c r="K900" s="6" t="str">
        <f t="shared" si="43"/>
        <v>HD INJ</v>
      </c>
      <c r="L900" s="14">
        <f>VLOOKUP(J900,'USD to INR'!$B$2:$G$560,6,TRUE)</f>
        <v>72.680000000000007</v>
      </c>
      <c r="M900" s="216">
        <f t="shared" si="44"/>
        <v>1271.7391304347825</v>
      </c>
      <c r="N900" s="563">
        <f t="shared" si="42"/>
        <v>44265</v>
      </c>
    </row>
    <row r="901" spans="1:14" x14ac:dyDescent="0.25">
      <c r="A901" s="188" t="s">
        <v>530</v>
      </c>
      <c r="B901" s="188" t="s">
        <v>531</v>
      </c>
      <c r="C901" s="188" t="s">
        <v>532</v>
      </c>
      <c r="D901" s="560">
        <v>94280</v>
      </c>
      <c r="E901" s="188" t="s">
        <v>98</v>
      </c>
      <c r="F901" s="561">
        <v>1</v>
      </c>
      <c r="G901" s="188" t="s">
        <v>13</v>
      </c>
      <c r="H901" s="188" t="s">
        <v>541</v>
      </c>
      <c r="I901" s="562">
        <v>44266</v>
      </c>
      <c r="J901" s="562">
        <v>44286</v>
      </c>
      <c r="K901" s="6" t="str">
        <f t="shared" si="43"/>
        <v>HD INJ</v>
      </c>
      <c r="L901" s="14">
        <f>VLOOKUP(J901,'USD to INR'!$B$2:$G$560,6,TRUE)</f>
        <v>73.37</v>
      </c>
      <c r="M901" s="216">
        <f t="shared" si="44"/>
        <v>1284.9938667030121</v>
      </c>
      <c r="N901" s="563">
        <f t="shared" si="42"/>
        <v>44286</v>
      </c>
    </row>
    <row r="902" spans="1:14" x14ac:dyDescent="0.25">
      <c r="A902" s="188" t="s">
        <v>530</v>
      </c>
      <c r="B902" s="188" t="s">
        <v>531</v>
      </c>
      <c r="C902" s="188" t="s">
        <v>532</v>
      </c>
      <c r="D902" s="560">
        <v>97980</v>
      </c>
      <c r="E902" s="188" t="s">
        <v>98</v>
      </c>
      <c r="F902" s="561">
        <v>1</v>
      </c>
      <c r="G902" s="188" t="s">
        <v>13</v>
      </c>
      <c r="H902" s="188" t="s">
        <v>541</v>
      </c>
      <c r="I902" s="562">
        <v>44287</v>
      </c>
      <c r="J902" s="562">
        <v>44300</v>
      </c>
      <c r="K902" s="6" t="str">
        <f t="shared" si="43"/>
        <v>HD INJ</v>
      </c>
      <c r="L902" s="14">
        <f>VLOOKUP(J902,'USD to INR'!$B$2:$G$560,6,TRUE)</f>
        <v>74.53</v>
      </c>
      <c r="M902" s="216">
        <f t="shared" si="44"/>
        <v>1314.638400644036</v>
      </c>
      <c r="N902" s="563">
        <f t="shared" si="42"/>
        <v>44300</v>
      </c>
    </row>
    <row r="903" spans="1:14" x14ac:dyDescent="0.25">
      <c r="A903" s="188" t="s">
        <v>530</v>
      </c>
      <c r="B903" s="188" t="s">
        <v>531</v>
      </c>
      <c r="C903" s="188" t="s">
        <v>532</v>
      </c>
      <c r="D903" s="560">
        <v>96140</v>
      </c>
      <c r="E903" s="188" t="s">
        <v>98</v>
      </c>
      <c r="F903" s="561">
        <v>1</v>
      </c>
      <c r="G903" s="188" t="s">
        <v>13</v>
      </c>
      <c r="H903" s="188" t="s">
        <v>541</v>
      </c>
      <c r="I903" s="562">
        <v>44301</v>
      </c>
      <c r="J903" s="562">
        <v>44307</v>
      </c>
      <c r="K903" s="6" t="str">
        <f t="shared" si="43"/>
        <v>HD INJ</v>
      </c>
      <c r="L903" s="14">
        <f>VLOOKUP(J903,'USD to INR'!$B$2:$G$560,6,TRUE)</f>
        <v>74.92</v>
      </c>
      <c r="M903" s="216">
        <f t="shared" si="44"/>
        <v>1283.2354511478911</v>
      </c>
      <c r="N903" s="563">
        <f t="shared" si="42"/>
        <v>44307</v>
      </c>
    </row>
    <row r="904" spans="1:14" x14ac:dyDescent="0.25">
      <c r="A904" s="188" t="s">
        <v>530</v>
      </c>
      <c r="B904" s="188" t="s">
        <v>531</v>
      </c>
      <c r="C904" s="188" t="s">
        <v>532</v>
      </c>
      <c r="D904" s="560">
        <v>94300</v>
      </c>
      <c r="E904" s="188" t="s">
        <v>98</v>
      </c>
      <c r="F904" s="561">
        <v>1</v>
      </c>
      <c r="G904" s="188" t="s">
        <v>13</v>
      </c>
      <c r="H904" s="188" t="s">
        <v>541</v>
      </c>
      <c r="I904" s="562">
        <v>44308</v>
      </c>
      <c r="J904" s="562">
        <v>44316</v>
      </c>
      <c r="K904" s="6" t="str">
        <f t="shared" si="43"/>
        <v>HD INJ</v>
      </c>
      <c r="L904" s="14">
        <f>VLOOKUP(J904,'USD to INR'!$B$2:$G$560,6,TRUE)</f>
        <v>74.05</v>
      </c>
      <c r="M904" s="216">
        <f t="shared" si="44"/>
        <v>1273.4638757596219</v>
      </c>
      <c r="N904" s="563">
        <f t="shared" si="42"/>
        <v>44316</v>
      </c>
    </row>
    <row r="905" spans="1:14" x14ac:dyDescent="0.25">
      <c r="A905" s="188" t="s">
        <v>530</v>
      </c>
      <c r="B905" s="188" t="s">
        <v>531</v>
      </c>
      <c r="C905" s="188" t="s">
        <v>532</v>
      </c>
      <c r="D905" s="560">
        <v>91070</v>
      </c>
      <c r="E905" s="188" t="s">
        <v>98</v>
      </c>
      <c r="F905" s="561">
        <v>1</v>
      </c>
      <c r="G905" s="188" t="s">
        <v>13</v>
      </c>
      <c r="H905" s="188" t="s">
        <v>541</v>
      </c>
      <c r="I905" s="562">
        <v>44317</v>
      </c>
      <c r="J905" s="562">
        <v>44321</v>
      </c>
      <c r="K905" s="6" t="str">
        <f t="shared" si="43"/>
        <v>HD INJ</v>
      </c>
      <c r="L905" s="14">
        <f>VLOOKUP(J905,'USD to INR'!$B$2:$G$560,6,TRUE)</f>
        <v>73.251999999999995</v>
      </c>
      <c r="M905" s="216">
        <f t="shared" si="44"/>
        <v>1243.2425053240868</v>
      </c>
      <c r="N905" s="563">
        <f t="shared" si="42"/>
        <v>44321</v>
      </c>
    </row>
    <row r="906" spans="1:14" x14ac:dyDescent="0.25">
      <c r="A906" s="188" t="s">
        <v>530</v>
      </c>
      <c r="B906" s="188" t="s">
        <v>531</v>
      </c>
      <c r="C906" s="188" t="s">
        <v>532</v>
      </c>
      <c r="D906" s="560">
        <v>88300</v>
      </c>
      <c r="E906" s="188" t="s">
        <v>98</v>
      </c>
      <c r="F906" s="561">
        <v>1</v>
      </c>
      <c r="G906" s="188" t="s">
        <v>13</v>
      </c>
      <c r="H906" s="188" t="s">
        <v>541</v>
      </c>
      <c r="I906" s="562">
        <v>44322</v>
      </c>
      <c r="J906" s="562">
        <v>44335</v>
      </c>
      <c r="K906" s="6" t="str">
        <f t="shared" si="43"/>
        <v>HD INJ</v>
      </c>
      <c r="L906" s="14">
        <f>VLOOKUP(J906,'USD to INR'!$B$2:$G$560,6,TRUE)</f>
        <v>72.816999999999993</v>
      </c>
      <c r="M906" s="216">
        <f t="shared" si="44"/>
        <v>1212.6289190710961</v>
      </c>
      <c r="N906" s="563">
        <f t="shared" si="42"/>
        <v>44335</v>
      </c>
    </row>
    <row r="907" spans="1:14" x14ac:dyDescent="0.25">
      <c r="A907" s="188" t="s">
        <v>530</v>
      </c>
      <c r="B907" s="188" t="s">
        <v>531</v>
      </c>
      <c r="C907" s="188" t="s">
        <v>532</v>
      </c>
      <c r="D907" s="560">
        <v>86460</v>
      </c>
      <c r="E907" s="188" t="s">
        <v>98</v>
      </c>
      <c r="F907" s="561">
        <v>1</v>
      </c>
      <c r="G907" s="188" t="s">
        <v>13</v>
      </c>
      <c r="H907" s="188" t="s">
        <v>541</v>
      </c>
      <c r="I907" s="562">
        <v>44336</v>
      </c>
      <c r="J907" s="562">
        <v>44347</v>
      </c>
      <c r="K907" s="6" t="str">
        <f t="shared" si="43"/>
        <v>HD INJ</v>
      </c>
      <c r="L907" s="14">
        <f>VLOOKUP(J907,'USD to INR'!$B$2:$G$560,6,TRUE)</f>
        <v>72.86</v>
      </c>
      <c r="M907" s="216">
        <f t="shared" si="44"/>
        <v>1186.6593466922866</v>
      </c>
      <c r="N907" s="563">
        <f t="shared" si="42"/>
        <v>44347</v>
      </c>
    </row>
    <row r="908" spans="1:14" x14ac:dyDescent="0.25">
      <c r="A908" s="188" t="s">
        <v>530</v>
      </c>
      <c r="B908" s="188" t="s">
        <v>531</v>
      </c>
      <c r="C908" s="188" t="s">
        <v>532</v>
      </c>
      <c r="D908" s="560">
        <v>86450</v>
      </c>
      <c r="E908" s="188" t="s">
        <v>98</v>
      </c>
      <c r="F908" s="561">
        <v>1</v>
      </c>
      <c r="G908" s="188" t="s">
        <v>13</v>
      </c>
      <c r="H908" s="188" t="s">
        <v>541</v>
      </c>
      <c r="I908" s="562">
        <v>44348</v>
      </c>
      <c r="J908" s="562">
        <v>44356</v>
      </c>
      <c r="K908" s="6" t="str">
        <f t="shared" si="43"/>
        <v>HD INJ</v>
      </c>
      <c r="L908" s="14">
        <f>VLOOKUP(J908,'USD to INR'!$B$2:$G$560,6,TRUE)</f>
        <v>73.239999999999995</v>
      </c>
      <c r="M908" s="216">
        <f t="shared" si="44"/>
        <v>1180.3659202621518</v>
      </c>
      <c r="N908" s="563">
        <f t="shared" si="42"/>
        <v>44356</v>
      </c>
    </row>
    <row r="909" spans="1:14" x14ac:dyDescent="0.25">
      <c r="A909" s="188" t="s">
        <v>530</v>
      </c>
      <c r="B909" s="188" t="s">
        <v>531</v>
      </c>
      <c r="C909" s="188" t="s">
        <v>532</v>
      </c>
      <c r="D909" s="560">
        <v>84610</v>
      </c>
      <c r="E909" s="188" t="s">
        <v>98</v>
      </c>
      <c r="F909" s="561">
        <v>1</v>
      </c>
      <c r="G909" s="188" t="s">
        <v>13</v>
      </c>
      <c r="H909" s="188" t="s">
        <v>541</v>
      </c>
      <c r="I909" s="562">
        <v>44357</v>
      </c>
      <c r="J909" s="562">
        <v>44377</v>
      </c>
      <c r="K909" s="6" t="str">
        <f t="shared" si="43"/>
        <v>HD INJ</v>
      </c>
      <c r="L909" s="14">
        <f>VLOOKUP(J909,'USD to INR'!$B$2:$G$560,6,TRUE)</f>
        <v>74.512</v>
      </c>
      <c r="M909" s="216">
        <f t="shared" si="44"/>
        <v>1135.5217951470904</v>
      </c>
      <c r="N909" s="563">
        <f t="shared" si="42"/>
        <v>44377</v>
      </c>
    </row>
    <row r="910" spans="1:14" x14ac:dyDescent="0.25">
      <c r="A910" s="188" t="s">
        <v>530</v>
      </c>
      <c r="B910" s="188" t="s">
        <v>531</v>
      </c>
      <c r="C910" s="188" t="s">
        <v>532</v>
      </c>
      <c r="D910" s="560">
        <v>84600</v>
      </c>
      <c r="E910" s="188" t="s">
        <v>98</v>
      </c>
      <c r="F910" s="561">
        <v>1</v>
      </c>
      <c r="G910" s="188" t="s">
        <v>13</v>
      </c>
      <c r="H910" s="188" t="s">
        <v>541</v>
      </c>
      <c r="I910" s="562">
        <v>44378</v>
      </c>
      <c r="J910" s="562">
        <v>44384</v>
      </c>
      <c r="K910" s="6" t="str">
        <f t="shared" si="43"/>
        <v>HD INJ</v>
      </c>
      <c r="L910" s="14">
        <f>VLOOKUP(J910,'USD to INR'!$B$2:$G$560,6,TRUE)</f>
        <v>74.484999999999999</v>
      </c>
      <c r="M910" s="216">
        <f t="shared" si="44"/>
        <v>1135.7991541921192</v>
      </c>
      <c r="N910" s="563">
        <f t="shared" si="42"/>
        <v>44384</v>
      </c>
    </row>
    <row r="911" spans="1:14" x14ac:dyDescent="0.25">
      <c r="A911" s="188" t="s">
        <v>530</v>
      </c>
      <c r="B911" s="188" t="s">
        <v>531</v>
      </c>
      <c r="C911" s="188" t="s">
        <v>532</v>
      </c>
      <c r="D911" s="560">
        <v>86450</v>
      </c>
      <c r="E911" s="188" t="s">
        <v>98</v>
      </c>
      <c r="F911" s="561">
        <v>1</v>
      </c>
      <c r="G911" s="188" t="s">
        <v>13</v>
      </c>
      <c r="H911" s="188" t="s">
        <v>541</v>
      </c>
      <c r="I911" s="562">
        <v>44385</v>
      </c>
      <c r="J911" s="562">
        <v>44391</v>
      </c>
      <c r="K911" s="6" t="str">
        <f t="shared" si="43"/>
        <v>HD INJ</v>
      </c>
      <c r="L911" s="14">
        <f>VLOOKUP(J911,'USD to INR'!$B$2:$G$560,6,TRUE)</f>
        <v>74.605999999999995</v>
      </c>
      <c r="M911" s="216">
        <f t="shared" si="44"/>
        <v>1158.7539876149372</v>
      </c>
      <c r="N911" s="563">
        <f t="shared" si="42"/>
        <v>44391</v>
      </c>
    </row>
    <row r="912" spans="1:14" x14ac:dyDescent="0.25">
      <c r="A912" s="188" t="s">
        <v>530</v>
      </c>
      <c r="B912" s="188" t="s">
        <v>531</v>
      </c>
      <c r="C912" s="188" t="s">
        <v>532</v>
      </c>
      <c r="D912" s="560">
        <v>87380</v>
      </c>
      <c r="E912" s="188" t="s">
        <v>98</v>
      </c>
      <c r="F912" s="561">
        <v>1</v>
      </c>
      <c r="G912" s="188" t="s">
        <v>13</v>
      </c>
      <c r="H912" s="188" t="s">
        <v>541</v>
      </c>
      <c r="I912" s="562">
        <v>44392</v>
      </c>
      <c r="J912" s="562">
        <v>44408</v>
      </c>
      <c r="K912" s="6" t="str">
        <f t="shared" si="43"/>
        <v>HD INJ</v>
      </c>
      <c r="L912" s="14">
        <f>VLOOKUP(J912,'USD to INR'!$B$2:$G$560,6,TRUE)</f>
        <v>74.337000000000003</v>
      </c>
      <c r="M912" s="216">
        <f t="shared" si="44"/>
        <v>1175.4577128482451</v>
      </c>
      <c r="N912" s="563">
        <f t="shared" si="42"/>
        <v>44408</v>
      </c>
    </row>
    <row r="913" spans="1:14" x14ac:dyDescent="0.25">
      <c r="A913" s="188" t="s">
        <v>530</v>
      </c>
      <c r="B913" s="188" t="s">
        <v>531</v>
      </c>
      <c r="C913" s="188" t="s">
        <v>532</v>
      </c>
      <c r="D913" s="560">
        <v>87380</v>
      </c>
      <c r="E913" s="188" t="s">
        <v>98</v>
      </c>
      <c r="F913" s="561">
        <v>1</v>
      </c>
      <c r="G913" s="188" t="s">
        <v>13</v>
      </c>
      <c r="H913" s="188" t="s">
        <v>541</v>
      </c>
      <c r="I913" s="562">
        <v>44409</v>
      </c>
      <c r="J913" s="562">
        <v>44419</v>
      </c>
      <c r="K913" s="6" t="str">
        <f t="shared" si="43"/>
        <v>HD INJ</v>
      </c>
      <c r="L913" s="14">
        <f>VLOOKUP(J913,'USD to INR'!$B$2:$G$560,6,TRUE)</f>
        <v>74.239000000000004</v>
      </c>
      <c r="M913" s="216">
        <f t="shared" si="44"/>
        <v>1177.0093885962904</v>
      </c>
      <c r="N913" s="563">
        <f t="shared" si="42"/>
        <v>44419</v>
      </c>
    </row>
    <row r="914" spans="1:14" x14ac:dyDescent="0.25">
      <c r="A914" s="188" t="s">
        <v>530</v>
      </c>
      <c r="B914" s="188" t="s">
        <v>531</v>
      </c>
      <c r="C914" s="188" t="s">
        <v>532</v>
      </c>
      <c r="D914" s="560">
        <v>88310</v>
      </c>
      <c r="E914" s="188" t="s">
        <v>98</v>
      </c>
      <c r="F914" s="561">
        <v>1</v>
      </c>
      <c r="G914" s="188" t="s">
        <v>13</v>
      </c>
      <c r="H914" s="188" t="s">
        <v>541</v>
      </c>
      <c r="I914" s="562">
        <v>44420</v>
      </c>
      <c r="J914" s="562">
        <v>44426</v>
      </c>
      <c r="K914" s="6" t="str">
        <f t="shared" si="43"/>
        <v>HD INJ</v>
      </c>
      <c r="L914" s="14">
        <f>VLOOKUP(J914,'USD to INR'!$B$2:$G$560,6,TRUE)</f>
        <v>74.346999999999994</v>
      </c>
      <c r="M914" s="216">
        <f t="shared" si="44"/>
        <v>1187.8085195098661</v>
      </c>
      <c r="N914" s="563">
        <f t="shared" si="42"/>
        <v>44426</v>
      </c>
    </row>
    <row r="915" spans="1:14" x14ac:dyDescent="0.25">
      <c r="A915" s="188" t="s">
        <v>530</v>
      </c>
      <c r="B915" s="188" t="s">
        <v>531</v>
      </c>
      <c r="C915" s="188" t="s">
        <v>532</v>
      </c>
      <c r="D915" s="560">
        <v>89240</v>
      </c>
      <c r="E915" s="188" t="s">
        <v>98</v>
      </c>
      <c r="F915" s="561">
        <v>1</v>
      </c>
      <c r="G915" s="188" t="s">
        <v>13</v>
      </c>
      <c r="H915" s="188" t="s">
        <v>541</v>
      </c>
      <c r="I915" s="562">
        <v>44427</v>
      </c>
      <c r="J915" s="562">
        <v>44439</v>
      </c>
      <c r="K915" s="6" t="str">
        <f t="shared" si="43"/>
        <v>HD INJ</v>
      </c>
      <c r="L915" s="14">
        <f>VLOOKUP(J915,'USD to INR'!$B$2:$G$560,6,TRUE)</f>
        <v>72.981999999999999</v>
      </c>
      <c r="M915" s="216">
        <f t="shared" si="44"/>
        <v>1222.767257679976</v>
      </c>
      <c r="N915" s="563">
        <f t="shared" si="42"/>
        <v>44439</v>
      </c>
    </row>
    <row r="916" spans="1:14" x14ac:dyDescent="0.25">
      <c r="A916" s="188" t="s">
        <v>530</v>
      </c>
      <c r="B916" s="188" t="s">
        <v>531</v>
      </c>
      <c r="C916" s="188" t="s">
        <v>532</v>
      </c>
      <c r="D916" s="560">
        <v>89250</v>
      </c>
      <c r="E916" s="188" t="s">
        <v>98</v>
      </c>
      <c r="F916" s="561">
        <v>1</v>
      </c>
      <c r="G916" s="188" t="s">
        <v>13</v>
      </c>
      <c r="H916" s="188" t="s">
        <v>541</v>
      </c>
      <c r="I916" s="562">
        <v>44440</v>
      </c>
      <c r="J916" s="562">
        <v>44469</v>
      </c>
      <c r="K916" s="6" t="str">
        <f t="shared" si="43"/>
        <v>HD INJ</v>
      </c>
      <c r="L916" s="14">
        <f>VLOOKUP(J916,'USD to INR'!$B$2:$G$560,6,TRUE)</f>
        <v>74.131</v>
      </c>
      <c r="M916" s="216">
        <f t="shared" si="44"/>
        <v>1203.9497646059003</v>
      </c>
      <c r="N916" s="563">
        <f t="shared" si="42"/>
        <v>44469</v>
      </c>
    </row>
    <row r="917" spans="1:14" x14ac:dyDescent="0.25">
      <c r="A917" s="188" t="s">
        <v>530</v>
      </c>
      <c r="B917" s="188" t="s">
        <v>531</v>
      </c>
      <c r="C917" s="188" t="s">
        <v>532</v>
      </c>
      <c r="D917" s="560">
        <v>90640</v>
      </c>
      <c r="E917" s="188" t="s">
        <v>98</v>
      </c>
      <c r="F917" s="561">
        <v>1</v>
      </c>
      <c r="G917" s="188" t="s">
        <v>13</v>
      </c>
      <c r="H917" s="188" t="s">
        <v>541</v>
      </c>
      <c r="I917" s="562">
        <v>44470</v>
      </c>
      <c r="J917" s="562">
        <v>44482</v>
      </c>
      <c r="K917" s="6" t="str">
        <f t="shared" si="43"/>
        <v>HD INJ</v>
      </c>
      <c r="L917" s="14">
        <f>VLOOKUP(J917,'USD to INR'!$B$2:$G$560,6,TRUE)</f>
        <v>75.013000000000005</v>
      </c>
      <c r="M917" s="216">
        <f t="shared" si="44"/>
        <v>1208.3238905256421</v>
      </c>
      <c r="N917" s="563">
        <f t="shared" si="42"/>
        <v>44482</v>
      </c>
    </row>
    <row r="918" spans="1:14" x14ac:dyDescent="0.25">
      <c r="A918" s="188" t="s">
        <v>530</v>
      </c>
      <c r="B918" s="188" t="s">
        <v>531</v>
      </c>
      <c r="C918" s="188" t="s">
        <v>532</v>
      </c>
      <c r="D918" s="560">
        <v>96650</v>
      </c>
      <c r="E918" s="188" t="s">
        <v>98</v>
      </c>
      <c r="F918" s="561">
        <v>1</v>
      </c>
      <c r="G918" s="188" t="s">
        <v>13</v>
      </c>
      <c r="H918" s="188" t="s">
        <v>541</v>
      </c>
      <c r="I918" s="562">
        <v>44483</v>
      </c>
      <c r="J918" s="562">
        <v>44500</v>
      </c>
      <c r="K918" s="6" t="str">
        <f t="shared" si="43"/>
        <v>HD INJ</v>
      </c>
      <c r="L918" s="14">
        <f>VLOOKUP(J918,'USD to INR'!$B$2:$G$560,6,TRUE)</f>
        <v>75.313000000000002</v>
      </c>
      <c r="M918" s="216">
        <f t="shared" si="44"/>
        <v>1283.3109821677533</v>
      </c>
      <c r="N918" s="563">
        <f t="shared" si="42"/>
        <v>44500</v>
      </c>
    </row>
    <row r="919" spans="1:14" x14ac:dyDescent="0.25">
      <c r="A919" s="188" t="s">
        <v>530</v>
      </c>
      <c r="B919" s="188" t="s">
        <v>531</v>
      </c>
      <c r="C919" s="188" t="s">
        <v>532</v>
      </c>
      <c r="D919" s="560">
        <v>98020</v>
      </c>
      <c r="E919" s="188" t="s">
        <v>98</v>
      </c>
      <c r="F919" s="561">
        <v>1</v>
      </c>
      <c r="G919" s="188" t="s">
        <v>13</v>
      </c>
      <c r="H919" s="188" t="s">
        <v>541</v>
      </c>
      <c r="I919" s="562">
        <v>44501</v>
      </c>
      <c r="J919" s="562">
        <v>44530</v>
      </c>
      <c r="K919" s="6" t="str">
        <f t="shared" si="43"/>
        <v>HD INJ</v>
      </c>
      <c r="L919" s="14">
        <f>VLOOKUP(J919,'USD to INR'!$B$2:$G$560,6,TRUE)</f>
        <v>75.313000000000002</v>
      </c>
      <c r="M919" s="216">
        <f t="shared" si="44"/>
        <v>1301.5017327685791</v>
      </c>
      <c r="N919" s="563">
        <f t="shared" si="42"/>
        <v>44530</v>
      </c>
    </row>
    <row r="920" spans="1:14" x14ac:dyDescent="0.25">
      <c r="A920" s="188" t="s">
        <v>530</v>
      </c>
      <c r="B920" s="188" t="s">
        <v>531</v>
      </c>
      <c r="C920" s="188" t="s">
        <v>532</v>
      </c>
      <c r="D920" s="560">
        <v>95290</v>
      </c>
      <c r="E920" s="188" t="s">
        <v>98</v>
      </c>
      <c r="F920" s="561">
        <v>1</v>
      </c>
      <c r="G920" s="188" t="s">
        <v>13</v>
      </c>
      <c r="H920" s="188" t="s">
        <v>541</v>
      </c>
      <c r="I920" s="562">
        <v>44531</v>
      </c>
      <c r="J920" s="562">
        <v>44538</v>
      </c>
      <c r="K920" s="6" t="str">
        <f t="shared" si="43"/>
        <v>HD INJ</v>
      </c>
      <c r="L920" s="14">
        <f>VLOOKUP(J920,'USD to INR'!$B$2:$G$560,6,TRUE)</f>
        <v>75.313000000000002</v>
      </c>
      <c r="M920" s="216">
        <f t="shared" si="44"/>
        <v>1265.2530107683931</v>
      </c>
      <c r="N920" s="563">
        <f t="shared" si="42"/>
        <v>44538</v>
      </c>
    </row>
    <row r="921" spans="1:14" x14ac:dyDescent="0.25">
      <c r="A921" s="188" t="s">
        <v>530</v>
      </c>
      <c r="B921" s="188" t="s">
        <v>531</v>
      </c>
      <c r="C921" s="188" t="s">
        <v>532</v>
      </c>
      <c r="D921" s="560">
        <v>92520</v>
      </c>
      <c r="E921" s="188" t="s">
        <v>98</v>
      </c>
      <c r="F921" s="561">
        <v>1</v>
      </c>
      <c r="G921" s="188" t="s">
        <v>13</v>
      </c>
      <c r="H921" s="188" t="s">
        <v>541</v>
      </c>
      <c r="I921" s="562">
        <v>44539</v>
      </c>
      <c r="J921" s="562">
        <v>44545</v>
      </c>
      <c r="K921" s="6" t="str">
        <f t="shared" si="43"/>
        <v>HD INJ</v>
      </c>
      <c r="L921" s="14">
        <f>VLOOKUP(J921,'USD to INR'!$B$2:$G$560,6,TRUE)</f>
        <v>75.313000000000002</v>
      </c>
      <c r="M921" s="216">
        <f t="shared" si="44"/>
        <v>1228.4731719623437</v>
      </c>
      <c r="N921" s="563">
        <f t="shared" si="42"/>
        <v>44545</v>
      </c>
    </row>
    <row r="922" spans="1:14" x14ac:dyDescent="0.25">
      <c r="A922" s="188" t="s">
        <v>530</v>
      </c>
      <c r="B922" s="188" t="s">
        <v>531</v>
      </c>
      <c r="C922" s="188" t="s">
        <v>532</v>
      </c>
      <c r="D922" s="560">
        <v>91600</v>
      </c>
      <c r="E922" s="188" t="s">
        <v>98</v>
      </c>
      <c r="F922" s="561">
        <v>1</v>
      </c>
      <c r="G922" s="188" t="s">
        <v>13</v>
      </c>
      <c r="H922" s="188" t="s">
        <v>541</v>
      </c>
      <c r="I922" s="562">
        <v>44546</v>
      </c>
      <c r="J922" s="562">
        <v>44561</v>
      </c>
      <c r="K922" s="6" t="str">
        <f t="shared" si="43"/>
        <v>HD INJ</v>
      </c>
      <c r="L922" s="14">
        <f>VLOOKUP(J922,'USD to INR'!$B$2:$G$560,6,TRUE)</f>
        <v>75.313000000000002</v>
      </c>
      <c r="M922" s="216">
        <f t="shared" si="44"/>
        <v>1216.2574854274826</v>
      </c>
      <c r="N922" s="563">
        <f t="shared" si="42"/>
        <v>44561</v>
      </c>
    </row>
  </sheetData>
  <sortState xmlns:xlrd2="http://schemas.microsoft.com/office/spreadsheetml/2017/richdata2" ref="V3:W10">
    <sortCondition ref="V3:V10"/>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60"/>
  <sheetViews>
    <sheetView topLeftCell="A537" workbookViewId="0">
      <selection activeCell="O549" sqref="O549"/>
    </sheetView>
  </sheetViews>
  <sheetFormatPr defaultRowHeight="15" x14ac:dyDescent="0.25"/>
  <cols>
    <col min="1" max="1" width="9.140625" style="361"/>
    <col min="2" max="2" width="10.42578125" style="361" bestFit="1" customWidth="1"/>
    <col min="3" max="3" width="0" style="361" hidden="1" customWidth="1"/>
    <col min="4" max="6" width="16.28515625" style="134" hidden="1" customWidth="1"/>
    <col min="7" max="9" width="10.28515625" style="134" bestFit="1" customWidth="1"/>
    <col min="10" max="10" width="9.140625" style="134"/>
    <col min="11" max="16384" width="9.140625" style="361"/>
  </cols>
  <sheetData>
    <row r="1" spans="2:10" ht="16.5" thickBot="1" x14ac:dyDescent="0.3">
      <c r="B1" s="361" t="s">
        <v>109</v>
      </c>
      <c r="C1" s="16"/>
      <c r="D1" s="551" t="s">
        <v>109</v>
      </c>
      <c r="E1" s="551"/>
      <c r="F1" s="551"/>
      <c r="G1" s="552" t="s">
        <v>551</v>
      </c>
      <c r="H1" s="552" t="s">
        <v>552</v>
      </c>
      <c r="I1" s="552" t="s">
        <v>553</v>
      </c>
      <c r="J1" s="552" t="s">
        <v>554</v>
      </c>
    </row>
    <row r="2" spans="2:10" ht="16.5" thickBot="1" x14ac:dyDescent="0.3">
      <c r="B2" s="544">
        <v>40580</v>
      </c>
      <c r="C2" s="361">
        <v>2</v>
      </c>
      <c r="D2" s="553" t="s">
        <v>182</v>
      </c>
      <c r="E2" s="553">
        <v>6</v>
      </c>
      <c r="F2" s="553">
        <v>2011</v>
      </c>
      <c r="G2" s="554">
        <v>45.615000000000002</v>
      </c>
      <c r="H2" s="554">
        <v>45.515000000000001</v>
      </c>
      <c r="I2" s="554">
        <v>45.795000000000002</v>
      </c>
      <c r="J2" s="554">
        <v>45.075000000000003</v>
      </c>
    </row>
    <row r="3" spans="2:10" ht="16.5" thickBot="1" x14ac:dyDescent="0.3">
      <c r="B3" s="544">
        <v>40587</v>
      </c>
      <c r="C3" s="361">
        <v>2</v>
      </c>
      <c r="D3" s="555" t="s">
        <v>182</v>
      </c>
      <c r="E3" s="555">
        <v>13</v>
      </c>
      <c r="F3" s="555">
        <v>2011</v>
      </c>
      <c r="G3" s="556">
        <v>45.115000000000002</v>
      </c>
      <c r="H3" s="556">
        <v>45.494999999999997</v>
      </c>
      <c r="I3" s="556">
        <v>45.615000000000002</v>
      </c>
      <c r="J3" s="556">
        <v>45.134999999999998</v>
      </c>
    </row>
    <row r="4" spans="2:10" ht="16.5" thickBot="1" x14ac:dyDescent="0.3">
      <c r="B4" s="544">
        <v>40594</v>
      </c>
      <c r="C4" s="361">
        <v>2</v>
      </c>
      <c r="D4" s="555" t="s">
        <v>182</v>
      </c>
      <c r="E4" s="555">
        <v>20</v>
      </c>
      <c r="F4" s="555">
        <v>2011</v>
      </c>
      <c r="G4" s="556">
        <v>45.274999999999999</v>
      </c>
      <c r="H4" s="556">
        <v>45.085000000000001</v>
      </c>
      <c r="I4" s="556">
        <v>45.517000000000003</v>
      </c>
      <c r="J4" s="556">
        <v>44.884999999999998</v>
      </c>
    </row>
    <row r="5" spans="2:10" ht="16.5" thickBot="1" x14ac:dyDescent="0.3">
      <c r="B5" s="544">
        <v>40601</v>
      </c>
      <c r="C5" s="361">
        <v>2</v>
      </c>
      <c r="D5" s="555" t="s">
        <v>182</v>
      </c>
      <c r="E5" s="555">
        <v>27</v>
      </c>
      <c r="F5" s="555">
        <v>2011</v>
      </c>
      <c r="G5" s="556">
        <v>44.91</v>
      </c>
      <c r="H5" s="556">
        <v>45.24</v>
      </c>
      <c r="I5" s="556">
        <v>45.33</v>
      </c>
      <c r="J5" s="556">
        <v>44.82</v>
      </c>
    </row>
    <row r="6" spans="2:10" ht="16.5" thickBot="1" x14ac:dyDescent="0.3">
      <c r="B6" s="544">
        <v>40608</v>
      </c>
      <c r="C6" s="361">
        <v>3</v>
      </c>
      <c r="D6" s="555" t="s">
        <v>181</v>
      </c>
      <c r="E6" s="555">
        <v>6</v>
      </c>
      <c r="F6" s="555">
        <v>2011</v>
      </c>
      <c r="G6" s="556">
        <v>45.075000000000003</v>
      </c>
      <c r="H6" s="556">
        <v>44.865000000000002</v>
      </c>
      <c r="I6" s="556">
        <v>45.3</v>
      </c>
      <c r="J6" s="556">
        <v>44.825000000000003</v>
      </c>
    </row>
    <row r="7" spans="2:10" ht="16.5" thickBot="1" x14ac:dyDescent="0.3">
      <c r="B7" s="544">
        <v>40615</v>
      </c>
      <c r="C7" s="361">
        <v>3</v>
      </c>
      <c r="D7" s="555" t="s">
        <v>181</v>
      </c>
      <c r="E7" s="555">
        <v>13</v>
      </c>
      <c r="F7" s="555">
        <v>2011</v>
      </c>
      <c r="G7" s="556">
        <v>45.015000000000001</v>
      </c>
      <c r="H7" s="556">
        <v>45.164999999999999</v>
      </c>
      <c r="I7" s="556">
        <v>45.377000000000002</v>
      </c>
      <c r="J7" s="556">
        <v>44.954999999999998</v>
      </c>
    </row>
    <row r="8" spans="2:10" ht="16.5" thickBot="1" x14ac:dyDescent="0.3">
      <c r="B8" s="544">
        <v>40622</v>
      </c>
      <c r="C8" s="361">
        <v>3</v>
      </c>
      <c r="D8" s="555" t="s">
        <v>181</v>
      </c>
      <c r="E8" s="555">
        <v>20</v>
      </c>
      <c r="F8" s="555">
        <v>2011</v>
      </c>
      <c r="G8" s="556">
        <v>44.704999999999998</v>
      </c>
      <c r="H8" s="556">
        <v>44.954999999999998</v>
      </c>
      <c r="I8" s="556">
        <v>45.12</v>
      </c>
      <c r="J8" s="556">
        <v>44.524999999999999</v>
      </c>
    </row>
    <row r="9" spans="2:10" ht="16.5" thickBot="1" x14ac:dyDescent="0.3">
      <c r="B9" s="544">
        <v>40629</v>
      </c>
      <c r="C9" s="361">
        <v>3</v>
      </c>
      <c r="D9" s="555" t="s">
        <v>181</v>
      </c>
      <c r="E9" s="555">
        <v>27</v>
      </c>
      <c r="F9" s="555">
        <v>2011</v>
      </c>
      <c r="G9" s="556">
        <v>44.395000000000003</v>
      </c>
      <c r="H9" s="556">
        <v>44.664999999999999</v>
      </c>
      <c r="I9" s="556">
        <v>44.921999999999997</v>
      </c>
      <c r="J9" s="556">
        <v>44.395000000000003</v>
      </c>
    </row>
    <row r="10" spans="2:10" ht="16.5" thickBot="1" x14ac:dyDescent="0.3">
      <c r="B10" s="544">
        <v>40636</v>
      </c>
      <c r="C10" s="361">
        <v>4</v>
      </c>
      <c r="D10" s="555" t="s">
        <v>261</v>
      </c>
      <c r="E10" s="555">
        <v>3</v>
      </c>
      <c r="F10" s="555">
        <v>2011</v>
      </c>
      <c r="G10" s="556">
        <v>44.08</v>
      </c>
      <c r="H10" s="556">
        <v>44.42</v>
      </c>
      <c r="I10" s="556">
        <v>44.487000000000002</v>
      </c>
      <c r="J10" s="556">
        <v>44</v>
      </c>
    </row>
    <row r="11" spans="2:10" ht="16.5" thickBot="1" x14ac:dyDescent="0.3">
      <c r="B11" s="544">
        <v>40643</v>
      </c>
      <c r="C11" s="361">
        <v>4</v>
      </c>
      <c r="D11" s="555" t="s">
        <v>261</v>
      </c>
      <c r="E11" s="555">
        <v>10</v>
      </c>
      <c r="F11" s="555">
        <v>2011</v>
      </c>
      <c r="G11" s="556">
        <v>44.274999999999999</v>
      </c>
      <c r="H11" s="556">
        <v>44.045000000000002</v>
      </c>
      <c r="I11" s="556">
        <v>44.612000000000002</v>
      </c>
      <c r="J11" s="556">
        <v>43.906999999999996</v>
      </c>
    </row>
    <row r="12" spans="2:10" ht="16.5" thickBot="1" x14ac:dyDescent="0.3">
      <c r="B12" s="544">
        <v>40650</v>
      </c>
      <c r="C12" s="361">
        <v>4</v>
      </c>
      <c r="D12" s="555" t="s">
        <v>261</v>
      </c>
      <c r="E12" s="555">
        <v>17</v>
      </c>
      <c r="F12" s="555">
        <v>2011</v>
      </c>
      <c r="G12" s="556">
        <v>44.19</v>
      </c>
      <c r="H12" s="556">
        <v>44.23</v>
      </c>
      <c r="I12" s="556">
        <v>44.704999999999998</v>
      </c>
      <c r="J12" s="556">
        <v>44.12</v>
      </c>
    </row>
    <row r="13" spans="2:10" ht="16.5" thickBot="1" x14ac:dyDescent="0.3">
      <c r="B13" s="544">
        <v>40657</v>
      </c>
      <c r="C13" s="361">
        <v>4</v>
      </c>
      <c r="D13" s="555" t="s">
        <v>261</v>
      </c>
      <c r="E13" s="555">
        <v>24</v>
      </c>
      <c r="F13" s="555">
        <v>2011</v>
      </c>
      <c r="G13" s="556">
        <v>44.255000000000003</v>
      </c>
      <c r="H13" s="556">
        <v>44.197000000000003</v>
      </c>
      <c r="I13" s="556">
        <v>44.633000000000003</v>
      </c>
      <c r="J13" s="556">
        <v>44.145000000000003</v>
      </c>
    </row>
    <row r="14" spans="2:10" ht="16.5" thickBot="1" x14ac:dyDescent="0.3">
      <c r="B14" s="544">
        <v>40664</v>
      </c>
      <c r="C14" s="361">
        <v>5</v>
      </c>
      <c r="D14" s="555" t="s">
        <v>191</v>
      </c>
      <c r="E14" s="555">
        <v>1</v>
      </c>
      <c r="F14" s="555">
        <v>2011</v>
      </c>
      <c r="G14" s="556">
        <v>44.73</v>
      </c>
      <c r="H14" s="556">
        <v>44.22</v>
      </c>
      <c r="I14" s="556">
        <v>44.91</v>
      </c>
      <c r="J14" s="556">
        <v>44.15</v>
      </c>
    </row>
    <row r="15" spans="2:10" ht="16.5" thickBot="1" x14ac:dyDescent="0.3">
      <c r="B15" s="544">
        <v>40671</v>
      </c>
      <c r="C15" s="361">
        <v>5</v>
      </c>
      <c r="D15" s="555" t="s">
        <v>191</v>
      </c>
      <c r="E15" s="555">
        <v>8</v>
      </c>
      <c r="F15" s="555">
        <v>2011</v>
      </c>
      <c r="G15" s="556">
        <v>44.865000000000002</v>
      </c>
      <c r="H15" s="556">
        <v>44.674999999999997</v>
      </c>
      <c r="I15" s="556">
        <v>45.055</v>
      </c>
      <c r="J15" s="556">
        <v>44.534999999999997</v>
      </c>
    </row>
    <row r="16" spans="2:10" ht="16.5" thickBot="1" x14ac:dyDescent="0.3">
      <c r="B16" s="544">
        <v>40678</v>
      </c>
      <c r="C16" s="361">
        <v>5</v>
      </c>
      <c r="D16" s="555" t="s">
        <v>191</v>
      </c>
      <c r="E16" s="555">
        <v>15</v>
      </c>
      <c r="F16" s="555">
        <v>2011</v>
      </c>
      <c r="G16" s="556">
        <v>44.95</v>
      </c>
      <c r="H16" s="556">
        <v>44.83</v>
      </c>
      <c r="I16" s="556">
        <v>45.185000000000002</v>
      </c>
      <c r="J16" s="556">
        <v>44.75</v>
      </c>
    </row>
    <row r="17" spans="2:10" ht="16.5" thickBot="1" x14ac:dyDescent="0.3">
      <c r="B17" s="544">
        <v>40685</v>
      </c>
      <c r="C17" s="361">
        <v>5</v>
      </c>
      <c r="D17" s="555" t="s">
        <v>191</v>
      </c>
      <c r="E17" s="555">
        <v>22</v>
      </c>
      <c r="F17" s="555">
        <v>2011</v>
      </c>
      <c r="G17" s="556">
        <v>45.18</v>
      </c>
      <c r="H17" s="556">
        <v>44.91</v>
      </c>
      <c r="I17" s="556">
        <v>45.438000000000002</v>
      </c>
      <c r="J17" s="556">
        <v>44.9</v>
      </c>
    </row>
    <row r="18" spans="2:10" ht="16.5" thickBot="1" x14ac:dyDescent="0.3">
      <c r="B18" s="544">
        <v>40692</v>
      </c>
      <c r="C18" s="361">
        <v>5</v>
      </c>
      <c r="D18" s="555" t="s">
        <v>191</v>
      </c>
      <c r="E18" s="555">
        <v>29</v>
      </c>
      <c r="F18" s="555">
        <v>2011</v>
      </c>
      <c r="G18" s="556">
        <v>44.83</v>
      </c>
      <c r="H18" s="556">
        <v>45.11</v>
      </c>
      <c r="I18" s="556">
        <v>45.148000000000003</v>
      </c>
      <c r="J18" s="556">
        <v>44.7</v>
      </c>
    </row>
    <row r="19" spans="2:10" ht="16.5" thickBot="1" x14ac:dyDescent="0.3">
      <c r="B19" s="544">
        <v>40699</v>
      </c>
      <c r="C19" s="361">
        <v>6</v>
      </c>
      <c r="D19" s="555" t="s">
        <v>555</v>
      </c>
      <c r="E19" s="555">
        <v>5</v>
      </c>
      <c r="F19" s="555">
        <v>2011</v>
      </c>
      <c r="G19" s="556">
        <v>44.73</v>
      </c>
      <c r="H19" s="556">
        <v>44.75</v>
      </c>
      <c r="I19" s="556">
        <v>44.835000000000001</v>
      </c>
      <c r="J19" s="556">
        <v>44.53</v>
      </c>
    </row>
    <row r="20" spans="2:10" ht="16.5" thickBot="1" x14ac:dyDescent="0.3">
      <c r="B20" s="544">
        <v>40706</v>
      </c>
      <c r="C20" s="361">
        <v>6</v>
      </c>
      <c r="D20" s="555" t="s">
        <v>555</v>
      </c>
      <c r="E20" s="555">
        <v>12</v>
      </c>
      <c r="F20" s="555">
        <v>2011</v>
      </c>
      <c r="G20" s="556">
        <v>44.8</v>
      </c>
      <c r="H20" s="556">
        <v>44.69</v>
      </c>
      <c r="I20" s="556">
        <v>44.975000000000001</v>
      </c>
      <c r="J20" s="556">
        <v>44.55</v>
      </c>
    </row>
    <row r="21" spans="2:10" ht="16.5" thickBot="1" x14ac:dyDescent="0.3">
      <c r="B21" s="544">
        <v>40713</v>
      </c>
      <c r="C21" s="361">
        <v>6</v>
      </c>
      <c r="D21" s="555" t="s">
        <v>555</v>
      </c>
      <c r="E21" s="555">
        <v>19</v>
      </c>
      <c r="F21" s="555">
        <v>2011</v>
      </c>
      <c r="G21" s="556">
        <v>44.994999999999997</v>
      </c>
      <c r="H21" s="556">
        <v>44.734999999999999</v>
      </c>
      <c r="I21" s="556">
        <v>45.06</v>
      </c>
      <c r="J21" s="556">
        <v>44.625</v>
      </c>
    </row>
    <row r="22" spans="2:10" ht="16.5" thickBot="1" x14ac:dyDescent="0.3">
      <c r="B22" s="544">
        <v>40720</v>
      </c>
      <c r="C22" s="361">
        <v>6</v>
      </c>
      <c r="D22" s="555" t="s">
        <v>555</v>
      </c>
      <c r="E22" s="555">
        <v>26</v>
      </c>
      <c r="F22" s="555">
        <v>2011</v>
      </c>
      <c r="G22" s="556">
        <v>44.63</v>
      </c>
      <c r="H22" s="556">
        <v>44.91</v>
      </c>
      <c r="I22" s="556">
        <v>45.15</v>
      </c>
      <c r="J22" s="556">
        <v>44.5</v>
      </c>
    </row>
    <row r="23" spans="2:10" ht="16.5" thickBot="1" x14ac:dyDescent="0.3">
      <c r="B23" s="544">
        <v>40727</v>
      </c>
      <c r="C23" s="361">
        <v>7</v>
      </c>
      <c r="D23" s="555" t="s">
        <v>556</v>
      </c>
      <c r="E23" s="555">
        <v>3</v>
      </c>
      <c r="F23" s="555">
        <v>2011</v>
      </c>
      <c r="G23" s="556">
        <v>44.38</v>
      </c>
      <c r="H23" s="556">
        <v>44.55</v>
      </c>
      <c r="I23" s="556">
        <v>44.55</v>
      </c>
      <c r="J23" s="556">
        <v>44.2</v>
      </c>
    </row>
    <row r="24" spans="2:10" ht="16.5" thickBot="1" x14ac:dyDescent="0.3">
      <c r="B24" s="544">
        <v>40734</v>
      </c>
      <c r="C24" s="361">
        <v>7</v>
      </c>
      <c r="D24" s="555" t="s">
        <v>556</v>
      </c>
      <c r="E24" s="555">
        <v>10</v>
      </c>
      <c r="F24" s="555">
        <v>2011</v>
      </c>
      <c r="G24" s="556">
        <v>44.515000000000001</v>
      </c>
      <c r="H24" s="556">
        <v>44.344999999999999</v>
      </c>
      <c r="I24" s="556">
        <v>44.765000000000001</v>
      </c>
      <c r="J24" s="556">
        <v>44.295000000000002</v>
      </c>
    </row>
    <row r="25" spans="2:10" ht="16.5" thickBot="1" x14ac:dyDescent="0.3">
      <c r="B25" s="544">
        <v>40741</v>
      </c>
      <c r="C25" s="361">
        <v>7</v>
      </c>
      <c r="D25" s="555" t="s">
        <v>556</v>
      </c>
      <c r="E25" s="555">
        <v>17</v>
      </c>
      <c r="F25" s="555">
        <v>2011</v>
      </c>
      <c r="G25" s="556">
        <v>44.35</v>
      </c>
      <c r="H25" s="556">
        <v>44.44</v>
      </c>
      <c r="I25" s="556">
        <v>44.67</v>
      </c>
      <c r="J25" s="556">
        <v>44.27</v>
      </c>
    </row>
    <row r="26" spans="2:10" ht="16.5" thickBot="1" x14ac:dyDescent="0.3">
      <c r="B26" s="544">
        <v>40748</v>
      </c>
      <c r="C26" s="361">
        <v>7</v>
      </c>
      <c r="D26" s="555" t="s">
        <v>556</v>
      </c>
      <c r="E26" s="555">
        <v>24</v>
      </c>
      <c r="F26" s="555">
        <v>2011</v>
      </c>
      <c r="G26" s="556">
        <v>44.21</v>
      </c>
      <c r="H26" s="556">
        <v>44.28</v>
      </c>
      <c r="I26" s="556">
        <v>44.447000000000003</v>
      </c>
      <c r="J26" s="556">
        <v>43.86</v>
      </c>
    </row>
    <row r="27" spans="2:10" ht="16.5" thickBot="1" x14ac:dyDescent="0.3">
      <c r="B27" s="544">
        <v>40755</v>
      </c>
      <c r="C27" s="361">
        <v>7</v>
      </c>
      <c r="D27" s="555" t="s">
        <v>556</v>
      </c>
      <c r="E27" s="555">
        <v>31</v>
      </c>
      <c r="F27" s="555">
        <v>2011</v>
      </c>
      <c r="G27" s="556">
        <v>44.72</v>
      </c>
      <c r="H27" s="556">
        <v>44.11</v>
      </c>
      <c r="I27" s="556">
        <v>44.854999999999997</v>
      </c>
      <c r="J27" s="556">
        <v>43.97</v>
      </c>
    </row>
    <row r="28" spans="2:10" ht="16.5" thickBot="1" x14ac:dyDescent="0.3">
      <c r="B28" s="544">
        <v>40762</v>
      </c>
      <c r="C28" s="361">
        <v>8</v>
      </c>
      <c r="D28" s="555" t="s">
        <v>188</v>
      </c>
      <c r="E28" s="555">
        <v>7</v>
      </c>
      <c r="F28" s="555">
        <v>2011</v>
      </c>
      <c r="G28" s="556">
        <v>45.4</v>
      </c>
      <c r="H28" s="556">
        <v>44.65</v>
      </c>
      <c r="I28" s="556">
        <v>45.46</v>
      </c>
      <c r="J28" s="556">
        <v>44.58</v>
      </c>
    </row>
    <row r="29" spans="2:10" ht="16.5" thickBot="1" x14ac:dyDescent="0.3">
      <c r="B29" s="544">
        <v>40769</v>
      </c>
      <c r="C29" s="361">
        <v>8</v>
      </c>
      <c r="D29" s="555" t="s">
        <v>188</v>
      </c>
      <c r="E29" s="555">
        <v>14</v>
      </c>
      <c r="F29" s="555">
        <v>2011</v>
      </c>
      <c r="G29" s="556">
        <v>45.67</v>
      </c>
      <c r="H29" s="556">
        <v>45.3</v>
      </c>
      <c r="I29" s="556">
        <v>45.758000000000003</v>
      </c>
      <c r="J29" s="556">
        <v>45.11</v>
      </c>
    </row>
    <row r="30" spans="2:10" ht="16.5" thickBot="1" x14ac:dyDescent="0.3">
      <c r="B30" s="544">
        <v>40776</v>
      </c>
      <c r="C30" s="361">
        <v>8</v>
      </c>
      <c r="D30" s="555" t="s">
        <v>188</v>
      </c>
      <c r="E30" s="555">
        <v>21</v>
      </c>
      <c r="F30" s="555">
        <v>2011</v>
      </c>
      <c r="G30" s="556">
        <v>46.16</v>
      </c>
      <c r="H30" s="556">
        <v>45.755000000000003</v>
      </c>
      <c r="I30" s="556">
        <v>46.225000000000001</v>
      </c>
      <c r="J30" s="556">
        <v>45.5</v>
      </c>
    </row>
    <row r="31" spans="2:10" ht="16.5" thickBot="1" x14ac:dyDescent="0.3">
      <c r="B31" s="544">
        <v>40783</v>
      </c>
      <c r="C31" s="361">
        <v>8</v>
      </c>
      <c r="D31" s="555" t="s">
        <v>188</v>
      </c>
      <c r="E31" s="555">
        <v>28</v>
      </c>
      <c r="F31" s="555">
        <v>2011</v>
      </c>
      <c r="G31" s="556">
        <v>45.784999999999997</v>
      </c>
      <c r="H31" s="556">
        <v>46.055</v>
      </c>
      <c r="I31" s="556">
        <v>46.145000000000003</v>
      </c>
      <c r="J31" s="556">
        <v>45.655000000000001</v>
      </c>
    </row>
    <row r="32" spans="2:10" ht="16.5" thickBot="1" x14ac:dyDescent="0.3">
      <c r="B32" s="544">
        <v>40790</v>
      </c>
      <c r="C32" s="16">
        <v>9</v>
      </c>
      <c r="D32" s="555" t="s">
        <v>187</v>
      </c>
      <c r="E32" s="555">
        <v>4</v>
      </c>
      <c r="F32" s="555">
        <v>2011</v>
      </c>
      <c r="G32" s="556">
        <v>46.49</v>
      </c>
      <c r="H32" s="556">
        <v>45.76</v>
      </c>
      <c r="I32" s="556">
        <v>46.67</v>
      </c>
      <c r="J32" s="556">
        <v>45.66</v>
      </c>
    </row>
    <row r="33" spans="2:10" ht="16.5" thickBot="1" x14ac:dyDescent="0.3">
      <c r="B33" s="544">
        <v>40797</v>
      </c>
      <c r="C33" s="16">
        <v>9</v>
      </c>
      <c r="D33" s="555" t="s">
        <v>187</v>
      </c>
      <c r="E33" s="555">
        <v>11</v>
      </c>
      <c r="F33" s="555">
        <v>2011</v>
      </c>
      <c r="G33" s="556">
        <v>47.33</v>
      </c>
      <c r="H33" s="556">
        <v>46.45</v>
      </c>
      <c r="I33" s="556">
        <v>48.01</v>
      </c>
      <c r="J33" s="556">
        <v>46.35</v>
      </c>
    </row>
    <row r="34" spans="2:10" ht="16.5" thickBot="1" x14ac:dyDescent="0.3">
      <c r="B34" s="544">
        <v>40804</v>
      </c>
      <c r="C34" s="16">
        <v>9</v>
      </c>
      <c r="D34" s="555" t="s">
        <v>187</v>
      </c>
      <c r="E34" s="555">
        <v>18</v>
      </c>
      <c r="F34" s="555">
        <v>2011</v>
      </c>
      <c r="G34" s="556">
        <v>49.35</v>
      </c>
      <c r="H34" s="556">
        <v>47.33</v>
      </c>
      <c r="I34" s="556">
        <v>49.895000000000003</v>
      </c>
      <c r="J34" s="556">
        <v>47.25</v>
      </c>
    </row>
    <row r="35" spans="2:10" ht="16.5" thickBot="1" x14ac:dyDescent="0.3">
      <c r="B35" s="544">
        <v>40811</v>
      </c>
      <c r="C35" s="16">
        <v>9</v>
      </c>
      <c r="D35" s="555" t="s">
        <v>187</v>
      </c>
      <c r="E35" s="555">
        <v>25</v>
      </c>
      <c r="F35" s="555">
        <v>2011</v>
      </c>
      <c r="G35" s="556">
        <v>49.02</v>
      </c>
      <c r="H35" s="556">
        <v>49.35</v>
      </c>
      <c r="I35" s="556">
        <v>49.784999999999997</v>
      </c>
      <c r="J35" s="556">
        <v>48.66</v>
      </c>
    </row>
    <row r="36" spans="2:10" ht="16.5" thickBot="1" x14ac:dyDescent="0.3">
      <c r="B36" s="544">
        <v>40818</v>
      </c>
      <c r="C36" s="16">
        <v>10</v>
      </c>
      <c r="D36" s="555" t="s">
        <v>186</v>
      </c>
      <c r="E36" s="555">
        <v>2</v>
      </c>
      <c r="F36" s="555">
        <v>2011</v>
      </c>
      <c r="G36" s="556">
        <v>49.04</v>
      </c>
      <c r="H36" s="556">
        <v>48.97</v>
      </c>
      <c r="I36" s="556">
        <v>49.58</v>
      </c>
      <c r="J36" s="556">
        <v>48.9</v>
      </c>
    </row>
    <row r="37" spans="2:10" ht="16.5" thickBot="1" x14ac:dyDescent="0.3">
      <c r="B37" s="544">
        <v>40825</v>
      </c>
      <c r="C37" s="16">
        <v>10</v>
      </c>
      <c r="D37" s="555" t="s">
        <v>186</v>
      </c>
      <c r="E37" s="555">
        <v>9</v>
      </c>
      <c r="F37" s="555">
        <v>2011</v>
      </c>
      <c r="G37" s="556">
        <v>49.02</v>
      </c>
      <c r="H37" s="556">
        <v>49.02</v>
      </c>
      <c r="I37" s="556">
        <v>49.484999999999999</v>
      </c>
      <c r="J37" s="556">
        <v>48.76</v>
      </c>
    </row>
    <row r="38" spans="2:10" ht="16.5" thickBot="1" x14ac:dyDescent="0.3">
      <c r="B38" s="544">
        <v>40832</v>
      </c>
      <c r="C38" s="16">
        <v>10</v>
      </c>
      <c r="D38" s="555" t="s">
        <v>186</v>
      </c>
      <c r="E38" s="555">
        <v>16</v>
      </c>
      <c r="F38" s="555">
        <v>2011</v>
      </c>
      <c r="G38" s="556">
        <v>49.85</v>
      </c>
      <c r="H38" s="556">
        <v>48.94</v>
      </c>
      <c r="I38" s="556">
        <v>50.33</v>
      </c>
      <c r="J38" s="556">
        <v>48.69</v>
      </c>
    </row>
    <row r="39" spans="2:10" ht="16.5" thickBot="1" x14ac:dyDescent="0.3">
      <c r="B39" s="544">
        <v>40839</v>
      </c>
      <c r="C39" s="16">
        <v>10</v>
      </c>
      <c r="D39" s="555" t="s">
        <v>186</v>
      </c>
      <c r="E39" s="555">
        <v>23</v>
      </c>
      <c r="F39" s="555">
        <v>2011</v>
      </c>
      <c r="G39" s="556">
        <v>48.62</v>
      </c>
      <c r="H39" s="556">
        <v>49.81</v>
      </c>
      <c r="I39" s="556">
        <v>50.02</v>
      </c>
      <c r="J39" s="556">
        <v>48.62</v>
      </c>
    </row>
    <row r="40" spans="2:10" ht="16.5" thickBot="1" x14ac:dyDescent="0.3">
      <c r="B40" s="544">
        <v>40846</v>
      </c>
      <c r="C40" s="16">
        <v>10</v>
      </c>
      <c r="D40" s="555" t="s">
        <v>186</v>
      </c>
      <c r="E40" s="555">
        <v>30</v>
      </c>
      <c r="F40" s="555">
        <v>2011</v>
      </c>
      <c r="G40" s="556">
        <v>49</v>
      </c>
      <c r="H40" s="556">
        <v>48.76</v>
      </c>
      <c r="I40" s="556">
        <v>49.567</v>
      </c>
      <c r="J40" s="556">
        <v>48.54</v>
      </c>
    </row>
    <row r="41" spans="2:10" ht="16.5" thickBot="1" x14ac:dyDescent="0.3">
      <c r="B41" s="544">
        <v>40853</v>
      </c>
      <c r="C41" s="361">
        <v>11</v>
      </c>
      <c r="D41" s="555" t="s">
        <v>185</v>
      </c>
      <c r="E41" s="555">
        <v>6</v>
      </c>
      <c r="F41" s="555">
        <v>2011</v>
      </c>
      <c r="G41" s="556">
        <v>50.005000000000003</v>
      </c>
      <c r="H41" s="556">
        <v>49.104999999999997</v>
      </c>
      <c r="I41" s="556">
        <v>50.37</v>
      </c>
      <c r="J41" s="556">
        <v>48.935000000000002</v>
      </c>
    </row>
    <row r="42" spans="2:10" ht="16.5" thickBot="1" x14ac:dyDescent="0.3">
      <c r="B42" s="544">
        <v>40860</v>
      </c>
      <c r="C42" s="361">
        <v>11</v>
      </c>
      <c r="D42" s="555" t="s">
        <v>185</v>
      </c>
      <c r="E42" s="555">
        <v>13</v>
      </c>
      <c r="F42" s="555">
        <v>2011</v>
      </c>
      <c r="G42" s="556">
        <v>51.234999999999999</v>
      </c>
      <c r="H42" s="556">
        <v>49.965000000000003</v>
      </c>
      <c r="I42" s="556">
        <v>51.405000000000001</v>
      </c>
      <c r="J42" s="556">
        <v>49.865000000000002</v>
      </c>
    </row>
    <row r="43" spans="2:10" ht="16.5" thickBot="1" x14ac:dyDescent="0.3">
      <c r="B43" s="544">
        <v>40867</v>
      </c>
      <c r="C43" s="361">
        <v>11</v>
      </c>
      <c r="D43" s="555" t="s">
        <v>185</v>
      </c>
      <c r="E43" s="555">
        <v>20</v>
      </c>
      <c r="F43" s="555">
        <v>2011</v>
      </c>
      <c r="G43" s="556">
        <v>52.14</v>
      </c>
      <c r="H43" s="556">
        <v>51.18</v>
      </c>
      <c r="I43" s="556">
        <v>52.734999999999999</v>
      </c>
      <c r="J43" s="556">
        <v>51.1</v>
      </c>
    </row>
    <row r="44" spans="2:10" ht="16.5" thickBot="1" x14ac:dyDescent="0.3">
      <c r="B44" s="544">
        <v>40874</v>
      </c>
      <c r="C44" s="361">
        <v>11</v>
      </c>
      <c r="D44" s="555" t="s">
        <v>185</v>
      </c>
      <c r="E44" s="555">
        <v>27</v>
      </c>
      <c r="F44" s="555">
        <v>2011</v>
      </c>
      <c r="G44" s="556">
        <v>51.11</v>
      </c>
      <c r="H44" s="556">
        <v>52.13</v>
      </c>
      <c r="I44" s="556">
        <v>52.435000000000002</v>
      </c>
      <c r="J44" s="556">
        <v>51.11</v>
      </c>
    </row>
    <row r="45" spans="2:10" ht="16.5" thickBot="1" x14ac:dyDescent="0.3">
      <c r="B45" s="544">
        <v>40881</v>
      </c>
      <c r="C45" s="361">
        <v>12</v>
      </c>
      <c r="D45" s="555" t="s">
        <v>184</v>
      </c>
      <c r="E45" s="555">
        <v>4</v>
      </c>
      <c r="F45" s="555">
        <v>2011</v>
      </c>
      <c r="G45" s="556">
        <v>51.875</v>
      </c>
      <c r="H45" s="556">
        <v>51.064999999999998</v>
      </c>
      <c r="I45" s="556">
        <v>52.354999999999997</v>
      </c>
      <c r="J45" s="556">
        <v>50.945</v>
      </c>
    </row>
    <row r="46" spans="2:10" ht="16.5" thickBot="1" x14ac:dyDescent="0.3">
      <c r="B46" s="544">
        <v>40888</v>
      </c>
      <c r="C46" s="361">
        <v>12</v>
      </c>
      <c r="D46" s="555" t="s">
        <v>184</v>
      </c>
      <c r="E46" s="555">
        <v>11</v>
      </c>
      <c r="F46" s="555">
        <v>2011</v>
      </c>
      <c r="G46" s="556">
        <v>52.5</v>
      </c>
      <c r="H46" s="556">
        <v>52.18</v>
      </c>
      <c r="I46" s="556">
        <v>54.33</v>
      </c>
      <c r="J46" s="556">
        <v>52.13</v>
      </c>
    </row>
    <row r="47" spans="2:10" ht="16.5" thickBot="1" x14ac:dyDescent="0.3">
      <c r="B47" s="544">
        <v>40895</v>
      </c>
      <c r="C47" s="361">
        <v>12</v>
      </c>
      <c r="D47" s="555" t="s">
        <v>184</v>
      </c>
      <c r="E47" s="555">
        <v>18</v>
      </c>
      <c r="F47" s="555">
        <v>2011</v>
      </c>
      <c r="G47" s="556">
        <v>52.79</v>
      </c>
      <c r="H47" s="556">
        <v>52.48</v>
      </c>
      <c r="I47" s="556">
        <v>53.25</v>
      </c>
      <c r="J47" s="556">
        <v>52.4</v>
      </c>
    </row>
    <row r="48" spans="2:10" ht="16.5" thickBot="1" x14ac:dyDescent="0.3">
      <c r="B48" s="544">
        <v>40902</v>
      </c>
      <c r="C48" s="361">
        <v>12</v>
      </c>
      <c r="D48" s="555" t="s">
        <v>184</v>
      </c>
      <c r="E48" s="555">
        <v>25</v>
      </c>
      <c r="F48" s="555">
        <v>2011</v>
      </c>
      <c r="G48" s="556">
        <v>53.015000000000001</v>
      </c>
      <c r="H48" s="556">
        <v>52.774999999999999</v>
      </c>
      <c r="I48" s="556">
        <v>53.494999999999997</v>
      </c>
      <c r="J48" s="556">
        <v>52.664999999999999</v>
      </c>
    </row>
    <row r="49" spans="2:10" ht="16.5" thickBot="1" x14ac:dyDescent="0.3">
      <c r="B49" s="544">
        <v>40909</v>
      </c>
      <c r="C49" s="361">
        <v>1</v>
      </c>
      <c r="D49" s="555" t="s">
        <v>183</v>
      </c>
      <c r="E49" s="555">
        <v>1</v>
      </c>
      <c r="F49" s="555">
        <v>2012</v>
      </c>
      <c r="G49" s="556">
        <v>52.68</v>
      </c>
      <c r="H49" s="556">
        <v>53.265000000000001</v>
      </c>
      <c r="I49" s="556">
        <v>53.35</v>
      </c>
      <c r="J49" s="556">
        <v>52.615000000000002</v>
      </c>
    </row>
    <row r="50" spans="2:10" ht="16.5" thickBot="1" x14ac:dyDescent="0.3">
      <c r="B50" s="544">
        <v>40916</v>
      </c>
      <c r="C50" s="361">
        <v>1</v>
      </c>
      <c r="D50" s="555" t="s">
        <v>183</v>
      </c>
      <c r="E50" s="555">
        <v>8</v>
      </c>
      <c r="F50" s="555">
        <v>2012</v>
      </c>
      <c r="G50" s="556">
        <v>51.44</v>
      </c>
      <c r="H50" s="556">
        <v>52.682000000000002</v>
      </c>
      <c r="I50" s="556">
        <v>52.884999999999998</v>
      </c>
      <c r="J50" s="556">
        <v>51.31</v>
      </c>
    </row>
    <row r="51" spans="2:10" ht="16.5" thickBot="1" x14ac:dyDescent="0.3">
      <c r="B51" s="544">
        <v>40923</v>
      </c>
      <c r="C51" s="361">
        <v>1</v>
      </c>
      <c r="D51" s="555" t="s">
        <v>183</v>
      </c>
      <c r="E51" s="555">
        <v>15</v>
      </c>
      <c r="F51" s="555">
        <v>2012</v>
      </c>
      <c r="G51" s="556">
        <v>50.23</v>
      </c>
      <c r="H51" s="556">
        <v>51.442</v>
      </c>
      <c r="I51" s="556">
        <v>51.805</v>
      </c>
      <c r="J51" s="556">
        <v>50.08</v>
      </c>
    </row>
    <row r="52" spans="2:10" ht="16.5" thickBot="1" x14ac:dyDescent="0.3">
      <c r="B52" s="544">
        <v>40930</v>
      </c>
      <c r="C52" s="361">
        <v>1</v>
      </c>
      <c r="D52" s="555" t="s">
        <v>183</v>
      </c>
      <c r="E52" s="555">
        <v>22</v>
      </c>
      <c r="F52" s="555">
        <v>2012</v>
      </c>
      <c r="G52" s="556">
        <v>49.395000000000003</v>
      </c>
      <c r="H52" s="556">
        <v>50.414999999999999</v>
      </c>
      <c r="I52" s="556">
        <v>50.414999999999999</v>
      </c>
      <c r="J52" s="556">
        <v>49.305</v>
      </c>
    </row>
    <row r="53" spans="2:10" ht="16.5" thickBot="1" x14ac:dyDescent="0.3">
      <c r="B53" s="544">
        <v>40937</v>
      </c>
      <c r="C53" s="361">
        <v>1</v>
      </c>
      <c r="D53" s="555" t="s">
        <v>183</v>
      </c>
      <c r="E53" s="555">
        <v>29</v>
      </c>
      <c r="F53" s="555">
        <v>2012</v>
      </c>
      <c r="G53" s="556">
        <v>48.61</v>
      </c>
      <c r="H53" s="556">
        <v>49.36</v>
      </c>
      <c r="I53" s="556">
        <v>49.814999999999998</v>
      </c>
      <c r="J53" s="556">
        <v>48.61</v>
      </c>
    </row>
    <row r="54" spans="2:10" ht="16.5" thickBot="1" x14ac:dyDescent="0.3">
      <c r="B54" s="544">
        <v>40944</v>
      </c>
      <c r="C54" s="361">
        <v>2</v>
      </c>
      <c r="D54" s="555" t="s">
        <v>182</v>
      </c>
      <c r="E54" s="555">
        <v>5</v>
      </c>
      <c r="F54" s="555">
        <v>2012</v>
      </c>
      <c r="G54" s="556">
        <v>49.36</v>
      </c>
      <c r="H54" s="556">
        <v>48.61</v>
      </c>
      <c r="I54" s="556">
        <v>49.77</v>
      </c>
      <c r="J54" s="556">
        <v>48.61</v>
      </c>
    </row>
    <row r="55" spans="2:10" ht="16.5" thickBot="1" x14ac:dyDescent="0.3">
      <c r="B55" s="544">
        <v>40951</v>
      </c>
      <c r="C55" s="361">
        <v>2</v>
      </c>
      <c r="D55" s="555" t="s">
        <v>182</v>
      </c>
      <c r="E55" s="555">
        <v>12</v>
      </c>
      <c r="F55" s="555">
        <v>2012</v>
      </c>
      <c r="G55" s="556">
        <v>49.325000000000003</v>
      </c>
      <c r="H55" s="556">
        <v>49.365000000000002</v>
      </c>
      <c r="I55" s="556">
        <v>49.555</v>
      </c>
      <c r="J55" s="556">
        <v>49.104999999999997</v>
      </c>
    </row>
    <row r="56" spans="2:10" ht="16.5" thickBot="1" x14ac:dyDescent="0.3">
      <c r="B56" s="544">
        <v>40958</v>
      </c>
      <c r="C56" s="361">
        <v>2</v>
      </c>
      <c r="D56" s="555" t="s">
        <v>182</v>
      </c>
      <c r="E56" s="555">
        <v>19</v>
      </c>
      <c r="F56" s="555">
        <v>2012</v>
      </c>
      <c r="G56" s="556">
        <v>49.015000000000001</v>
      </c>
      <c r="H56" s="556">
        <v>49.335000000000001</v>
      </c>
      <c r="I56" s="556">
        <v>49.335000000000001</v>
      </c>
      <c r="J56" s="556">
        <v>48.94</v>
      </c>
    </row>
    <row r="57" spans="2:10" ht="16.5" thickBot="1" x14ac:dyDescent="0.3">
      <c r="B57" s="544">
        <v>40965</v>
      </c>
      <c r="C57" s="361">
        <v>2</v>
      </c>
      <c r="D57" s="555" t="s">
        <v>182</v>
      </c>
      <c r="E57" s="555">
        <v>26</v>
      </c>
      <c r="F57" s="555">
        <v>2012</v>
      </c>
      <c r="G57" s="556">
        <v>49.524999999999999</v>
      </c>
      <c r="H57" s="556">
        <v>49.015000000000001</v>
      </c>
      <c r="I57" s="556">
        <v>49.604999999999997</v>
      </c>
      <c r="J57" s="556">
        <v>48.835000000000001</v>
      </c>
    </row>
    <row r="58" spans="2:10" ht="16.5" thickBot="1" x14ac:dyDescent="0.3">
      <c r="B58" s="544">
        <v>40972</v>
      </c>
      <c r="C58" s="361">
        <v>3</v>
      </c>
      <c r="D58" s="555" t="s">
        <v>181</v>
      </c>
      <c r="E58" s="555">
        <v>4</v>
      </c>
      <c r="F58" s="555">
        <v>2012</v>
      </c>
      <c r="G58" s="556">
        <v>49.76</v>
      </c>
      <c r="H58" s="556">
        <v>49.521999999999998</v>
      </c>
      <c r="I58" s="556">
        <v>50.762999999999998</v>
      </c>
      <c r="J58" s="556">
        <v>49.48</v>
      </c>
    </row>
    <row r="59" spans="2:10" ht="16.5" thickBot="1" x14ac:dyDescent="0.3">
      <c r="B59" s="544">
        <v>40979</v>
      </c>
      <c r="C59" s="361">
        <v>3</v>
      </c>
      <c r="D59" s="555" t="s">
        <v>181</v>
      </c>
      <c r="E59" s="555">
        <v>11</v>
      </c>
      <c r="F59" s="555">
        <v>2012</v>
      </c>
      <c r="G59" s="556">
        <v>50.14</v>
      </c>
      <c r="H59" s="556">
        <v>49.725000000000001</v>
      </c>
      <c r="I59" s="556">
        <v>50.5</v>
      </c>
      <c r="J59" s="556">
        <v>49.725000000000001</v>
      </c>
    </row>
    <row r="60" spans="2:10" ht="16.5" thickBot="1" x14ac:dyDescent="0.3">
      <c r="B60" s="544">
        <v>40986</v>
      </c>
      <c r="C60" s="361">
        <v>3</v>
      </c>
      <c r="D60" s="555" t="s">
        <v>181</v>
      </c>
      <c r="E60" s="555">
        <v>18</v>
      </c>
      <c r="F60" s="555">
        <v>2012</v>
      </c>
      <c r="G60" s="556">
        <v>51.174999999999997</v>
      </c>
      <c r="H60" s="556">
        <v>50.174999999999997</v>
      </c>
      <c r="I60" s="556">
        <v>51.295000000000002</v>
      </c>
      <c r="J60" s="556">
        <v>50.072000000000003</v>
      </c>
    </row>
    <row r="61" spans="2:10" ht="16.5" thickBot="1" x14ac:dyDescent="0.3">
      <c r="B61" s="544">
        <v>40993</v>
      </c>
      <c r="C61" s="361">
        <v>3</v>
      </c>
      <c r="D61" s="555" t="s">
        <v>181</v>
      </c>
      <c r="E61" s="555">
        <v>25</v>
      </c>
      <c r="F61" s="555">
        <v>2012</v>
      </c>
      <c r="G61" s="556">
        <v>50.875</v>
      </c>
      <c r="H61" s="556">
        <v>51.174999999999997</v>
      </c>
      <c r="I61" s="556">
        <v>51.49</v>
      </c>
      <c r="J61" s="556">
        <v>50.564999999999998</v>
      </c>
    </row>
    <row r="62" spans="2:10" ht="16.5" thickBot="1" x14ac:dyDescent="0.3">
      <c r="B62" s="544">
        <v>41000</v>
      </c>
      <c r="C62" s="361">
        <v>4</v>
      </c>
      <c r="D62" s="555" t="s">
        <v>261</v>
      </c>
      <c r="E62" s="555">
        <v>1</v>
      </c>
      <c r="F62" s="555">
        <v>2012</v>
      </c>
      <c r="G62" s="556">
        <v>51.115000000000002</v>
      </c>
      <c r="H62" s="556">
        <v>50.844999999999999</v>
      </c>
      <c r="I62" s="556">
        <v>51.234999999999999</v>
      </c>
      <c r="J62" s="556">
        <v>50.514000000000003</v>
      </c>
    </row>
    <row r="63" spans="2:10" ht="16.5" thickBot="1" x14ac:dyDescent="0.3">
      <c r="B63" s="544">
        <v>41007</v>
      </c>
      <c r="C63" s="361">
        <v>4</v>
      </c>
      <c r="D63" s="555" t="s">
        <v>261</v>
      </c>
      <c r="E63" s="555">
        <v>8</v>
      </c>
      <c r="F63" s="555">
        <v>2012</v>
      </c>
      <c r="G63" s="556">
        <v>51.55</v>
      </c>
      <c r="H63" s="556">
        <v>51.15</v>
      </c>
      <c r="I63" s="556">
        <v>51.65</v>
      </c>
      <c r="J63" s="556">
        <v>51.03</v>
      </c>
    </row>
    <row r="64" spans="2:10" ht="16.5" thickBot="1" x14ac:dyDescent="0.3">
      <c r="B64" s="544">
        <v>41014</v>
      </c>
      <c r="C64" s="361">
        <v>4</v>
      </c>
      <c r="D64" s="555" t="s">
        <v>261</v>
      </c>
      <c r="E64" s="555">
        <v>15</v>
      </c>
      <c r="F64" s="555">
        <v>2012</v>
      </c>
      <c r="G64" s="556">
        <v>52.075000000000003</v>
      </c>
      <c r="H64" s="556">
        <v>51.53</v>
      </c>
      <c r="I64" s="556">
        <v>52.204999999999998</v>
      </c>
      <c r="J64" s="556">
        <v>51.335000000000001</v>
      </c>
    </row>
    <row r="65" spans="2:10" ht="16.5" thickBot="1" x14ac:dyDescent="0.3">
      <c r="B65" s="544">
        <v>41021</v>
      </c>
      <c r="C65" s="361">
        <v>4</v>
      </c>
      <c r="D65" s="555" t="s">
        <v>261</v>
      </c>
      <c r="E65" s="555">
        <v>22</v>
      </c>
      <c r="F65" s="555">
        <v>2012</v>
      </c>
      <c r="G65" s="556">
        <v>52.545000000000002</v>
      </c>
      <c r="H65" s="556">
        <v>52.09</v>
      </c>
      <c r="I65" s="556">
        <v>52.87</v>
      </c>
      <c r="J65" s="556">
        <v>51.945</v>
      </c>
    </row>
    <row r="66" spans="2:10" ht="16.5" thickBot="1" x14ac:dyDescent="0.3">
      <c r="B66" s="544">
        <v>41028</v>
      </c>
      <c r="C66" s="361">
        <v>4</v>
      </c>
      <c r="D66" s="555" t="s">
        <v>261</v>
      </c>
      <c r="E66" s="555">
        <v>29</v>
      </c>
      <c r="F66" s="555">
        <v>2012</v>
      </c>
      <c r="G66" s="556">
        <v>53.475000000000001</v>
      </c>
      <c r="H66" s="556">
        <v>52.515000000000001</v>
      </c>
      <c r="I66" s="556">
        <v>53.924999999999997</v>
      </c>
      <c r="J66" s="556">
        <v>52.395000000000003</v>
      </c>
    </row>
    <row r="67" spans="2:10" ht="16.5" thickBot="1" x14ac:dyDescent="0.3">
      <c r="B67" s="544">
        <v>41035</v>
      </c>
      <c r="C67" s="361">
        <v>5</v>
      </c>
      <c r="D67" s="555" t="s">
        <v>191</v>
      </c>
      <c r="E67" s="555">
        <v>6</v>
      </c>
      <c r="F67" s="555">
        <v>2012</v>
      </c>
      <c r="G67" s="556">
        <v>53.634999999999998</v>
      </c>
      <c r="H67" s="556">
        <v>53.414999999999999</v>
      </c>
      <c r="I67" s="556">
        <v>53.914999999999999</v>
      </c>
      <c r="J67" s="556">
        <v>52.674999999999997</v>
      </c>
    </row>
    <row r="68" spans="2:10" ht="16.5" thickBot="1" x14ac:dyDescent="0.3">
      <c r="B68" s="544">
        <v>41042</v>
      </c>
      <c r="C68" s="361">
        <v>5</v>
      </c>
      <c r="D68" s="555" t="s">
        <v>191</v>
      </c>
      <c r="E68" s="555">
        <v>13</v>
      </c>
      <c r="F68" s="555">
        <v>2012</v>
      </c>
      <c r="G68" s="556">
        <v>54.424999999999997</v>
      </c>
      <c r="H68" s="556">
        <v>53.664999999999999</v>
      </c>
      <c r="I68" s="556">
        <v>54.914999999999999</v>
      </c>
      <c r="J68" s="556">
        <v>53.534999999999997</v>
      </c>
    </row>
    <row r="69" spans="2:10" ht="16.5" thickBot="1" x14ac:dyDescent="0.3">
      <c r="B69" s="544">
        <v>41049</v>
      </c>
      <c r="C69" s="361">
        <v>5</v>
      </c>
      <c r="D69" s="555" t="s">
        <v>191</v>
      </c>
      <c r="E69" s="555">
        <v>20</v>
      </c>
      <c r="F69" s="555">
        <v>2012</v>
      </c>
      <c r="G69" s="556">
        <v>55.375</v>
      </c>
      <c r="H69" s="556">
        <v>54.46</v>
      </c>
      <c r="I69" s="556">
        <v>56.392000000000003</v>
      </c>
      <c r="J69" s="556">
        <v>54.44</v>
      </c>
    </row>
    <row r="70" spans="2:10" ht="16.5" thickBot="1" x14ac:dyDescent="0.3">
      <c r="B70" s="544">
        <v>41056</v>
      </c>
      <c r="C70" s="361">
        <v>5</v>
      </c>
      <c r="D70" s="555" t="s">
        <v>191</v>
      </c>
      <c r="E70" s="555">
        <v>27</v>
      </c>
      <c r="F70" s="555">
        <v>2012</v>
      </c>
      <c r="G70" s="556">
        <v>55.545000000000002</v>
      </c>
      <c r="H70" s="556">
        <v>55.3</v>
      </c>
      <c r="I70" s="556">
        <v>56.53</v>
      </c>
      <c r="J70" s="556">
        <v>55.02</v>
      </c>
    </row>
    <row r="71" spans="2:10" ht="16.5" thickBot="1" x14ac:dyDescent="0.3">
      <c r="B71" s="544">
        <v>41063</v>
      </c>
      <c r="C71" s="361">
        <v>6</v>
      </c>
      <c r="D71" s="555" t="s">
        <v>555</v>
      </c>
      <c r="E71" s="555">
        <v>3</v>
      </c>
      <c r="F71" s="555">
        <v>2012</v>
      </c>
      <c r="G71" s="556">
        <v>55.424999999999997</v>
      </c>
      <c r="H71" s="556">
        <v>55.51</v>
      </c>
      <c r="I71" s="556">
        <v>55.92</v>
      </c>
      <c r="J71" s="556">
        <v>54.83</v>
      </c>
    </row>
    <row r="72" spans="2:10" ht="16.5" thickBot="1" x14ac:dyDescent="0.3">
      <c r="B72" s="544">
        <v>41070</v>
      </c>
      <c r="C72" s="361">
        <v>6</v>
      </c>
      <c r="D72" s="555" t="s">
        <v>555</v>
      </c>
      <c r="E72" s="555">
        <v>10</v>
      </c>
      <c r="F72" s="555">
        <v>2012</v>
      </c>
      <c r="G72" s="556">
        <v>55.395000000000003</v>
      </c>
      <c r="H72" s="556">
        <v>55.13</v>
      </c>
      <c r="I72" s="556">
        <v>56.08</v>
      </c>
      <c r="J72" s="556">
        <v>55.02</v>
      </c>
    </row>
    <row r="73" spans="2:10" ht="16.5" thickBot="1" x14ac:dyDescent="0.3">
      <c r="B73" s="544">
        <v>41077</v>
      </c>
      <c r="C73" s="361">
        <v>6</v>
      </c>
      <c r="D73" s="555" t="s">
        <v>555</v>
      </c>
      <c r="E73" s="555">
        <v>17</v>
      </c>
      <c r="F73" s="555">
        <v>2012</v>
      </c>
      <c r="G73" s="556">
        <v>57.125</v>
      </c>
      <c r="H73" s="556">
        <v>55.325000000000003</v>
      </c>
      <c r="I73" s="556">
        <v>57.33</v>
      </c>
      <c r="J73" s="556">
        <v>55.265000000000001</v>
      </c>
    </row>
    <row r="74" spans="2:10" ht="16.5" thickBot="1" x14ac:dyDescent="0.3">
      <c r="B74" s="544">
        <v>41084</v>
      </c>
      <c r="C74" s="361">
        <v>6</v>
      </c>
      <c r="D74" s="555" t="s">
        <v>555</v>
      </c>
      <c r="E74" s="555">
        <v>24</v>
      </c>
      <c r="F74" s="555">
        <v>2012</v>
      </c>
      <c r="G74" s="556">
        <v>55.51</v>
      </c>
      <c r="H74" s="556">
        <v>56.73</v>
      </c>
      <c r="I74" s="556">
        <v>57.25</v>
      </c>
      <c r="J74" s="556">
        <v>55.51</v>
      </c>
    </row>
    <row r="75" spans="2:10" ht="16.5" thickBot="1" x14ac:dyDescent="0.3">
      <c r="B75" s="544">
        <v>41091</v>
      </c>
      <c r="C75" s="361">
        <v>7</v>
      </c>
      <c r="D75" s="555" t="s">
        <v>556</v>
      </c>
      <c r="E75" s="555">
        <v>1</v>
      </c>
      <c r="F75" s="555">
        <v>2012</v>
      </c>
      <c r="G75" s="556">
        <v>55.41</v>
      </c>
      <c r="H75" s="556">
        <v>55.49</v>
      </c>
      <c r="I75" s="556">
        <v>55.92</v>
      </c>
      <c r="J75" s="556">
        <v>54.18</v>
      </c>
    </row>
    <row r="76" spans="2:10" ht="16.5" thickBot="1" x14ac:dyDescent="0.3">
      <c r="B76" s="544">
        <v>41098</v>
      </c>
      <c r="C76" s="361">
        <v>7</v>
      </c>
      <c r="D76" s="555" t="s">
        <v>556</v>
      </c>
      <c r="E76" s="555">
        <v>8</v>
      </c>
      <c r="F76" s="555">
        <v>2012</v>
      </c>
      <c r="G76" s="556">
        <v>55.145000000000003</v>
      </c>
      <c r="H76" s="556">
        <v>55.927999999999997</v>
      </c>
      <c r="I76" s="556">
        <v>56.075000000000003</v>
      </c>
      <c r="J76" s="556">
        <v>55.104999999999997</v>
      </c>
    </row>
    <row r="77" spans="2:10" ht="16.5" thickBot="1" x14ac:dyDescent="0.3">
      <c r="B77" s="544">
        <v>41105</v>
      </c>
      <c r="C77" s="361">
        <v>7</v>
      </c>
      <c r="D77" s="555" t="s">
        <v>556</v>
      </c>
      <c r="E77" s="555">
        <v>15</v>
      </c>
      <c r="F77" s="555">
        <v>2012</v>
      </c>
      <c r="G77" s="556">
        <v>55.325000000000003</v>
      </c>
      <c r="H77" s="556">
        <v>54.905000000000001</v>
      </c>
      <c r="I77" s="556">
        <v>55.55</v>
      </c>
      <c r="J77" s="556">
        <v>54.767000000000003</v>
      </c>
    </row>
    <row r="78" spans="2:10" ht="16.5" thickBot="1" x14ac:dyDescent="0.3">
      <c r="B78" s="544">
        <v>41112</v>
      </c>
      <c r="C78" s="361">
        <v>7</v>
      </c>
      <c r="D78" s="555" t="s">
        <v>556</v>
      </c>
      <c r="E78" s="555">
        <v>22</v>
      </c>
      <c r="F78" s="555">
        <v>2012</v>
      </c>
      <c r="G78" s="556">
        <v>55.255000000000003</v>
      </c>
      <c r="H78" s="556">
        <v>55.314999999999998</v>
      </c>
      <c r="I78" s="556">
        <v>56.445</v>
      </c>
      <c r="J78" s="556">
        <v>55.234999999999999</v>
      </c>
    </row>
    <row r="79" spans="2:10" ht="16.5" thickBot="1" x14ac:dyDescent="0.3">
      <c r="B79" s="544">
        <v>41119</v>
      </c>
      <c r="C79" s="361">
        <v>7</v>
      </c>
      <c r="D79" s="555" t="s">
        <v>556</v>
      </c>
      <c r="E79" s="555">
        <v>29</v>
      </c>
      <c r="F79" s="555">
        <v>2012</v>
      </c>
      <c r="G79" s="556">
        <v>55.755000000000003</v>
      </c>
      <c r="H79" s="556">
        <v>55.244999999999997</v>
      </c>
      <c r="I79" s="556">
        <v>56.2</v>
      </c>
      <c r="J79" s="556">
        <v>55.134999999999998</v>
      </c>
    </row>
    <row r="80" spans="2:10" ht="16.5" thickBot="1" x14ac:dyDescent="0.3">
      <c r="B80" s="544">
        <v>41126</v>
      </c>
      <c r="C80" s="361">
        <v>8</v>
      </c>
      <c r="D80" s="555" t="s">
        <v>188</v>
      </c>
      <c r="E80" s="555">
        <v>5</v>
      </c>
      <c r="F80" s="555">
        <v>2012</v>
      </c>
      <c r="G80" s="556">
        <v>55.284999999999997</v>
      </c>
      <c r="H80" s="556">
        <v>55.484999999999999</v>
      </c>
      <c r="I80" s="556">
        <v>55.655000000000001</v>
      </c>
      <c r="J80" s="556">
        <v>54.96</v>
      </c>
    </row>
    <row r="81" spans="2:10" ht="16.5" thickBot="1" x14ac:dyDescent="0.3">
      <c r="B81" s="544">
        <v>41133</v>
      </c>
      <c r="C81" s="361">
        <v>8</v>
      </c>
      <c r="D81" s="555" t="s">
        <v>188</v>
      </c>
      <c r="E81" s="555">
        <v>12</v>
      </c>
      <c r="F81" s="555">
        <v>2012</v>
      </c>
      <c r="G81" s="556">
        <v>55.734999999999999</v>
      </c>
      <c r="H81" s="556">
        <v>55.341000000000001</v>
      </c>
      <c r="I81" s="556">
        <v>56.04</v>
      </c>
      <c r="J81" s="556">
        <v>55.188000000000002</v>
      </c>
    </row>
    <row r="82" spans="2:10" ht="16.5" thickBot="1" x14ac:dyDescent="0.3">
      <c r="B82" s="544">
        <v>41140</v>
      </c>
      <c r="C82" s="361">
        <v>8</v>
      </c>
      <c r="D82" s="555" t="s">
        <v>188</v>
      </c>
      <c r="E82" s="555">
        <v>19</v>
      </c>
      <c r="F82" s="555">
        <v>2012</v>
      </c>
      <c r="G82" s="556">
        <v>55.505000000000003</v>
      </c>
      <c r="H82" s="556">
        <v>55.664999999999999</v>
      </c>
      <c r="I82" s="556">
        <v>55.685000000000002</v>
      </c>
      <c r="J82" s="556">
        <v>55.13</v>
      </c>
    </row>
    <row r="83" spans="2:10" ht="16.5" thickBot="1" x14ac:dyDescent="0.3">
      <c r="B83" s="544">
        <v>41147</v>
      </c>
      <c r="C83" s="361">
        <v>8</v>
      </c>
      <c r="D83" s="555" t="s">
        <v>188</v>
      </c>
      <c r="E83" s="555">
        <v>26</v>
      </c>
      <c r="F83" s="555">
        <v>2012</v>
      </c>
      <c r="G83" s="556">
        <v>55.524999999999999</v>
      </c>
      <c r="H83" s="556">
        <v>55.42</v>
      </c>
      <c r="I83" s="556">
        <v>55.884999999999998</v>
      </c>
      <c r="J83" s="556">
        <v>55.344999999999999</v>
      </c>
    </row>
    <row r="84" spans="2:10" ht="16.5" thickBot="1" x14ac:dyDescent="0.3">
      <c r="B84" s="544">
        <v>41154</v>
      </c>
      <c r="C84" s="16">
        <v>9</v>
      </c>
      <c r="D84" s="555" t="s">
        <v>187</v>
      </c>
      <c r="E84" s="555">
        <v>2</v>
      </c>
      <c r="F84" s="555">
        <v>2012</v>
      </c>
      <c r="G84" s="556">
        <v>55.365000000000002</v>
      </c>
      <c r="H84" s="556">
        <v>55.527999999999999</v>
      </c>
      <c r="I84" s="556">
        <v>56.03</v>
      </c>
      <c r="J84" s="556">
        <v>55.274999999999999</v>
      </c>
    </row>
    <row r="85" spans="2:10" ht="16.5" thickBot="1" x14ac:dyDescent="0.3">
      <c r="B85" s="544">
        <v>41161</v>
      </c>
      <c r="C85" s="16">
        <v>9</v>
      </c>
      <c r="D85" s="555" t="s">
        <v>187</v>
      </c>
      <c r="E85" s="555">
        <v>9</v>
      </c>
      <c r="F85" s="555">
        <v>2012</v>
      </c>
      <c r="G85" s="556">
        <v>54.305</v>
      </c>
      <c r="H85" s="556">
        <v>55.305</v>
      </c>
      <c r="I85" s="556">
        <v>55.545000000000002</v>
      </c>
      <c r="J85" s="556">
        <v>54.295000000000002</v>
      </c>
    </row>
    <row r="86" spans="2:10" ht="16.5" thickBot="1" x14ac:dyDescent="0.3">
      <c r="B86" s="544">
        <v>41168</v>
      </c>
      <c r="C86" s="16">
        <v>9</v>
      </c>
      <c r="D86" s="555" t="s">
        <v>187</v>
      </c>
      <c r="E86" s="555">
        <v>16</v>
      </c>
      <c r="F86" s="555">
        <v>2012</v>
      </c>
      <c r="G86" s="556">
        <v>53.365000000000002</v>
      </c>
      <c r="H86" s="556">
        <v>53.765000000000001</v>
      </c>
      <c r="I86" s="556">
        <v>54.42</v>
      </c>
      <c r="J86" s="556">
        <v>53.33</v>
      </c>
    </row>
    <row r="87" spans="2:10" ht="16.5" thickBot="1" x14ac:dyDescent="0.3">
      <c r="B87" s="544">
        <v>41175</v>
      </c>
      <c r="C87" s="16">
        <v>9</v>
      </c>
      <c r="D87" s="555" t="s">
        <v>187</v>
      </c>
      <c r="E87" s="555">
        <v>23</v>
      </c>
      <c r="F87" s="555">
        <v>2012</v>
      </c>
      <c r="G87" s="556">
        <v>52.854999999999997</v>
      </c>
      <c r="H87" s="556">
        <v>53.41</v>
      </c>
      <c r="I87" s="556">
        <v>53.634999999999998</v>
      </c>
      <c r="J87" s="556">
        <v>52.505000000000003</v>
      </c>
    </row>
    <row r="88" spans="2:10" ht="16.5" thickBot="1" x14ac:dyDescent="0.3">
      <c r="B88" s="544">
        <v>41182</v>
      </c>
      <c r="C88" s="16">
        <v>9</v>
      </c>
      <c r="D88" s="555" t="s">
        <v>187</v>
      </c>
      <c r="E88" s="555">
        <v>30</v>
      </c>
      <c r="F88" s="555">
        <v>2012</v>
      </c>
      <c r="G88" s="556">
        <v>51.914999999999999</v>
      </c>
      <c r="H88" s="556">
        <v>52.835000000000001</v>
      </c>
      <c r="I88" s="556">
        <v>53.015000000000001</v>
      </c>
      <c r="J88" s="556">
        <v>51.365000000000002</v>
      </c>
    </row>
    <row r="89" spans="2:10" ht="16.5" thickBot="1" x14ac:dyDescent="0.3">
      <c r="B89" s="544">
        <v>41189</v>
      </c>
      <c r="C89" s="16">
        <v>10</v>
      </c>
      <c r="D89" s="555" t="s">
        <v>186</v>
      </c>
      <c r="E89" s="555">
        <v>7</v>
      </c>
      <c r="F89" s="555">
        <v>2012</v>
      </c>
      <c r="G89" s="556">
        <v>52.81</v>
      </c>
      <c r="H89" s="556">
        <v>51.884999999999998</v>
      </c>
      <c r="I89" s="556">
        <v>53.185000000000002</v>
      </c>
      <c r="J89" s="556">
        <v>51.744999999999997</v>
      </c>
    </row>
    <row r="90" spans="2:10" ht="16.5" thickBot="1" x14ac:dyDescent="0.3">
      <c r="B90" s="544">
        <v>41196</v>
      </c>
      <c r="C90" s="16">
        <v>10</v>
      </c>
      <c r="D90" s="555" t="s">
        <v>186</v>
      </c>
      <c r="E90" s="555">
        <v>14</v>
      </c>
      <c r="F90" s="555">
        <v>2012</v>
      </c>
      <c r="G90" s="556">
        <v>53.844999999999999</v>
      </c>
      <c r="H90" s="556">
        <v>52.91</v>
      </c>
      <c r="I90" s="556">
        <v>53.994999999999997</v>
      </c>
      <c r="J90" s="556">
        <v>52.674999999999997</v>
      </c>
    </row>
    <row r="91" spans="2:10" ht="16.5" thickBot="1" x14ac:dyDescent="0.3">
      <c r="B91" s="544">
        <v>41203</v>
      </c>
      <c r="C91" s="16">
        <v>10</v>
      </c>
      <c r="D91" s="555" t="s">
        <v>186</v>
      </c>
      <c r="E91" s="555">
        <v>21</v>
      </c>
      <c r="F91" s="555">
        <v>2012</v>
      </c>
      <c r="G91" s="556">
        <v>53.555</v>
      </c>
      <c r="H91" s="556">
        <v>53.825000000000003</v>
      </c>
      <c r="I91" s="556">
        <v>53.895000000000003</v>
      </c>
      <c r="J91" s="556">
        <v>53.34</v>
      </c>
    </row>
    <row r="92" spans="2:10" ht="16.5" thickBot="1" x14ac:dyDescent="0.3">
      <c r="B92" s="544">
        <v>41210</v>
      </c>
      <c r="C92" s="16">
        <v>10</v>
      </c>
      <c r="D92" s="555" t="s">
        <v>186</v>
      </c>
      <c r="E92" s="555">
        <v>28</v>
      </c>
      <c r="F92" s="555">
        <v>2012</v>
      </c>
      <c r="G92" s="556">
        <v>53.814999999999998</v>
      </c>
      <c r="H92" s="556">
        <v>53.854999999999997</v>
      </c>
      <c r="I92" s="556">
        <v>54.209000000000003</v>
      </c>
      <c r="J92" s="556">
        <v>53.601999999999997</v>
      </c>
    </row>
    <row r="93" spans="2:10" ht="16.5" thickBot="1" x14ac:dyDescent="0.3">
      <c r="B93" s="544">
        <v>41217</v>
      </c>
      <c r="C93" s="361">
        <v>11</v>
      </c>
      <c r="D93" s="555" t="s">
        <v>185</v>
      </c>
      <c r="E93" s="555">
        <v>4</v>
      </c>
      <c r="F93" s="555">
        <v>2012</v>
      </c>
      <c r="G93" s="556">
        <v>54.594999999999999</v>
      </c>
      <c r="H93" s="556">
        <v>53.884999999999998</v>
      </c>
      <c r="I93" s="556">
        <v>54.808</v>
      </c>
      <c r="J93" s="556">
        <v>53.765000000000001</v>
      </c>
    </row>
    <row r="94" spans="2:10" ht="16.5" thickBot="1" x14ac:dyDescent="0.3">
      <c r="B94" s="544">
        <v>41224</v>
      </c>
      <c r="C94" s="361">
        <v>11</v>
      </c>
      <c r="D94" s="555" t="s">
        <v>185</v>
      </c>
      <c r="E94" s="555">
        <v>11</v>
      </c>
      <c r="F94" s="555">
        <v>2012</v>
      </c>
      <c r="G94" s="556">
        <v>55.164999999999999</v>
      </c>
      <c r="H94" s="556">
        <v>54.585000000000001</v>
      </c>
      <c r="I94" s="556">
        <v>55.195</v>
      </c>
      <c r="J94" s="556">
        <v>54.585000000000001</v>
      </c>
    </row>
    <row r="95" spans="2:10" ht="16.5" thickBot="1" x14ac:dyDescent="0.3">
      <c r="B95" s="544">
        <v>41231</v>
      </c>
      <c r="C95" s="361">
        <v>11</v>
      </c>
      <c r="D95" s="555" t="s">
        <v>185</v>
      </c>
      <c r="E95" s="555">
        <v>18</v>
      </c>
      <c r="F95" s="555">
        <v>2012</v>
      </c>
      <c r="G95" s="556">
        <v>55.45</v>
      </c>
      <c r="H95" s="556">
        <v>55.16</v>
      </c>
      <c r="I95" s="556">
        <v>55.61</v>
      </c>
      <c r="J95" s="556">
        <v>54.79</v>
      </c>
    </row>
    <row r="96" spans="2:10" ht="16.5" thickBot="1" x14ac:dyDescent="0.3">
      <c r="B96" s="544">
        <v>41238</v>
      </c>
      <c r="C96" s="361">
        <v>11</v>
      </c>
      <c r="D96" s="555" t="s">
        <v>185</v>
      </c>
      <c r="E96" s="555">
        <v>25</v>
      </c>
      <c r="F96" s="555">
        <v>2012</v>
      </c>
      <c r="G96" s="556">
        <v>54.265000000000001</v>
      </c>
      <c r="H96" s="556">
        <v>55.454999999999998</v>
      </c>
      <c r="I96" s="556">
        <v>55.884999999999998</v>
      </c>
      <c r="J96" s="556">
        <v>54.23</v>
      </c>
    </row>
    <row r="97" spans="2:10" ht="16.5" thickBot="1" x14ac:dyDescent="0.3">
      <c r="B97" s="544">
        <v>41245</v>
      </c>
      <c r="C97" s="361">
        <v>12</v>
      </c>
      <c r="D97" s="555" t="s">
        <v>184</v>
      </c>
      <c r="E97" s="555">
        <v>2</v>
      </c>
      <c r="F97" s="555">
        <v>2012</v>
      </c>
      <c r="G97" s="556">
        <v>54.344999999999999</v>
      </c>
      <c r="H97" s="556">
        <v>54.365000000000002</v>
      </c>
      <c r="I97" s="556">
        <v>54.975000000000001</v>
      </c>
      <c r="J97" s="556">
        <v>54.03</v>
      </c>
    </row>
    <row r="98" spans="2:10" ht="16.5" thickBot="1" x14ac:dyDescent="0.3">
      <c r="B98" s="544">
        <v>41252</v>
      </c>
      <c r="C98" s="361">
        <v>12</v>
      </c>
      <c r="D98" s="555" t="s">
        <v>184</v>
      </c>
      <c r="E98" s="555">
        <v>9</v>
      </c>
      <c r="F98" s="555">
        <v>2012</v>
      </c>
      <c r="G98" s="556">
        <v>54.445</v>
      </c>
      <c r="H98" s="556">
        <v>54.314999999999998</v>
      </c>
      <c r="I98" s="556">
        <v>54.695</v>
      </c>
      <c r="J98" s="556">
        <v>54.115000000000002</v>
      </c>
    </row>
    <row r="99" spans="2:10" ht="16.5" thickBot="1" x14ac:dyDescent="0.3">
      <c r="B99" s="544">
        <v>41259</v>
      </c>
      <c r="C99" s="361">
        <v>12</v>
      </c>
      <c r="D99" s="555" t="s">
        <v>184</v>
      </c>
      <c r="E99" s="555">
        <v>16</v>
      </c>
      <c r="F99" s="555">
        <v>2012</v>
      </c>
      <c r="G99" s="556">
        <v>55.064999999999998</v>
      </c>
      <c r="H99" s="556">
        <v>54.375</v>
      </c>
      <c r="I99" s="556">
        <v>55.284999999999997</v>
      </c>
      <c r="J99" s="556">
        <v>54.284999999999997</v>
      </c>
    </row>
    <row r="100" spans="2:10" ht="16.5" thickBot="1" x14ac:dyDescent="0.3">
      <c r="B100" s="544">
        <v>41266</v>
      </c>
      <c r="C100" s="361">
        <v>12</v>
      </c>
      <c r="D100" s="555" t="s">
        <v>184</v>
      </c>
      <c r="E100" s="555">
        <v>23</v>
      </c>
      <c r="F100" s="555">
        <v>2012</v>
      </c>
      <c r="G100" s="556">
        <v>54.76</v>
      </c>
      <c r="H100" s="556">
        <v>55.034999999999997</v>
      </c>
      <c r="I100" s="556">
        <v>55.215000000000003</v>
      </c>
      <c r="J100" s="556">
        <v>54.685000000000002</v>
      </c>
    </row>
    <row r="101" spans="2:10" ht="16.5" thickBot="1" x14ac:dyDescent="0.3">
      <c r="B101" s="544">
        <v>41273</v>
      </c>
      <c r="C101" s="361">
        <v>12</v>
      </c>
      <c r="D101" s="555" t="s">
        <v>184</v>
      </c>
      <c r="E101" s="555">
        <v>30</v>
      </c>
      <c r="F101" s="555">
        <v>2012</v>
      </c>
      <c r="G101" s="556">
        <v>54.94</v>
      </c>
      <c r="H101" s="556">
        <v>54.81</v>
      </c>
      <c r="I101" s="556">
        <v>55.185000000000002</v>
      </c>
      <c r="J101" s="556">
        <v>54.17</v>
      </c>
    </row>
    <row r="102" spans="2:10" ht="16.5" thickBot="1" x14ac:dyDescent="0.3">
      <c r="B102" s="544">
        <v>41280</v>
      </c>
      <c r="C102" s="361">
        <v>1</v>
      </c>
      <c r="D102" s="555" t="s">
        <v>183</v>
      </c>
      <c r="E102" s="555">
        <v>6</v>
      </c>
      <c r="F102" s="555">
        <v>2013</v>
      </c>
      <c r="G102" s="556">
        <v>54.875</v>
      </c>
      <c r="H102" s="556">
        <v>55.04</v>
      </c>
      <c r="I102" s="556">
        <v>55.395000000000003</v>
      </c>
      <c r="J102" s="556">
        <v>54.36</v>
      </c>
    </row>
    <row r="103" spans="2:10" ht="16.5" thickBot="1" x14ac:dyDescent="0.3">
      <c r="B103" s="544">
        <v>41287</v>
      </c>
      <c r="C103" s="361">
        <v>1</v>
      </c>
      <c r="D103" s="555" t="s">
        <v>183</v>
      </c>
      <c r="E103" s="555">
        <v>13</v>
      </c>
      <c r="F103" s="555">
        <v>2013</v>
      </c>
      <c r="G103" s="556">
        <v>53.744999999999997</v>
      </c>
      <c r="H103" s="556">
        <v>54.77</v>
      </c>
      <c r="I103" s="556">
        <v>54.9</v>
      </c>
      <c r="J103" s="556">
        <v>53.715000000000003</v>
      </c>
    </row>
    <row r="104" spans="2:10" ht="16.5" thickBot="1" x14ac:dyDescent="0.3">
      <c r="B104" s="544">
        <v>41294</v>
      </c>
      <c r="C104" s="361">
        <v>1</v>
      </c>
      <c r="D104" s="555" t="s">
        <v>183</v>
      </c>
      <c r="E104" s="555">
        <v>20</v>
      </c>
      <c r="F104" s="555">
        <v>2013</v>
      </c>
      <c r="G104" s="556">
        <v>53.8</v>
      </c>
      <c r="H104" s="556">
        <v>53.725000000000001</v>
      </c>
      <c r="I104" s="556">
        <v>53.97</v>
      </c>
      <c r="J104" s="556">
        <v>53.384999999999998</v>
      </c>
    </row>
    <row r="105" spans="2:10" ht="16.5" thickBot="1" x14ac:dyDescent="0.3">
      <c r="B105" s="544">
        <v>41301</v>
      </c>
      <c r="C105" s="361">
        <v>1</v>
      </c>
      <c r="D105" s="555" t="s">
        <v>183</v>
      </c>
      <c r="E105" s="555">
        <v>27</v>
      </c>
      <c r="F105" s="555">
        <v>2013</v>
      </c>
      <c r="G105" s="556">
        <v>53.17</v>
      </c>
      <c r="H105" s="556">
        <v>53.664999999999999</v>
      </c>
      <c r="I105" s="556">
        <v>54.055</v>
      </c>
      <c r="J105" s="556">
        <v>53.075000000000003</v>
      </c>
    </row>
    <row r="106" spans="2:10" ht="16.5" thickBot="1" x14ac:dyDescent="0.3">
      <c r="B106" s="544">
        <v>41308</v>
      </c>
      <c r="C106" s="361">
        <v>2</v>
      </c>
      <c r="D106" s="555" t="s">
        <v>182</v>
      </c>
      <c r="E106" s="555">
        <v>3</v>
      </c>
      <c r="F106" s="555">
        <v>2013</v>
      </c>
      <c r="G106" s="556">
        <v>53.594999999999999</v>
      </c>
      <c r="H106" s="556">
        <v>53.164999999999999</v>
      </c>
      <c r="I106" s="556">
        <v>53.685000000000002</v>
      </c>
      <c r="J106" s="556">
        <v>52.895000000000003</v>
      </c>
    </row>
    <row r="107" spans="2:10" ht="16.5" thickBot="1" x14ac:dyDescent="0.3">
      <c r="B107" s="544">
        <v>41315</v>
      </c>
      <c r="C107" s="361">
        <v>2</v>
      </c>
      <c r="D107" s="555" t="s">
        <v>182</v>
      </c>
      <c r="E107" s="555">
        <v>10</v>
      </c>
      <c r="F107" s="555">
        <v>2013</v>
      </c>
      <c r="G107" s="556">
        <v>54.325000000000003</v>
      </c>
      <c r="H107" s="556">
        <v>53.515000000000001</v>
      </c>
      <c r="I107" s="556">
        <v>54.354999999999997</v>
      </c>
      <c r="J107" s="556">
        <v>53.515000000000001</v>
      </c>
    </row>
    <row r="108" spans="2:10" ht="16.5" thickBot="1" x14ac:dyDescent="0.3">
      <c r="B108" s="544">
        <v>41322</v>
      </c>
      <c r="C108" s="361">
        <v>2</v>
      </c>
      <c r="D108" s="555" t="s">
        <v>182</v>
      </c>
      <c r="E108" s="555">
        <v>17</v>
      </c>
      <c r="F108" s="555">
        <v>2013</v>
      </c>
      <c r="G108" s="556">
        <v>54.28</v>
      </c>
      <c r="H108" s="556">
        <v>54.215000000000003</v>
      </c>
      <c r="I108" s="556">
        <v>54.625</v>
      </c>
      <c r="J108" s="556">
        <v>54.03</v>
      </c>
    </row>
    <row r="109" spans="2:10" ht="16.5" thickBot="1" x14ac:dyDescent="0.3">
      <c r="B109" s="544">
        <v>41329</v>
      </c>
      <c r="C109" s="361">
        <v>2</v>
      </c>
      <c r="D109" s="555" t="s">
        <v>182</v>
      </c>
      <c r="E109" s="555">
        <v>24</v>
      </c>
      <c r="F109" s="555">
        <v>2013</v>
      </c>
      <c r="G109" s="556">
        <v>54.905000000000001</v>
      </c>
      <c r="H109" s="556">
        <v>54.265000000000001</v>
      </c>
      <c r="I109" s="556">
        <v>54.945</v>
      </c>
      <c r="J109" s="556">
        <v>53.604999999999997</v>
      </c>
    </row>
    <row r="110" spans="2:10" ht="16.5" thickBot="1" x14ac:dyDescent="0.3">
      <c r="B110" s="544">
        <v>41336</v>
      </c>
      <c r="C110" s="361">
        <v>3</v>
      </c>
      <c r="D110" s="555" t="s">
        <v>181</v>
      </c>
      <c r="E110" s="555">
        <v>3</v>
      </c>
      <c r="F110" s="555">
        <v>2013</v>
      </c>
      <c r="G110" s="556">
        <v>54.35</v>
      </c>
      <c r="H110" s="556">
        <v>54.89</v>
      </c>
      <c r="I110" s="556">
        <v>55.14</v>
      </c>
      <c r="J110" s="556">
        <v>54.274999999999999</v>
      </c>
    </row>
    <row r="111" spans="2:10" ht="16.5" thickBot="1" x14ac:dyDescent="0.3">
      <c r="B111" s="544">
        <v>41343</v>
      </c>
      <c r="C111" s="361">
        <v>3</v>
      </c>
      <c r="D111" s="555" t="s">
        <v>181</v>
      </c>
      <c r="E111" s="555">
        <v>10</v>
      </c>
      <c r="F111" s="555">
        <v>2013</v>
      </c>
      <c r="G111" s="556">
        <v>54.03</v>
      </c>
      <c r="H111" s="556">
        <v>54.33</v>
      </c>
      <c r="I111" s="556">
        <v>54.530999999999999</v>
      </c>
      <c r="J111" s="556">
        <v>53.98</v>
      </c>
    </row>
    <row r="112" spans="2:10" ht="16.5" thickBot="1" x14ac:dyDescent="0.3">
      <c r="B112" s="544">
        <v>41350</v>
      </c>
      <c r="C112" s="361">
        <v>3</v>
      </c>
      <c r="D112" s="555" t="s">
        <v>181</v>
      </c>
      <c r="E112" s="555">
        <v>17</v>
      </c>
      <c r="F112" s="555">
        <v>2013</v>
      </c>
      <c r="G112" s="556">
        <v>54.35</v>
      </c>
      <c r="H112" s="556">
        <v>54.01</v>
      </c>
      <c r="I112" s="556">
        <v>54.57</v>
      </c>
      <c r="J112" s="556">
        <v>53.9</v>
      </c>
    </row>
    <row r="113" spans="2:10" ht="16.5" thickBot="1" x14ac:dyDescent="0.3">
      <c r="B113" s="544">
        <v>41357</v>
      </c>
      <c r="C113" s="361">
        <v>3</v>
      </c>
      <c r="D113" s="555" t="s">
        <v>181</v>
      </c>
      <c r="E113" s="555">
        <v>24</v>
      </c>
      <c r="F113" s="555">
        <v>2013</v>
      </c>
      <c r="G113" s="556">
        <v>54.284999999999997</v>
      </c>
      <c r="H113" s="556">
        <v>54.354999999999997</v>
      </c>
      <c r="I113" s="556">
        <v>54.515000000000001</v>
      </c>
      <c r="J113" s="556">
        <v>54.055</v>
      </c>
    </row>
    <row r="114" spans="2:10" ht="16.5" thickBot="1" x14ac:dyDescent="0.3">
      <c r="B114" s="544">
        <v>41364</v>
      </c>
      <c r="C114" s="361">
        <v>3</v>
      </c>
      <c r="D114" s="555" t="s">
        <v>181</v>
      </c>
      <c r="E114" s="555">
        <v>31</v>
      </c>
      <c r="F114" s="555">
        <v>2013</v>
      </c>
      <c r="G114" s="556">
        <v>54.81</v>
      </c>
      <c r="H114" s="556">
        <v>54.274999999999999</v>
      </c>
      <c r="I114" s="556">
        <v>54.954999999999998</v>
      </c>
      <c r="J114" s="556">
        <v>54.174999999999997</v>
      </c>
    </row>
    <row r="115" spans="2:10" ht="16.5" thickBot="1" x14ac:dyDescent="0.3">
      <c r="B115" s="544">
        <v>41371</v>
      </c>
      <c r="C115" s="361">
        <v>4</v>
      </c>
      <c r="D115" s="555" t="s">
        <v>261</v>
      </c>
      <c r="E115" s="555">
        <v>7</v>
      </c>
      <c r="F115" s="555">
        <v>2013</v>
      </c>
      <c r="G115" s="556">
        <v>54.52</v>
      </c>
      <c r="H115" s="556">
        <v>54.798000000000002</v>
      </c>
      <c r="I115" s="556">
        <v>54.85</v>
      </c>
      <c r="J115" s="556">
        <v>54.26</v>
      </c>
    </row>
    <row r="116" spans="2:10" ht="16.5" thickBot="1" x14ac:dyDescent="0.3">
      <c r="B116" s="544">
        <v>41378</v>
      </c>
      <c r="C116" s="361">
        <v>4</v>
      </c>
      <c r="D116" s="555" t="s">
        <v>261</v>
      </c>
      <c r="E116" s="555">
        <v>14</v>
      </c>
      <c r="F116" s="555">
        <v>2013</v>
      </c>
      <c r="G116" s="556">
        <v>53.94</v>
      </c>
      <c r="H116" s="556">
        <v>54.607999999999997</v>
      </c>
      <c r="I116" s="556">
        <v>54.805</v>
      </c>
      <c r="J116" s="556">
        <v>53.77</v>
      </c>
    </row>
    <row r="117" spans="2:10" ht="16.5" thickBot="1" x14ac:dyDescent="0.3">
      <c r="B117" s="544">
        <v>41385</v>
      </c>
      <c r="C117" s="361">
        <v>4</v>
      </c>
      <c r="D117" s="555" t="s">
        <v>261</v>
      </c>
      <c r="E117" s="555">
        <v>21</v>
      </c>
      <c r="F117" s="555">
        <v>2013</v>
      </c>
      <c r="G117" s="556">
        <v>54.38</v>
      </c>
      <c r="H117" s="556">
        <v>53.924999999999997</v>
      </c>
      <c r="I117" s="556">
        <v>54.445</v>
      </c>
      <c r="J117" s="556">
        <v>53.924999999999997</v>
      </c>
    </row>
    <row r="118" spans="2:10" ht="16.5" thickBot="1" x14ac:dyDescent="0.3">
      <c r="B118" s="544">
        <v>41392</v>
      </c>
      <c r="C118" s="361">
        <v>4</v>
      </c>
      <c r="D118" s="555" t="s">
        <v>261</v>
      </c>
      <c r="E118" s="555">
        <v>28</v>
      </c>
      <c r="F118" s="555">
        <v>2013</v>
      </c>
      <c r="G118" s="556">
        <v>53.81</v>
      </c>
      <c r="H118" s="556">
        <v>54.408000000000001</v>
      </c>
      <c r="I118" s="556">
        <v>54.408000000000001</v>
      </c>
      <c r="J118" s="556">
        <v>53.64</v>
      </c>
    </row>
    <row r="119" spans="2:10" ht="16.5" thickBot="1" x14ac:dyDescent="0.3">
      <c r="B119" s="544">
        <v>41399</v>
      </c>
      <c r="C119" s="361">
        <v>5</v>
      </c>
      <c r="D119" s="555" t="s">
        <v>191</v>
      </c>
      <c r="E119" s="555">
        <v>5</v>
      </c>
      <c r="F119" s="555">
        <v>2013</v>
      </c>
      <c r="G119" s="556">
        <v>54.81</v>
      </c>
      <c r="H119" s="556">
        <v>53.81</v>
      </c>
      <c r="I119" s="556">
        <v>54.9</v>
      </c>
      <c r="J119" s="556">
        <v>53.78</v>
      </c>
    </row>
    <row r="120" spans="2:10" ht="16.5" thickBot="1" x14ac:dyDescent="0.3">
      <c r="B120" s="544">
        <v>41406</v>
      </c>
      <c r="C120" s="361">
        <v>5</v>
      </c>
      <c r="D120" s="555" t="s">
        <v>191</v>
      </c>
      <c r="E120" s="555">
        <v>12</v>
      </c>
      <c r="F120" s="555">
        <v>2013</v>
      </c>
      <c r="G120" s="556">
        <v>54.895000000000003</v>
      </c>
      <c r="H120" s="556">
        <v>54.912999999999997</v>
      </c>
      <c r="I120" s="556">
        <v>55.034999999999997</v>
      </c>
      <c r="J120" s="556">
        <v>54.55</v>
      </c>
    </row>
    <row r="121" spans="2:10" ht="16.5" thickBot="1" x14ac:dyDescent="0.3">
      <c r="B121" s="544">
        <v>41413</v>
      </c>
      <c r="C121" s="361">
        <v>5</v>
      </c>
      <c r="D121" s="555" t="s">
        <v>191</v>
      </c>
      <c r="E121" s="555">
        <v>19</v>
      </c>
      <c r="F121" s="555">
        <v>2013</v>
      </c>
      <c r="G121" s="556">
        <v>55.82</v>
      </c>
      <c r="H121" s="556">
        <v>55.06</v>
      </c>
      <c r="I121" s="556">
        <v>56.02</v>
      </c>
      <c r="J121" s="556">
        <v>54.95</v>
      </c>
    </row>
    <row r="122" spans="2:10" ht="16.5" thickBot="1" x14ac:dyDescent="0.3">
      <c r="B122" s="544">
        <v>41420</v>
      </c>
      <c r="C122" s="361">
        <v>5</v>
      </c>
      <c r="D122" s="555" t="s">
        <v>191</v>
      </c>
      <c r="E122" s="555">
        <v>26</v>
      </c>
      <c r="F122" s="555">
        <v>2013</v>
      </c>
      <c r="G122" s="556">
        <v>56.58</v>
      </c>
      <c r="H122" s="556">
        <v>55.76</v>
      </c>
      <c r="I122" s="556">
        <v>56.77</v>
      </c>
      <c r="J122" s="556">
        <v>55.53</v>
      </c>
    </row>
    <row r="123" spans="2:10" ht="16.5" thickBot="1" x14ac:dyDescent="0.3">
      <c r="B123" s="544">
        <v>41427</v>
      </c>
      <c r="C123" s="361">
        <v>6</v>
      </c>
      <c r="D123" s="555" t="s">
        <v>555</v>
      </c>
      <c r="E123" s="555">
        <v>2</v>
      </c>
      <c r="F123" s="555">
        <v>2013</v>
      </c>
      <c r="G123" s="556">
        <v>57.064999999999998</v>
      </c>
      <c r="H123" s="556">
        <v>56.515000000000001</v>
      </c>
      <c r="I123" s="556">
        <v>57.134999999999998</v>
      </c>
      <c r="J123" s="556">
        <v>56.314999999999998</v>
      </c>
    </row>
    <row r="124" spans="2:10" ht="16.5" thickBot="1" x14ac:dyDescent="0.3">
      <c r="B124" s="544">
        <v>41434</v>
      </c>
      <c r="C124" s="361">
        <v>6</v>
      </c>
      <c r="D124" s="555" t="s">
        <v>555</v>
      </c>
      <c r="E124" s="555">
        <v>9</v>
      </c>
      <c r="F124" s="555">
        <v>2013</v>
      </c>
      <c r="G124" s="556">
        <v>57.505000000000003</v>
      </c>
      <c r="H124" s="556">
        <v>57.265000000000001</v>
      </c>
      <c r="I124" s="556">
        <v>58.994999999999997</v>
      </c>
      <c r="J124" s="556">
        <v>57.171999999999997</v>
      </c>
    </row>
    <row r="125" spans="2:10" ht="16.5" thickBot="1" x14ac:dyDescent="0.3">
      <c r="B125" s="544">
        <v>41441</v>
      </c>
      <c r="C125" s="361">
        <v>6</v>
      </c>
      <c r="D125" s="555" t="s">
        <v>555</v>
      </c>
      <c r="E125" s="555">
        <v>16</v>
      </c>
      <c r="F125" s="555">
        <v>2013</v>
      </c>
      <c r="G125" s="556">
        <v>59.274999999999999</v>
      </c>
      <c r="H125" s="556">
        <v>57.695</v>
      </c>
      <c r="I125" s="556">
        <v>59.98</v>
      </c>
      <c r="J125" s="556">
        <v>57.555</v>
      </c>
    </row>
    <row r="126" spans="2:10" ht="16.5" thickBot="1" x14ac:dyDescent="0.3">
      <c r="B126" s="544">
        <v>41448</v>
      </c>
      <c r="C126" s="361">
        <v>6</v>
      </c>
      <c r="D126" s="555" t="s">
        <v>555</v>
      </c>
      <c r="E126" s="555">
        <v>23</v>
      </c>
      <c r="F126" s="555">
        <v>2013</v>
      </c>
      <c r="G126" s="556">
        <v>59.533000000000001</v>
      </c>
      <c r="H126" s="556">
        <v>59.594999999999999</v>
      </c>
      <c r="I126" s="556">
        <v>60.77</v>
      </c>
      <c r="J126" s="556">
        <v>59.21</v>
      </c>
    </row>
    <row r="127" spans="2:10" ht="16.5" thickBot="1" x14ac:dyDescent="0.3">
      <c r="B127" s="544">
        <v>41455</v>
      </c>
      <c r="C127" s="361">
        <v>6</v>
      </c>
      <c r="D127" s="555" t="s">
        <v>555</v>
      </c>
      <c r="E127" s="555">
        <v>30</v>
      </c>
      <c r="F127" s="555">
        <v>2013</v>
      </c>
      <c r="G127" s="556">
        <v>60.23</v>
      </c>
      <c r="H127" s="556">
        <v>59.475000000000001</v>
      </c>
      <c r="I127" s="556">
        <v>60.6</v>
      </c>
      <c r="J127" s="556">
        <v>58.970999999999997</v>
      </c>
    </row>
    <row r="128" spans="2:10" ht="16.5" thickBot="1" x14ac:dyDescent="0.3">
      <c r="B128" s="544">
        <v>41462</v>
      </c>
      <c r="C128" s="361">
        <v>7</v>
      </c>
      <c r="D128" s="555" t="s">
        <v>556</v>
      </c>
      <c r="E128" s="555">
        <v>7</v>
      </c>
      <c r="F128" s="555">
        <v>2013</v>
      </c>
      <c r="G128" s="556">
        <v>59.890999999999998</v>
      </c>
      <c r="H128" s="556">
        <v>60.93</v>
      </c>
      <c r="I128" s="556">
        <v>61.22</v>
      </c>
      <c r="J128" s="556">
        <v>59.33</v>
      </c>
    </row>
    <row r="129" spans="2:10" ht="16.5" thickBot="1" x14ac:dyDescent="0.3">
      <c r="B129" s="544">
        <v>41469</v>
      </c>
      <c r="C129" s="361">
        <v>7</v>
      </c>
      <c r="D129" s="555" t="s">
        <v>556</v>
      </c>
      <c r="E129" s="555">
        <v>14</v>
      </c>
      <c r="F129" s="555">
        <v>2013</v>
      </c>
      <c r="G129" s="556">
        <v>59.34</v>
      </c>
      <c r="H129" s="556">
        <v>59.94</v>
      </c>
      <c r="I129" s="556">
        <v>60.085000000000001</v>
      </c>
      <c r="J129" s="556">
        <v>59.05</v>
      </c>
    </row>
    <row r="130" spans="2:10" ht="16.5" thickBot="1" x14ac:dyDescent="0.3">
      <c r="B130" s="544">
        <v>41476</v>
      </c>
      <c r="C130" s="361">
        <v>7</v>
      </c>
      <c r="D130" s="555" t="s">
        <v>556</v>
      </c>
      <c r="E130" s="555">
        <v>21</v>
      </c>
      <c r="F130" s="555">
        <v>2013</v>
      </c>
      <c r="G130" s="556">
        <v>59.045999999999999</v>
      </c>
      <c r="H130" s="556">
        <v>59.311999999999998</v>
      </c>
      <c r="I130" s="556">
        <v>59.881999999999998</v>
      </c>
      <c r="J130" s="556">
        <v>58.706000000000003</v>
      </c>
    </row>
    <row r="131" spans="2:10" ht="16.5" thickBot="1" x14ac:dyDescent="0.3">
      <c r="B131" s="544">
        <v>41483</v>
      </c>
      <c r="C131" s="361">
        <v>7</v>
      </c>
      <c r="D131" s="555" t="s">
        <v>556</v>
      </c>
      <c r="E131" s="555">
        <v>28</v>
      </c>
      <c r="F131" s="555">
        <v>2013</v>
      </c>
      <c r="G131" s="556">
        <v>61.104999999999997</v>
      </c>
      <c r="H131" s="556">
        <v>58.954999999999998</v>
      </c>
      <c r="I131" s="556">
        <v>61.2</v>
      </c>
      <c r="J131" s="556">
        <v>58.954999999999998</v>
      </c>
    </row>
    <row r="132" spans="2:10" ht="16.5" thickBot="1" x14ac:dyDescent="0.3">
      <c r="B132" s="544">
        <v>41490</v>
      </c>
      <c r="C132" s="361">
        <v>8</v>
      </c>
      <c r="D132" s="555" t="s">
        <v>188</v>
      </c>
      <c r="E132" s="555">
        <v>4</v>
      </c>
      <c r="F132" s="555">
        <v>2013</v>
      </c>
      <c r="G132" s="556">
        <v>60.68</v>
      </c>
      <c r="H132" s="556">
        <v>61.023000000000003</v>
      </c>
      <c r="I132" s="556">
        <v>61.868000000000002</v>
      </c>
      <c r="J132" s="556">
        <v>60.68</v>
      </c>
    </row>
    <row r="133" spans="2:10" ht="16.5" thickBot="1" x14ac:dyDescent="0.3">
      <c r="B133" s="544">
        <v>41497</v>
      </c>
      <c r="C133" s="361">
        <v>8</v>
      </c>
      <c r="D133" s="555" t="s">
        <v>188</v>
      </c>
      <c r="E133" s="555">
        <v>11</v>
      </c>
      <c r="F133" s="555">
        <v>2013</v>
      </c>
      <c r="G133" s="556">
        <v>61.664999999999999</v>
      </c>
      <c r="H133" s="556">
        <v>60.494999999999997</v>
      </c>
      <c r="I133" s="556">
        <v>62.015000000000001</v>
      </c>
      <c r="J133" s="556">
        <v>60.494999999999997</v>
      </c>
    </row>
    <row r="134" spans="2:10" ht="16.5" thickBot="1" x14ac:dyDescent="0.3">
      <c r="B134" s="544">
        <v>41504</v>
      </c>
      <c r="C134" s="361">
        <v>8</v>
      </c>
      <c r="D134" s="555" t="s">
        <v>188</v>
      </c>
      <c r="E134" s="555">
        <v>18</v>
      </c>
      <c r="F134" s="555">
        <v>2013</v>
      </c>
      <c r="G134" s="556">
        <v>63.204999999999998</v>
      </c>
      <c r="H134" s="556">
        <v>62.365000000000002</v>
      </c>
      <c r="I134" s="556">
        <v>65.575000000000003</v>
      </c>
      <c r="J134" s="556">
        <v>62.24</v>
      </c>
    </row>
    <row r="135" spans="2:10" ht="16.5" thickBot="1" x14ac:dyDescent="0.3">
      <c r="B135" s="544">
        <v>41511</v>
      </c>
      <c r="C135" s="361">
        <v>8</v>
      </c>
      <c r="D135" s="555" t="s">
        <v>188</v>
      </c>
      <c r="E135" s="555">
        <v>25</v>
      </c>
      <c r="F135" s="555">
        <v>2013</v>
      </c>
      <c r="G135" s="556">
        <v>65.704999999999998</v>
      </c>
      <c r="H135" s="556">
        <v>63.695</v>
      </c>
      <c r="I135" s="556">
        <v>68.805000000000007</v>
      </c>
      <c r="J135" s="556">
        <v>63.643000000000001</v>
      </c>
    </row>
    <row r="136" spans="2:10" ht="16.5" thickBot="1" x14ac:dyDescent="0.3">
      <c r="B136" s="544">
        <v>41518</v>
      </c>
      <c r="C136" s="16">
        <v>9</v>
      </c>
      <c r="D136" s="555" t="s">
        <v>187</v>
      </c>
      <c r="E136" s="555">
        <v>1</v>
      </c>
      <c r="F136" s="555">
        <v>2013</v>
      </c>
      <c r="G136" s="556">
        <v>65.245000000000005</v>
      </c>
      <c r="H136" s="556">
        <v>66.105000000000004</v>
      </c>
      <c r="I136" s="556">
        <v>68.605000000000004</v>
      </c>
      <c r="J136" s="556">
        <v>65.004999999999995</v>
      </c>
    </row>
    <row r="137" spans="2:10" ht="16.5" thickBot="1" x14ac:dyDescent="0.3">
      <c r="B137" s="544">
        <v>41525</v>
      </c>
      <c r="C137" s="16">
        <v>9</v>
      </c>
      <c r="D137" s="555" t="s">
        <v>187</v>
      </c>
      <c r="E137" s="555">
        <v>8</v>
      </c>
      <c r="F137" s="555">
        <v>2013</v>
      </c>
      <c r="G137" s="556">
        <v>63.38</v>
      </c>
      <c r="H137" s="556">
        <v>64.415000000000006</v>
      </c>
      <c r="I137" s="556">
        <v>64.555000000000007</v>
      </c>
      <c r="J137" s="556">
        <v>62.924999999999997</v>
      </c>
    </row>
    <row r="138" spans="2:10" ht="16.5" thickBot="1" x14ac:dyDescent="0.3">
      <c r="B138" s="544">
        <v>41532</v>
      </c>
      <c r="C138" s="16">
        <v>9</v>
      </c>
      <c r="D138" s="555" t="s">
        <v>187</v>
      </c>
      <c r="E138" s="555">
        <v>15</v>
      </c>
      <c r="F138" s="555">
        <v>2013</v>
      </c>
      <c r="G138" s="556">
        <v>62.234999999999999</v>
      </c>
      <c r="H138" s="556">
        <v>62.704999999999998</v>
      </c>
      <c r="I138" s="556">
        <v>63.634999999999998</v>
      </c>
      <c r="J138" s="556">
        <v>61.65</v>
      </c>
    </row>
    <row r="139" spans="2:10" ht="16.5" thickBot="1" x14ac:dyDescent="0.3">
      <c r="B139" s="544">
        <v>41539</v>
      </c>
      <c r="C139" s="16">
        <v>9</v>
      </c>
      <c r="D139" s="555" t="s">
        <v>187</v>
      </c>
      <c r="E139" s="555">
        <v>22</v>
      </c>
      <c r="F139" s="555">
        <v>2013</v>
      </c>
      <c r="G139" s="556">
        <v>62.515000000000001</v>
      </c>
      <c r="H139" s="556">
        <v>62.265000000000001</v>
      </c>
      <c r="I139" s="556">
        <v>62.92</v>
      </c>
      <c r="J139" s="556">
        <v>61.773000000000003</v>
      </c>
    </row>
    <row r="140" spans="2:10" ht="16.5" thickBot="1" x14ac:dyDescent="0.3">
      <c r="B140" s="544">
        <v>41546</v>
      </c>
      <c r="C140" s="16">
        <v>9</v>
      </c>
      <c r="D140" s="555" t="s">
        <v>187</v>
      </c>
      <c r="E140" s="555">
        <v>29</v>
      </c>
      <c r="F140" s="555">
        <v>2013</v>
      </c>
      <c r="G140" s="556">
        <v>61.435000000000002</v>
      </c>
      <c r="H140" s="556">
        <v>62.984999999999999</v>
      </c>
      <c r="I140" s="556">
        <v>63.034999999999997</v>
      </c>
      <c r="J140" s="556">
        <v>61.255000000000003</v>
      </c>
    </row>
    <row r="141" spans="2:10" ht="16.5" thickBot="1" x14ac:dyDescent="0.3">
      <c r="B141" s="544">
        <v>41553</v>
      </c>
      <c r="C141" s="16">
        <v>10</v>
      </c>
      <c r="D141" s="555" t="s">
        <v>186</v>
      </c>
      <c r="E141" s="555">
        <v>6</v>
      </c>
      <c r="F141" s="555">
        <v>2013</v>
      </c>
      <c r="G141" s="556">
        <v>61.02</v>
      </c>
      <c r="H141" s="556">
        <v>61.51</v>
      </c>
      <c r="I141" s="556">
        <v>62.31</v>
      </c>
      <c r="J141" s="556">
        <v>60.96</v>
      </c>
    </row>
    <row r="142" spans="2:10" ht="16.5" thickBot="1" x14ac:dyDescent="0.3">
      <c r="B142" s="544">
        <v>41560</v>
      </c>
      <c r="C142" s="16">
        <v>10</v>
      </c>
      <c r="D142" s="555" t="s">
        <v>186</v>
      </c>
      <c r="E142" s="555">
        <v>13</v>
      </c>
      <c r="F142" s="555">
        <v>2013</v>
      </c>
      <c r="G142" s="556">
        <v>61.24</v>
      </c>
      <c r="H142" s="556">
        <v>61.16</v>
      </c>
      <c r="I142" s="556">
        <v>61.954999999999998</v>
      </c>
      <c r="J142" s="556">
        <v>60.94</v>
      </c>
    </row>
    <row r="143" spans="2:10" ht="16.5" thickBot="1" x14ac:dyDescent="0.3">
      <c r="B143" s="544">
        <v>41567</v>
      </c>
      <c r="C143" s="16">
        <v>10</v>
      </c>
      <c r="D143" s="555" t="s">
        <v>186</v>
      </c>
      <c r="E143" s="555">
        <v>20</v>
      </c>
      <c r="F143" s="555">
        <v>2013</v>
      </c>
      <c r="G143" s="556">
        <v>61.465000000000003</v>
      </c>
      <c r="H143" s="556">
        <v>61.354999999999997</v>
      </c>
      <c r="I143" s="556">
        <v>61.844999999999999</v>
      </c>
      <c r="J143" s="556">
        <v>61.085000000000001</v>
      </c>
    </row>
    <row r="144" spans="2:10" ht="16.5" thickBot="1" x14ac:dyDescent="0.3">
      <c r="B144" s="544">
        <v>41574</v>
      </c>
      <c r="C144" s="16">
        <v>10</v>
      </c>
      <c r="D144" s="555" t="s">
        <v>186</v>
      </c>
      <c r="E144" s="555">
        <v>27</v>
      </c>
      <c r="F144" s="555">
        <v>2013</v>
      </c>
      <c r="G144" s="556">
        <v>61.75</v>
      </c>
      <c r="H144" s="556">
        <v>61.42</v>
      </c>
      <c r="I144" s="556">
        <v>62.024999999999999</v>
      </c>
      <c r="J144" s="556">
        <v>61.085000000000001</v>
      </c>
    </row>
    <row r="145" spans="2:10" ht="16.5" thickBot="1" x14ac:dyDescent="0.3">
      <c r="B145" s="544">
        <v>41581</v>
      </c>
      <c r="C145" s="361">
        <v>11</v>
      </c>
      <c r="D145" s="555" t="s">
        <v>185</v>
      </c>
      <c r="E145" s="555">
        <v>3</v>
      </c>
      <c r="F145" s="555">
        <v>2013</v>
      </c>
      <c r="G145" s="556">
        <v>62.48</v>
      </c>
      <c r="H145" s="556">
        <v>61.744999999999997</v>
      </c>
      <c r="I145" s="556">
        <v>62.834000000000003</v>
      </c>
      <c r="J145" s="556">
        <v>61.615000000000002</v>
      </c>
    </row>
    <row r="146" spans="2:10" ht="16.5" thickBot="1" x14ac:dyDescent="0.3">
      <c r="B146" s="544">
        <v>41588</v>
      </c>
      <c r="C146" s="361">
        <v>11</v>
      </c>
      <c r="D146" s="555" t="s">
        <v>185</v>
      </c>
      <c r="E146" s="555">
        <v>10</v>
      </c>
      <c r="F146" s="555">
        <v>2013</v>
      </c>
      <c r="G146" s="556">
        <v>62.98</v>
      </c>
      <c r="H146" s="556">
        <v>62.99</v>
      </c>
      <c r="I146" s="556">
        <v>63.91</v>
      </c>
      <c r="J146" s="556">
        <v>62.924999999999997</v>
      </c>
    </row>
    <row r="147" spans="2:10" ht="16.5" thickBot="1" x14ac:dyDescent="0.3">
      <c r="B147" s="544">
        <v>41595</v>
      </c>
      <c r="C147" s="361">
        <v>11</v>
      </c>
      <c r="D147" s="555" t="s">
        <v>185</v>
      </c>
      <c r="E147" s="555">
        <v>17</v>
      </c>
      <c r="F147" s="555">
        <v>2013</v>
      </c>
      <c r="G147" s="556">
        <v>62.732999999999997</v>
      </c>
      <c r="H147" s="556">
        <v>62.825000000000003</v>
      </c>
      <c r="I147" s="556">
        <v>63.094999999999999</v>
      </c>
      <c r="J147" s="556">
        <v>61.88</v>
      </c>
    </row>
    <row r="148" spans="2:10" ht="16.5" thickBot="1" x14ac:dyDescent="0.3">
      <c r="B148" s="544">
        <v>41602</v>
      </c>
      <c r="C148" s="361">
        <v>11</v>
      </c>
      <c r="D148" s="555" t="s">
        <v>185</v>
      </c>
      <c r="E148" s="555">
        <v>24</v>
      </c>
      <c r="F148" s="555">
        <v>2013</v>
      </c>
      <c r="G148" s="556">
        <v>62.399000000000001</v>
      </c>
      <c r="H148" s="556">
        <v>62.66</v>
      </c>
      <c r="I148" s="556">
        <v>62.7</v>
      </c>
      <c r="J148" s="556">
        <v>62.15</v>
      </c>
    </row>
    <row r="149" spans="2:10" ht="16.5" thickBot="1" x14ac:dyDescent="0.3">
      <c r="B149" s="544">
        <v>41609</v>
      </c>
      <c r="C149" s="361">
        <v>12</v>
      </c>
      <c r="D149" s="555" t="s">
        <v>184</v>
      </c>
      <c r="E149" s="555">
        <v>1</v>
      </c>
      <c r="F149" s="555">
        <v>2013</v>
      </c>
      <c r="G149" s="556">
        <v>61.435000000000002</v>
      </c>
      <c r="H149" s="556">
        <v>62.354999999999997</v>
      </c>
      <c r="I149" s="556">
        <v>62.537999999999997</v>
      </c>
      <c r="J149" s="556">
        <v>61.273000000000003</v>
      </c>
    </row>
    <row r="150" spans="2:10" ht="16.5" thickBot="1" x14ac:dyDescent="0.3">
      <c r="B150" s="544">
        <v>41616</v>
      </c>
      <c r="C150" s="361">
        <v>12</v>
      </c>
      <c r="D150" s="555" t="s">
        <v>184</v>
      </c>
      <c r="E150" s="555">
        <v>8</v>
      </c>
      <c r="F150" s="555">
        <v>2013</v>
      </c>
      <c r="G150" s="556">
        <v>62.195</v>
      </c>
      <c r="H150" s="556">
        <v>60.84</v>
      </c>
      <c r="I150" s="556">
        <v>62.296999999999997</v>
      </c>
      <c r="J150" s="556">
        <v>60.84</v>
      </c>
    </row>
    <row r="151" spans="2:10" ht="16.5" thickBot="1" x14ac:dyDescent="0.3">
      <c r="B151" s="544">
        <v>41623</v>
      </c>
      <c r="C151" s="361">
        <v>12</v>
      </c>
      <c r="D151" s="555" t="s">
        <v>184</v>
      </c>
      <c r="E151" s="555">
        <v>15</v>
      </c>
      <c r="F151" s="555">
        <v>2013</v>
      </c>
      <c r="G151" s="556">
        <v>62</v>
      </c>
      <c r="H151" s="556">
        <v>62.064999999999998</v>
      </c>
      <c r="I151" s="556">
        <v>62.494999999999997</v>
      </c>
      <c r="J151" s="556">
        <v>61.63</v>
      </c>
    </row>
    <row r="152" spans="2:10" ht="16.5" thickBot="1" x14ac:dyDescent="0.3">
      <c r="B152" s="544">
        <v>41630</v>
      </c>
      <c r="C152" s="361">
        <v>12</v>
      </c>
      <c r="D152" s="555" t="s">
        <v>184</v>
      </c>
      <c r="E152" s="555">
        <v>22</v>
      </c>
      <c r="F152" s="555">
        <v>2013</v>
      </c>
      <c r="G152" s="556">
        <v>61.94</v>
      </c>
      <c r="H152" s="556">
        <v>62.113</v>
      </c>
      <c r="I152" s="556">
        <v>62.174999999999997</v>
      </c>
      <c r="J152" s="556">
        <v>61.723999999999997</v>
      </c>
    </row>
    <row r="153" spans="2:10" ht="16.5" thickBot="1" x14ac:dyDescent="0.3">
      <c r="B153" s="544">
        <v>41637</v>
      </c>
      <c r="C153" s="361">
        <v>12</v>
      </c>
      <c r="D153" s="555" t="s">
        <v>184</v>
      </c>
      <c r="E153" s="555">
        <v>29</v>
      </c>
      <c r="F153" s="555">
        <v>2013</v>
      </c>
      <c r="G153" s="556">
        <v>62.19</v>
      </c>
      <c r="H153" s="556">
        <v>61.997999999999998</v>
      </c>
      <c r="I153" s="556">
        <v>62.564999999999998</v>
      </c>
      <c r="J153" s="556">
        <v>61.718000000000004</v>
      </c>
    </row>
    <row r="154" spans="2:10" ht="16.5" thickBot="1" x14ac:dyDescent="0.3">
      <c r="B154" s="544">
        <v>41644</v>
      </c>
      <c r="C154" s="361">
        <v>1</v>
      </c>
      <c r="D154" s="555" t="s">
        <v>183</v>
      </c>
      <c r="E154" s="555">
        <v>5</v>
      </c>
      <c r="F154" s="555">
        <v>2014</v>
      </c>
      <c r="G154" s="556">
        <v>61.906999999999996</v>
      </c>
      <c r="H154" s="556">
        <v>62.354999999999997</v>
      </c>
      <c r="I154" s="556">
        <v>62.475000000000001</v>
      </c>
      <c r="J154" s="556">
        <v>61.825000000000003</v>
      </c>
    </row>
    <row r="155" spans="2:10" ht="16.5" thickBot="1" x14ac:dyDescent="0.3">
      <c r="B155" s="544">
        <v>41651</v>
      </c>
      <c r="C155" s="361">
        <v>1</v>
      </c>
      <c r="D155" s="555" t="s">
        <v>183</v>
      </c>
      <c r="E155" s="555">
        <v>12</v>
      </c>
      <c r="F155" s="555">
        <v>2014</v>
      </c>
      <c r="G155" s="556">
        <v>61.545000000000002</v>
      </c>
      <c r="H155" s="556">
        <v>61.604999999999997</v>
      </c>
      <c r="I155" s="556">
        <v>61.715000000000003</v>
      </c>
      <c r="J155" s="556">
        <v>61.32</v>
      </c>
    </row>
    <row r="156" spans="2:10" ht="16.5" thickBot="1" x14ac:dyDescent="0.3">
      <c r="B156" s="544">
        <v>41658</v>
      </c>
      <c r="C156" s="361">
        <v>1</v>
      </c>
      <c r="D156" s="555" t="s">
        <v>183</v>
      </c>
      <c r="E156" s="555">
        <v>19</v>
      </c>
      <c r="F156" s="555">
        <v>2014</v>
      </c>
      <c r="G156" s="556">
        <v>62.695</v>
      </c>
      <c r="H156" s="556">
        <v>61.685000000000002</v>
      </c>
      <c r="I156" s="556">
        <v>62.744999999999997</v>
      </c>
      <c r="J156" s="556">
        <v>61.465000000000003</v>
      </c>
    </row>
    <row r="157" spans="2:10" ht="16.5" thickBot="1" x14ac:dyDescent="0.3">
      <c r="B157" s="544">
        <v>41665</v>
      </c>
      <c r="C157" s="361">
        <v>1</v>
      </c>
      <c r="D157" s="555" t="s">
        <v>183</v>
      </c>
      <c r="E157" s="555">
        <v>26</v>
      </c>
      <c r="F157" s="555">
        <v>2014</v>
      </c>
      <c r="G157" s="556">
        <v>62.685000000000002</v>
      </c>
      <c r="H157" s="556">
        <v>62.884999999999998</v>
      </c>
      <c r="I157" s="556">
        <v>63.325000000000003</v>
      </c>
      <c r="J157" s="556">
        <v>62.104999999999997</v>
      </c>
    </row>
    <row r="158" spans="2:10" ht="16.5" thickBot="1" x14ac:dyDescent="0.3">
      <c r="B158" s="544">
        <v>41672</v>
      </c>
      <c r="C158" s="361">
        <v>2</v>
      </c>
      <c r="D158" s="555" t="s">
        <v>182</v>
      </c>
      <c r="E158" s="555">
        <v>2</v>
      </c>
      <c r="F158" s="555">
        <v>2014</v>
      </c>
      <c r="G158" s="556">
        <v>62.305</v>
      </c>
      <c r="H158" s="556">
        <v>62.704999999999998</v>
      </c>
      <c r="I158" s="556">
        <v>62.835000000000001</v>
      </c>
      <c r="J158" s="556">
        <v>62.25</v>
      </c>
    </row>
    <row r="159" spans="2:10" ht="16.5" thickBot="1" x14ac:dyDescent="0.3">
      <c r="B159" s="544">
        <v>41679</v>
      </c>
      <c r="C159" s="361">
        <v>2</v>
      </c>
      <c r="D159" s="555" t="s">
        <v>182</v>
      </c>
      <c r="E159" s="555">
        <v>9</v>
      </c>
      <c r="F159" s="555">
        <v>2014</v>
      </c>
      <c r="G159" s="556">
        <v>61.854999999999997</v>
      </c>
      <c r="H159" s="556">
        <v>62.365000000000002</v>
      </c>
      <c r="I159" s="556">
        <v>62.494999999999997</v>
      </c>
      <c r="J159" s="556">
        <v>61.844999999999999</v>
      </c>
    </row>
    <row r="160" spans="2:10" ht="16.5" thickBot="1" x14ac:dyDescent="0.3">
      <c r="B160" s="544">
        <v>41686</v>
      </c>
      <c r="C160" s="361">
        <v>2</v>
      </c>
      <c r="D160" s="555" t="s">
        <v>182</v>
      </c>
      <c r="E160" s="555">
        <v>16</v>
      </c>
      <c r="F160" s="555">
        <v>2014</v>
      </c>
      <c r="G160" s="556">
        <v>62.14</v>
      </c>
      <c r="H160" s="556">
        <v>61.97</v>
      </c>
      <c r="I160" s="556">
        <v>62.45</v>
      </c>
      <c r="J160" s="556">
        <v>61.83</v>
      </c>
    </row>
    <row r="161" spans="2:10" ht="16.5" thickBot="1" x14ac:dyDescent="0.3">
      <c r="B161" s="544">
        <v>41693</v>
      </c>
      <c r="C161" s="361">
        <v>2</v>
      </c>
      <c r="D161" s="555" t="s">
        <v>182</v>
      </c>
      <c r="E161" s="555">
        <v>23</v>
      </c>
      <c r="F161" s="555">
        <v>2014</v>
      </c>
      <c r="G161" s="556">
        <v>61.795000000000002</v>
      </c>
      <c r="H161" s="556">
        <v>62.104999999999997</v>
      </c>
      <c r="I161" s="556">
        <v>62.16</v>
      </c>
      <c r="J161" s="556">
        <v>61.755000000000003</v>
      </c>
    </row>
    <row r="162" spans="2:10" ht="16.5" thickBot="1" x14ac:dyDescent="0.3">
      <c r="B162" s="544">
        <v>41700</v>
      </c>
      <c r="C162" s="361">
        <v>3</v>
      </c>
      <c r="D162" s="555" t="s">
        <v>181</v>
      </c>
      <c r="E162" s="555">
        <v>2</v>
      </c>
      <c r="F162" s="555">
        <v>2014</v>
      </c>
      <c r="G162" s="556">
        <v>61.085000000000001</v>
      </c>
      <c r="H162" s="556">
        <v>61.954999999999998</v>
      </c>
      <c r="I162" s="556">
        <v>62.145000000000003</v>
      </c>
      <c r="J162" s="556">
        <v>60.945</v>
      </c>
    </row>
    <row r="163" spans="2:10" ht="16.5" thickBot="1" x14ac:dyDescent="0.3">
      <c r="B163" s="544">
        <v>41707</v>
      </c>
      <c r="C163" s="361">
        <v>3</v>
      </c>
      <c r="D163" s="555" t="s">
        <v>181</v>
      </c>
      <c r="E163" s="555">
        <v>9</v>
      </c>
      <c r="F163" s="555">
        <v>2014</v>
      </c>
      <c r="G163" s="556">
        <v>61.204999999999998</v>
      </c>
      <c r="H163" s="556">
        <v>61.255000000000003</v>
      </c>
      <c r="I163" s="556">
        <v>61.555</v>
      </c>
      <c r="J163" s="556">
        <v>60.604999999999997</v>
      </c>
    </row>
    <row r="164" spans="2:10" ht="16.5" thickBot="1" x14ac:dyDescent="0.3">
      <c r="B164" s="544">
        <v>41714</v>
      </c>
      <c r="C164" s="361">
        <v>3</v>
      </c>
      <c r="D164" s="555" t="s">
        <v>181</v>
      </c>
      <c r="E164" s="555">
        <v>16</v>
      </c>
      <c r="F164" s="555">
        <v>2014</v>
      </c>
      <c r="G164" s="556">
        <v>60.9</v>
      </c>
      <c r="H164" s="556">
        <v>61.125</v>
      </c>
      <c r="I164" s="556">
        <v>61.384999999999998</v>
      </c>
      <c r="J164" s="556">
        <v>60.865000000000002</v>
      </c>
    </row>
    <row r="165" spans="2:10" ht="16.5" thickBot="1" x14ac:dyDescent="0.3">
      <c r="B165" s="544">
        <v>41721</v>
      </c>
      <c r="C165" s="361">
        <v>3</v>
      </c>
      <c r="D165" s="555" t="s">
        <v>181</v>
      </c>
      <c r="E165" s="555">
        <v>23</v>
      </c>
      <c r="F165" s="555">
        <v>2014</v>
      </c>
      <c r="G165" s="556">
        <v>59.89</v>
      </c>
      <c r="H165" s="556">
        <v>60.86</v>
      </c>
      <c r="I165" s="556">
        <v>60.86</v>
      </c>
      <c r="J165" s="556">
        <v>59.69</v>
      </c>
    </row>
    <row r="166" spans="2:10" ht="16.5" thickBot="1" x14ac:dyDescent="0.3">
      <c r="B166" s="544">
        <v>41728</v>
      </c>
      <c r="C166" s="361">
        <v>3</v>
      </c>
      <c r="D166" s="555" t="s">
        <v>181</v>
      </c>
      <c r="E166" s="555">
        <v>30</v>
      </c>
      <c r="F166" s="555">
        <v>2014</v>
      </c>
      <c r="G166" s="556">
        <v>60.085000000000001</v>
      </c>
      <c r="H166" s="556">
        <v>59.905000000000001</v>
      </c>
      <c r="I166" s="556">
        <v>60.398000000000003</v>
      </c>
      <c r="J166" s="556">
        <v>59.575000000000003</v>
      </c>
    </row>
    <row r="167" spans="2:10" ht="16.5" thickBot="1" x14ac:dyDescent="0.3">
      <c r="B167" s="544">
        <v>41735</v>
      </c>
      <c r="C167" s="361">
        <v>4</v>
      </c>
      <c r="D167" s="555" t="s">
        <v>261</v>
      </c>
      <c r="E167" s="555">
        <v>6</v>
      </c>
      <c r="F167" s="555">
        <v>2014</v>
      </c>
      <c r="G167" s="556">
        <v>60.18</v>
      </c>
      <c r="H167" s="556">
        <v>59.905000000000001</v>
      </c>
      <c r="I167" s="556">
        <v>60.344999999999999</v>
      </c>
      <c r="J167" s="556">
        <v>59.765000000000001</v>
      </c>
    </row>
    <row r="168" spans="2:10" ht="16.5" thickBot="1" x14ac:dyDescent="0.3">
      <c r="B168" s="544">
        <v>41742</v>
      </c>
      <c r="C168" s="361">
        <v>4</v>
      </c>
      <c r="D168" s="555" t="s">
        <v>261</v>
      </c>
      <c r="E168" s="555">
        <v>13</v>
      </c>
      <c r="F168" s="555">
        <v>2014</v>
      </c>
      <c r="G168" s="556">
        <v>60.295000000000002</v>
      </c>
      <c r="H168" s="556">
        <v>60.255000000000003</v>
      </c>
      <c r="I168" s="556">
        <v>60.505000000000003</v>
      </c>
      <c r="J168" s="556">
        <v>60.185000000000002</v>
      </c>
    </row>
    <row r="169" spans="2:10" ht="16.5" thickBot="1" x14ac:dyDescent="0.3">
      <c r="B169" s="544">
        <v>41749</v>
      </c>
      <c r="C169" s="361">
        <v>4</v>
      </c>
      <c r="D169" s="555" t="s">
        <v>261</v>
      </c>
      <c r="E169" s="555">
        <v>20</v>
      </c>
      <c r="F169" s="555">
        <v>2014</v>
      </c>
      <c r="G169" s="556">
        <v>60.645000000000003</v>
      </c>
      <c r="H169" s="556">
        <v>60.265000000000001</v>
      </c>
      <c r="I169" s="556">
        <v>61.195</v>
      </c>
      <c r="J169" s="556">
        <v>60.265000000000001</v>
      </c>
    </row>
    <row r="170" spans="2:10" ht="16.5" thickBot="1" x14ac:dyDescent="0.3">
      <c r="B170" s="544">
        <v>41756</v>
      </c>
      <c r="C170" s="361">
        <v>4</v>
      </c>
      <c r="D170" s="555" t="s">
        <v>261</v>
      </c>
      <c r="E170" s="555">
        <v>27</v>
      </c>
      <c r="F170" s="555">
        <v>2014</v>
      </c>
      <c r="G170" s="556">
        <v>60.185000000000002</v>
      </c>
      <c r="H170" s="556">
        <v>60.615000000000002</v>
      </c>
      <c r="I170" s="556">
        <v>60.75</v>
      </c>
      <c r="J170" s="556">
        <v>60.104999999999997</v>
      </c>
    </row>
    <row r="171" spans="2:10" ht="16.5" thickBot="1" x14ac:dyDescent="0.3">
      <c r="B171" s="544">
        <v>41763</v>
      </c>
      <c r="C171" s="361">
        <v>5</v>
      </c>
      <c r="D171" s="555" t="s">
        <v>191</v>
      </c>
      <c r="E171" s="555">
        <v>4</v>
      </c>
      <c r="F171" s="555">
        <v>2014</v>
      </c>
      <c r="G171" s="556">
        <v>59.965000000000003</v>
      </c>
      <c r="H171" s="556">
        <v>60.085000000000001</v>
      </c>
      <c r="I171" s="556">
        <v>60.244999999999997</v>
      </c>
      <c r="J171" s="556">
        <v>59.87</v>
      </c>
    </row>
    <row r="172" spans="2:10" ht="16.5" thickBot="1" x14ac:dyDescent="0.3">
      <c r="B172" s="544">
        <v>41770</v>
      </c>
      <c r="C172" s="361">
        <v>5</v>
      </c>
      <c r="D172" s="555" t="s">
        <v>191</v>
      </c>
      <c r="E172" s="555">
        <v>11</v>
      </c>
      <c r="F172" s="555">
        <v>2014</v>
      </c>
      <c r="G172" s="556">
        <v>58.585000000000001</v>
      </c>
      <c r="H172" s="556">
        <v>59.914999999999999</v>
      </c>
      <c r="I172" s="556">
        <v>60.125</v>
      </c>
      <c r="J172" s="556">
        <v>58.585000000000001</v>
      </c>
    </row>
    <row r="173" spans="2:10" ht="16.5" thickBot="1" x14ac:dyDescent="0.3">
      <c r="B173" s="544">
        <v>41777</v>
      </c>
      <c r="C173" s="361">
        <v>5</v>
      </c>
      <c r="D173" s="555" t="s">
        <v>191</v>
      </c>
      <c r="E173" s="555">
        <v>18</v>
      </c>
      <c r="F173" s="555">
        <v>2014</v>
      </c>
      <c r="G173" s="556">
        <v>58.524999999999999</v>
      </c>
      <c r="H173" s="556">
        <v>58.555</v>
      </c>
      <c r="I173" s="556">
        <v>58.875</v>
      </c>
      <c r="J173" s="556">
        <v>58.255000000000003</v>
      </c>
    </row>
    <row r="174" spans="2:10" ht="16.5" thickBot="1" x14ac:dyDescent="0.3">
      <c r="B174" s="544">
        <v>41784</v>
      </c>
      <c r="C174" s="361">
        <v>5</v>
      </c>
      <c r="D174" s="555" t="s">
        <v>191</v>
      </c>
      <c r="E174" s="555">
        <v>25</v>
      </c>
      <c r="F174" s="555">
        <v>2014</v>
      </c>
      <c r="G174" s="556">
        <v>59.195</v>
      </c>
      <c r="H174" s="556">
        <v>58.454999999999998</v>
      </c>
      <c r="I174" s="556">
        <v>59.23</v>
      </c>
      <c r="J174" s="556">
        <v>58.42</v>
      </c>
    </row>
    <row r="175" spans="2:10" ht="16.5" thickBot="1" x14ac:dyDescent="0.3">
      <c r="B175" s="544">
        <v>41791</v>
      </c>
      <c r="C175" s="361">
        <v>6</v>
      </c>
      <c r="D175" s="555" t="s">
        <v>555</v>
      </c>
      <c r="E175" s="555">
        <v>1</v>
      </c>
      <c r="F175" s="555">
        <v>2014</v>
      </c>
      <c r="G175" s="556">
        <v>59.174999999999997</v>
      </c>
      <c r="H175" s="556">
        <v>59.104999999999997</v>
      </c>
      <c r="I175" s="556">
        <v>59.454999999999998</v>
      </c>
      <c r="J175" s="556">
        <v>59.064999999999998</v>
      </c>
    </row>
    <row r="176" spans="2:10" ht="16.5" thickBot="1" x14ac:dyDescent="0.3">
      <c r="B176" s="544">
        <v>41798</v>
      </c>
      <c r="C176" s="361">
        <v>6</v>
      </c>
      <c r="D176" s="555" t="s">
        <v>555</v>
      </c>
      <c r="E176" s="555">
        <v>8</v>
      </c>
      <c r="F176" s="555">
        <v>2014</v>
      </c>
      <c r="G176" s="556">
        <v>59.71</v>
      </c>
      <c r="H176" s="556">
        <v>59.11</v>
      </c>
      <c r="I176" s="556">
        <v>59.81</v>
      </c>
      <c r="J176" s="556">
        <v>58.98</v>
      </c>
    </row>
    <row r="177" spans="2:10" ht="16.5" thickBot="1" x14ac:dyDescent="0.3">
      <c r="B177" s="544">
        <v>41805</v>
      </c>
      <c r="C177" s="361">
        <v>6</v>
      </c>
      <c r="D177" s="555" t="s">
        <v>555</v>
      </c>
      <c r="E177" s="555">
        <v>15</v>
      </c>
      <c r="F177" s="555">
        <v>2014</v>
      </c>
      <c r="G177" s="556">
        <v>60.174999999999997</v>
      </c>
      <c r="H177" s="556">
        <v>59.715000000000003</v>
      </c>
      <c r="I177" s="556">
        <v>60.545000000000002</v>
      </c>
      <c r="J177" s="556">
        <v>59.715000000000003</v>
      </c>
    </row>
    <row r="178" spans="2:10" ht="16.5" thickBot="1" x14ac:dyDescent="0.3">
      <c r="B178" s="544">
        <v>41812</v>
      </c>
      <c r="C178" s="361">
        <v>6</v>
      </c>
      <c r="D178" s="555" t="s">
        <v>555</v>
      </c>
      <c r="E178" s="555">
        <v>22</v>
      </c>
      <c r="F178" s="555">
        <v>2014</v>
      </c>
      <c r="G178" s="556">
        <v>60.045000000000002</v>
      </c>
      <c r="H178" s="556">
        <v>60.064999999999998</v>
      </c>
      <c r="I178" s="556">
        <v>60.4</v>
      </c>
      <c r="J178" s="556">
        <v>60.015000000000001</v>
      </c>
    </row>
    <row r="179" spans="2:10" ht="16.5" thickBot="1" x14ac:dyDescent="0.3">
      <c r="B179" s="544">
        <v>41819</v>
      </c>
      <c r="C179" s="361">
        <v>6</v>
      </c>
      <c r="D179" s="555" t="s">
        <v>555</v>
      </c>
      <c r="E179" s="555">
        <v>29</v>
      </c>
      <c r="F179" s="555">
        <v>2014</v>
      </c>
      <c r="G179" s="556">
        <v>59.725000000000001</v>
      </c>
      <c r="H179" s="556">
        <v>60.034999999999997</v>
      </c>
      <c r="I179" s="556">
        <v>60.27</v>
      </c>
      <c r="J179" s="556">
        <v>59.53</v>
      </c>
    </row>
    <row r="180" spans="2:10" ht="16.5" thickBot="1" x14ac:dyDescent="0.3">
      <c r="B180" s="544">
        <v>41826</v>
      </c>
      <c r="C180" s="361">
        <v>7</v>
      </c>
      <c r="D180" s="555" t="s">
        <v>556</v>
      </c>
      <c r="E180" s="555">
        <v>6</v>
      </c>
      <c r="F180" s="555">
        <v>2014</v>
      </c>
      <c r="G180" s="556">
        <v>60.094999999999999</v>
      </c>
      <c r="H180" s="556">
        <v>59.814999999999998</v>
      </c>
      <c r="I180" s="556">
        <v>60.314999999999998</v>
      </c>
      <c r="J180" s="556">
        <v>59.585000000000001</v>
      </c>
    </row>
    <row r="181" spans="2:10" ht="16.5" thickBot="1" x14ac:dyDescent="0.3">
      <c r="B181" s="544">
        <v>41833</v>
      </c>
      <c r="C181" s="361">
        <v>7</v>
      </c>
      <c r="D181" s="555" t="s">
        <v>556</v>
      </c>
      <c r="E181" s="555">
        <v>13</v>
      </c>
      <c r="F181" s="555">
        <v>2014</v>
      </c>
      <c r="G181" s="556">
        <v>60.284999999999997</v>
      </c>
      <c r="H181" s="556">
        <v>59.96</v>
      </c>
      <c r="I181" s="556">
        <v>60.454999999999998</v>
      </c>
      <c r="J181" s="556">
        <v>59.905000000000001</v>
      </c>
    </row>
    <row r="182" spans="2:10" ht="16.5" thickBot="1" x14ac:dyDescent="0.3">
      <c r="B182" s="544">
        <v>41840</v>
      </c>
      <c r="C182" s="361">
        <v>7</v>
      </c>
      <c r="D182" s="555" t="s">
        <v>556</v>
      </c>
      <c r="E182" s="555">
        <v>20</v>
      </c>
      <c r="F182" s="555">
        <v>2014</v>
      </c>
      <c r="G182" s="556">
        <v>60.06</v>
      </c>
      <c r="H182" s="556">
        <v>60.295000000000002</v>
      </c>
      <c r="I182" s="556">
        <v>60.35</v>
      </c>
      <c r="J182" s="556">
        <v>59.935000000000002</v>
      </c>
    </row>
    <row r="183" spans="2:10" ht="16.5" thickBot="1" x14ac:dyDescent="0.3">
      <c r="B183" s="544">
        <v>41847</v>
      </c>
      <c r="C183" s="361">
        <v>7</v>
      </c>
      <c r="D183" s="555" t="s">
        <v>556</v>
      </c>
      <c r="E183" s="555">
        <v>27</v>
      </c>
      <c r="F183" s="555">
        <v>2014</v>
      </c>
      <c r="G183" s="556">
        <v>61.215000000000003</v>
      </c>
      <c r="H183" s="556">
        <v>60.06</v>
      </c>
      <c r="I183" s="556">
        <v>61.225000000000001</v>
      </c>
      <c r="J183" s="556">
        <v>60.06</v>
      </c>
    </row>
    <row r="184" spans="2:10" ht="16.5" thickBot="1" x14ac:dyDescent="0.3">
      <c r="B184" s="544">
        <v>41854</v>
      </c>
      <c r="C184" s="361">
        <v>8</v>
      </c>
      <c r="D184" s="555" t="s">
        <v>188</v>
      </c>
      <c r="E184" s="555">
        <v>3</v>
      </c>
      <c r="F184" s="555">
        <v>2014</v>
      </c>
      <c r="G184" s="556">
        <v>61.145000000000003</v>
      </c>
      <c r="H184" s="556">
        <v>61.204999999999998</v>
      </c>
      <c r="I184" s="556">
        <v>61.744999999999997</v>
      </c>
      <c r="J184" s="556">
        <v>60.695</v>
      </c>
    </row>
    <row r="185" spans="2:10" ht="16.5" thickBot="1" x14ac:dyDescent="0.3">
      <c r="B185" s="544">
        <v>41861</v>
      </c>
      <c r="C185" s="361">
        <v>8</v>
      </c>
      <c r="D185" s="555" t="s">
        <v>188</v>
      </c>
      <c r="E185" s="555">
        <v>10</v>
      </c>
      <c r="F185" s="555">
        <v>2014</v>
      </c>
      <c r="G185" s="556">
        <v>60.78</v>
      </c>
      <c r="H185" s="556">
        <v>61.094999999999999</v>
      </c>
      <c r="I185" s="556">
        <v>61.314999999999998</v>
      </c>
      <c r="J185" s="556">
        <v>60.774999999999999</v>
      </c>
    </row>
    <row r="186" spans="2:10" ht="16.5" thickBot="1" x14ac:dyDescent="0.3">
      <c r="B186" s="544">
        <v>41868</v>
      </c>
      <c r="C186" s="361">
        <v>8</v>
      </c>
      <c r="D186" s="555" t="s">
        <v>188</v>
      </c>
      <c r="E186" s="555">
        <v>17</v>
      </c>
      <c r="F186" s="555">
        <v>2014</v>
      </c>
      <c r="G186" s="556">
        <v>60.47</v>
      </c>
      <c r="H186" s="556">
        <v>60.774999999999999</v>
      </c>
      <c r="I186" s="556">
        <v>60.884999999999998</v>
      </c>
      <c r="J186" s="556">
        <v>60.365000000000002</v>
      </c>
    </row>
    <row r="187" spans="2:10" ht="16.5" thickBot="1" x14ac:dyDescent="0.3">
      <c r="B187" s="544">
        <v>41875</v>
      </c>
      <c r="C187" s="361">
        <v>8</v>
      </c>
      <c r="D187" s="555" t="s">
        <v>188</v>
      </c>
      <c r="E187" s="555">
        <v>24</v>
      </c>
      <c r="F187" s="555">
        <v>2014</v>
      </c>
      <c r="G187" s="556">
        <v>60.52</v>
      </c>
      <c r="H187" s="556">
        <v>60.564999999999998</v>
      </c>
      <c r="I187" s="556">
        <v>60.707000000000001</v>
      </c>
      <c r="J187" s="556">
        <v>60.36</v>
      </c>
    </row>
    <row r="188" spans="2:10" ht="16.5" thickBot="1" x14ac:dyDescent="0.3">
      <c r="B188" s="544">
        <v>41882</v>
      </c>
      <c r="C188" s="361">
        <v>8</v>
      </c>
      <c r="D188" s="555" t="s">
        <v>188</v>
      </c>
      <c r="E188" s="555">
        <v>31</v>
      </c>
      <c r="F188" s="555">
        <v>2014</v>
      </c>
      <c r="G188" s="556">
        <v>60.395000000000003</v>
      </c>
      <c r="H188" s="556">
        <v>60.51</v>
      </c>
      <c r="I188" s="556">
        <v>60.695</v>
      </c>
      <c r="J188" s="556">
        <v>60.335000000000001</v>
      </c>
    </row>
    <row r="189" spans="2:10" ht="16.5" thickBot="1" x14ac:dyDescent="0.3">
      <c r="B189" s="544">
        <v>41889</v>
      </c>
      <c r="C189" s="16">
        <v>9</v>
      </c>
      <c r="D189" s="555" t="s">
        <v>187</v>
      </c>
      <c r="E189" s="555">
        <v>7</v>
      </c>
      <c r="F189" s="555">
        <v>2014</v>
      </c>
      <c r="G189" s="556">
        <v>60.655000000000001</v>
      </c>
      <c r="H189" s="556">
        <v>60.295000000000002</v>
      </c>
      <c r="I189" s="556">
        <v>61.04</v>
      </c>
      <c r="J189" s="556">
        <v>60.203000000000003</v>
      </c>
    </row>
    <row r="190" spans="2:10" ht="16.5" thickBot="1" x14ac:dyDescent="0.3">
      <c r="B190" s="544">
        <v>41896</v>
      </c>
      <c r="C190" s="16">
        <v>9</v>
      </c>
      <c r="D190" s="555" t="s">
        <v>187</v>
      </c>
      <c r="E190" s="555">
        <v>14</v>
      </c>
      <c r="F190" s="555">
        <v>2014</v>
      </c>
      <c r="G190" s="556">
        <v>60.86</v>
      </c>
      <c r="H190" s="556">
        <v>60.66</v>
      </c>
      <c r="I190" s="556">
        <v>61.215000000000003</v>
      </c>
      <c r="J190" s="556">
        <v>60.66</v>
      </c>
    </row>
    <row r="191" spans="2:10" ht="16.5" thickBot="1" x14ac:dyDescent="0.3">
      <c r="B191" s="544">
        <v>41903</v>
      </c>
      <c r="C191" s="16">
        <v>9</v>
      </c>
      <c r="D191" s="555" t="s">
        <v>187</v>
      </c>
      <c r="E191" s="555">
        <v>21</v>
      </c>
      <c r="F191" s="555">
        <v>2014</v>
      </c>
      <c r="G191" s="556">
        <v>61.145000000000003</v>
      </c>
      <c r="H191" s="556">
        <v>60.784999999999997</v>
      </c>
      <c r="I191" s="556">
        <v>61.625</v>
      </c>
      <c r="J191" s="556">
        <v>60.744999999999997</v>
      </c>
    </row>
    <row r="192" spans="2:10" ht="16.5" thickBot="1" x14ac:dyDescent="0.3">
      <c r="B192" s="544">
        <v>41910</v>
      </c>
      <c r="C192" s="16">
        <v>9</v>
      </c>
      <c r="D192" s="555" t="s">
        <v>187</v>
      </c>
      <c r="E192" s="555">
        <v>28</v>
      </c>
      <c r="F192" s="555">
        <v>2014</v>
      </c>
      <c r="G192" s="556">
        <v>61.545000000000002</v>
      </c>
      <c r="H192" s="556">
        <v>61.15</v>
      </c>
      <c r="I192" s="556">
        <v>61.96</v>
      </c>
      <c r="J192" s="556">
        <v>61.15</v>
      </c>
    </row>
    <row r="193" spans="2:10" ht="16.5" thickBot="1" x14ac:dyDescent="0.3">
      <c r="B193" s="544">
        <v>41917</v>
      </c>
      <c r="C193" s="16">
        <v>10</v>
      </c>
      <c r="D193" s="555" t="s">
        <v>186</v>
      </c>
      <c r="E193" s="555">
        <v>5</v>
      </c>
      <c r="F193" s="555">
        <v>2014</v>
      </c>
      <c r="G193" s="556">
        <v>61.284999999999997</v>
      </c>
      <c r="H193" s="556">
        <v>61.465000000000003</v>
      </c>
      <c r="I193" s="556">
        <v>61.53</v>
      </c>
      <c r="J193" s="556">
        <v>60.91</v>
      </c>
    </row>
    <row r="194" spans="2:10" ht="16.5" thickBot="1" x14ac:dyDescent="0.3">
      <c r="B194" s="544">
        <v>41924</v>
      </c>
      <c r="C194" s="16">
        <v>10</v>
      </c>
      <c r="D194" s="555" t="s">
        <v>186</v>
      </c>
      <c r="E194" s="555">
        <v>12</v>
      </c>
      <c r="F194" s="555">
        <v>2014</v>
      </c>
      <c r="G194" s="556">
        <v>61.365000000000002</v>
      </c>
      <c r="H194" s="556">
        <v>61.284999999999997</v>
      </c>
      <c r="I194" s="556">
        <v>61.95</v>
      </c>
      <c r="J194" s="556">
        <v>60.935000000000002</v>
      </c>
    </row>
    <row r="195" spans="2:10" ht="16.5" thickBot="1" x14ac:dyDescent="0.3">
      <c r="B195" s="544">
        <v>41931</v>
      </c>
      <c r="C195" s="16">
        <v>10</v>
      </c>
      <c r="D195" s="555" t="s">
        <v>186</v>
      </c>
      <c r="E195" s="555">
        <v>19</v>
      </c>
      <c r="F195" s="555">
        <v>2014</v>
      </c>
      <c r="G195" s="556">
        <v>61.17</v>
      </c>
      <c r="H195" s="556">
        <v>61.31</v>
      </c>
      <c r="I195" s="556">
        <v>61.38</v>
      </c>
      <c r="J195" s="556">
        <v>61.01</v>
      </c>
    </row>
    <row r="196" spans="2:10" ht="16.5" thickBot="1" x14ac:dyDescent="0.3">
      <c r="B196" s="544">
        <v>41938</v>
      </c>
      <c r="C196" s="16">
        <v>10</v>
      </c>
      <c r="D196" s="555" t="s">
        <v>186</v>
      </c>
      <c r="E196" s="555">
        <v>26</v>
      </c>
      <c r="F196" s="555">
        <v>2014</v>
      </c>
      <c r="G196" s="556">
        <v>61.405000000000001</v>
      </c>
      <c r="H196" s="556">
        <v>61.185000000000002</v>
      </c>
      <c r="I196" s="556">
        <v>61.615000000000002</v>
      </c>
      <c r="J196" s="556">
        <v>61.161999999999999</v>
      </c>
    </row>
    <row r="197" spans="2:10" ht="16.5" thickBot="1" x14ac:dyDescent="0.3">
      <c r="B197" s="544">
        <v>41945</v>
      </c>
      <c r="C197" s="361">
        <v>11</v>
      </c>
      <c r="D197" s="555" t="s">
        <v>185</v>
      </c>
      <c r="E197" s="555">
        <v>2</v>
      </c>
      <c r="F197" s="555">
        <v>2014</v>
      </c>
      <c r="G197" s="556">
        <v>61.52</v>
      </c>
      <c r="H197" s="556">
        <v>61.515000000000001</v>
      </c>
      <c r="I197" s="556">
        <v>61.7</v>
      </c>
      <c r="J197" s="556">
        <v>61.3</v>
      </c>
    </row>
    <row r="198" spans="2:10" ht="16.5" thickBot="1" x14ac:dyDescent="0.3">
      <c r="B198" s="544">
        <v>41952</v>
      </c>
      <c r="C198" s="361">
        <v>11</v>
      </c>
      <c r="D198" s="555" t="s">
        <v>185</v>
      </c>
      <c r="E198" s="555">
        <v>9</v>
      </c>
      <c r="F198" s="555">
        <v>2014</v>
      </c>
      <c r="G198" s="556">
        <v>61.715000000000003</v>
      </c>
      <c r="H198" s="556">
        <v>61.46</v>
      </c>
      <c r="I198" s="556">
        <v>61.86</v>
      </c>
      <c r="J198" s="556">
        <v>61.37</v>
      </c>
    </row>
    <row r="199" spans="2:10" ht="16.5" thickBot="1" x14ac:dyDescent="0.3">
      <c r="B199" s="544">
        <v>41959</v>
      </c>
      <c r="C199" s="361">
        <v>11</v>
      </c>
      <c r="D199" s="555" t="s">
        <v>185</v>
      </c>
      <c r="E199" s="555">
        <v>16</v>
      </c>
      <c r="F199" s="555">
        <v>2014</v>
      </c>
      <c r="G199" s="556">
        <v>61.767000000000003</v>
      </c>
      <c r="H199" s="556">
        <v>61.625</v>
      </c>
      <c r="I199" s="556">
        <v>62.225000000000001</v>
      </c>
      <c r="J199" s="556">
        <v>61.625</v>
      </c>
    </row>
    <row r="200" spans="2:10" ht="16.5" thickBot="1" x14ac:dyDescent="0.3">
      <c r="B200" s="544">
        <v>41966</v>
      </c>
      <c r="C200" s="361">
        <v>11</v>
      </c>
      <c r="D200" s="555" t="s">
        <v>185</v>
      </c>
      <c r="E200" s="555">
        <v>23</v>
      </c>
      <c r="F200" s="555">
        <v>2014</v>
      </c>
      <c r="G200" s="556">
        <v>62.21</v>
      </c>
      <c r="H200" s="556">
        <v>61.704999999999998</v>
      </c>
      <c r="I200" s="556">
        <v>62.25</v>
      </c>
      <c r="J200" s="556">
        <v>61.664999999999999</v>
      </c>
    </row>
    <row r="201" spans="2:10" ht="16.5" thickBot="1" x14ac:dyDescent="0.3">
      <c r="B201" s="544">
        <v>41973</v>
      </c>
      <c r="C201" s="361">
        <v>11</v>
      </c>
      <c r="D201" s="555" t="s">
        <v>185</v>
      </c>
      <c r="E201" s="555">
        <v>30</v>
      </c>
      <c r="F201" s="555">
        <v>2014</v>
      </c>
      <c r="G201" s="556">
        <v>61.917999999999999</v>
      </c>
      <c r="H201" s="556">
        <v>62.064999999999998</v>
      </c>
      <c r="I201" s="556">
        <v>62.244999999999997</v>
      </c>
      <c r="J201" s="556">
        <v>61.78</v>
      </c>
    </row>
    <row r="202" spans="2:10" ht="16.5" thickBot="1" x14ac:dyDescent="0.3">
      <c r="B202" s="544">
        <v>41980</v>
      </c>
      <c r="C202" s="361">
        <v>12</v>
      </c>
      <c r="D202" s="555" t="s">
        <v>184</v>
      </c>
      <c r="E202" s="555">
        <v>7</v>
      </c>
      <c r="F202" s="555">
        <v>2014</v>
      </c>
      <c r="G202" s="556">
        <v>62.524999999999999</v>
      </c>
      <c r="H202" s="556">
        <v>61.98</v>
      </c>
      <c r="I202" s="556">
        <v>62.534999999999997</v>
      </c>
      <c r="J202" s="556">
        <v>61.77</v>
      </c>
    </row>
    <row r="203" spans="2:10" ht="16.5" thickBot="1" x14ac:dyDescent="0.3">
      <c r="B203" s="544">
        <v>41987</v>
      </c>
      <c r="C203" s="361">
        <v>12</v>
      </c>
      <c r="D203" s="555" t="s">
        <v>184</v>
      </c>
      <c r="E203" s="555">
        <v>14</v>
      </c>
      <c r="F203" s="555">
        <v>2014</v>
      </c>
      <c r="G203" s="556">
        <v>63.244999999999997</v>
      </c>
      <c r="H203" s="556">
        <v>62.204999999999998</v>
      </c>
      <c r="I203" s="556">
        <v>63.884999999999998</v>
      </c>
      <c r="J203" s="556">
        <v>62.204999999999998</v>
      </c>
    </row>
    <row r="204" spans="2:10" ht="16.5" thickBot="1" x14ac:dyDescent="0.3">
      <c r="B204" s="544">
        <v>41994</v>
      </c>
      <c r="C204" s="361">
        <v>12</v>
      </c>
      <c r="D204" s="555" t="s">
        <v>184</v>
      </c>
      <c r="E204" s="555">
        <v>21</v>
      </c>
      <c r="F204" s="555">
        <v>2014</v>
      </c>
      <c r="G204" s="556">
        <v>63.561999999999998</v>
      </c>
      <c r="H204" s="556">
        <v>63.244999999999997</v>
      </c>
      <c r="I204" s="556">
        <v>63.69</v>
      </c>
      <c r="J204" s="556">
        <v>63.134999999999998</v>
      </c>
    </row>
    <row r="205" spans="2:10" ht="16.5" thickBot="1" x14ac:dyDescent="0.3">
      <c r="B205" s="544">
        <v>42001</v>
      </c>
      <c r="C205" s="361">
        <v>12</v>
      </c>
      <c r="D205" s="555" t="s">
        <v>184</v>
      </c>
      <c r="E205" s="555">
        <v>28</v>
      </c>
      <c r="F205" s="555">
        <v>2014</v>
      </c>
      <c r="G205" s="556">
        <v>63.284999999999997</v>
      </c>
      <c r="H205" s="556">
        <v>63.674999999999997</v>
      </c>
      <c r="I205" s="556">
        <v>63.805</v>
      </c>
      <c r="J205" s="556">
        <v>63.045000000000002</v>
      </c>
    </row>
    <row r="206" spans="2:10" ht="16.5" thickBot="1" x14ac:dyDescent="0.3">
      <c r="B206" s="544">
        <v>42008</v>
      </c>
      <c r="C206" s="361">
        <v>1</v>
      </c>
      <c r="D206" s="555" t="s">
        <v>183</v>
      </c>
      <c r="E206" s="555">
        <v>4</v>
      </c>
      <c r="F206" s="555">
        <v>2015</v>
      </c>
      <c r="G206" s="556">
        <v>62.354999999999997</v>
      </c>
      <c r="H206" s="556">
        <v>63.44</v>
      </c>
      <c r="I206" s="556">
        <v>63.63</v>
      </c>
      <c r="J206" s="556">
        <v>62.3</v>
      </c>
    </row>
    <row r="207" spans="2:10" ht="16.5" thickBot="1" x14ac:dyDescent="0.3">
      <c r="B207" s="544">
        <v>42015</v>
      </c>
      <c r="C207" s="361">
        <v>1</v>
      </c>
      <c r="D207" s="555" t="s">
        <v>183</v>
      </c>
      <c r="E207" s="555">
        <v>11</v>
      </c>
      <c r="F207" s="555">
        <v>2015</v>
      </c>
      <c r="G207" s="556">
        <v>61.87</v>
      </c>
      <c r="H207" s="556">
        <v>62.35</v>
      </c>
      <c r="I207" s="556">
        <v>62.35</v>
      </c>
      <c r="J207" s="556">
        <v>61.484999999999999</v>
      </c>
    </row>
    <row r="208" spans="2:10" ht="16.5" thickBot="1" x14ac:dyDescent="0.3">
      <c r="B208" s="544">
        <v>42022</v>
      </c>
      <c r="C208" s="361">
        <v>1</v>
      </c>
      <c r="D208" s="555" t="s">
        <v>183</v>
      </c>
      <c r="E208" s="555">
        <v>18</v>
      </c>
      <c r="F208" s="555">
        <v>2015</v>
      </c>
      <c r="G208" s="556">
        <v>61.44</v>
      </c>
      <c r="H208" s="556">
        <v>61.65</v>
      </c>
      <c r="I208" s="556">
        <v>61.91</v>
      </c>
      <c r="J208" s="556">
        <v>61.372999999999998</v>
      </c>
    </row>
    <row r="209" spans="2:10" ht="16.5" thickBot="1" x14ac:dyDescent="0.3">
      <c r="B209" s="544">
        <v>42029</v>
      </c>
      <c r="C209" s="361">
        <v>1</v>
      </c>
      <c r="D209" s="555" t="s">
        <v>183</v>
      </c>
      <c r="E209" s="555">
        <v>25</v>
      </c>
      <c r="F209" s="555">
        <v>2015</v>
      </c>
      <c r="G209" s="556">
        <v>62.02</v>
      </c>
      <c r="H209" s="556">
        <v>61.51</v>
      </c>
      <c r="I209" s="556">
        <v>62.034999999999997</v>
      </c>
      <c r="J209" s="556">
        <v>61.265000000000001</v>
      </c>
    </row>
    <row r="210" spans="2:10" ht="16.5" thickBot="1" x14ac:dyDescent="0.3">
      <c r="B210" s="544">
        <v>42036</v>
      </c>
      <c r="C210" s="361">
        <v>2</v>
      </c>
      <c r="D210" s="555" t="s">
        <v>182</v>
      </c>
      <c r="E210" s="555">
        <v>1</v>
      </c>
      <c r="F210" s="555">
        <v>2015</v>
      </c>
      <c r="G210" s="556">
        <v>61.97</v>
      </c>
      <c r="H210" s="556">
        <v>61.999000000000002</v>
      </c>
      <c r="I210" s="556">
        <v>62.08</v>
      </c>
      <c r="J210" s="556">
        <v>61.56</v>
      </c>
    </row>
    <row r="211" spans="2:10" ht="16.5" thickBot="1" x14ac:dyDescent="0.3">
      <c r="B211" s="544">
        <v>42043</v>
      </c>
      <c r="C211" s="361">
        <v>2</v>
      </c>
      <c r="D211" s="555" t="s">
        <v>182</v>
      </c>
      <c r="E211" s="555">
        <v>8</v>
      </c>
      <c r="F211" s="555">
        <v>2015</v>
      </c>
      <c r="G211" s="556">
        <v>62.076000000000001</v>
      </c>
      <c r="H211" s="556">
        <v>62.058</v>
      </c>
      <c r="I211" s="556">
        <v>62.54</v>
      </c>
      <c r="J211" s="556">
        <v>61.93</v>
      </c>
    </row>
    <row r="212" spans="2:10" ht="16.5" thickBot="1" x14ac:dyDescent="0.3">
      <c r="B212" s="544">
        <v>42050</v>
      </c>
      <c r="C212" s="361">
        <v>2</v>
      </c>
      <c r="D212" s="555" t="s">
        <v>182</v>
      </c>
      <c r="E212" s="555">
        <v>15</v>
      </c>
      <c r="F212" s="555">
        <v>2015</v>
      </c>
      <c r="G212" s="556">
        <v>62.109000000000002</v>
      </c>
      <c r="H212" s="556">
        <v>62.113999999999997</v>
      </c>
      <c r="I212" s="556">
        <v>62.360999999999997</v>
      </c>
      <c r="J212" s="556">
        <v>62.005000000000003</v>
      </c>
    </row>
    <row r="213" spans="2:10" ht="16.5" thickBot="1" x14ac:dyDescent="0.3">
      <c r="B213" s="544">
        <v>42057</v>
      </c>
      <c r="C213" s="361">
        <v>2</v>
      </c>
      <c r="D213" s="555" t="s">
        <v>182</v>
      </c>
      <c r="E213" s="555">
        <v>22</v>
      </c>
      <c r="F213" s="555">
        <v>2015</v>
      </c>
      <c r="G213" s="556">
        <v>61.658999999999999</v>
      </c>
      <c r="H213" s="556">
        <v>62.27</v>
      </c>
      <c r="I213" s="556">
        <v>62.36</v>
      </c>
      <c r="J213" s="556">
        <v>61.658000000000001</v>
      </c>
    </row>
    <row r="214" spans="2:10" ht="16.5" thickBot="1" x14ac:dyDescent="0.3">
      <c r="B214" s="544">
        <v>42064</v>
      </c>
      <c r="C214" s="361">
        <v>3</v>
      </c>
      <c r="D214" s="555" t="s">
        <v>181</v>
      </c>
      <c r="E214" s="555">
        <v>1</v>
      </c>
      <c r="F214" s="555">
        <v>2015</v>
      </c>
      <c r="G214" s="556">
        <v>62.46</v>
      </c>
      <c r="H214" s="556">
        <v>61.712000000000003</v>
      </c>
      <c r="I214" s="556">
        <v>62.463000000000001</v>
      </c>
      <c r="J214" s="556">
        <v>61.658999999999999</v>
      </c>
    </row>
    <row r="215" spans="2:10" ht="16.5" thickBot="1" x14ac:dyDescent="0.3">
      <c r="B215" s="544">
        <v>42071</v>
      </c>
      <c r="C215" s="361">
        <v>3</v>
      </c>
      <c r="D215" s="555" t="s">
        <v>181</v>
      </c>
      <c r="E215" s="555">
        <v>8</v>
      </c>
      <c r="F215" s="555">
        <v>2015</v>
      </c>
      <c r="G215" s="556">
        <v>63.082999999999998</v>
      </c>
      <c r="H215" s="556">
        <v>62.472999999999999</v>
      </c>
      <c r="I215" s="556">
        <v>63.125999999999998</v>
      </c>
      <c r="J215" s="556">
        <v>62.398000000000003</v>
      </c>
    </row>
    <row r="216" spans="2:10" ht="16.5" thickBot="1" x14ac:dyDescent="0.3">
      <c r="B216" s="544">
        <v>42078</v>
      </c>
      <c r="C216" s="361">
        <v>3</v>
      </c>
      <c r="D216" s="555" t="s">
        <v>181</v>
      </c>
      <c r="E216" s="555">
        <v>15</v>
      </c>
      <c r="F216" s="555">
        <v>2015</v>
      </c>
      <c r="G216" s="556">
        <v>62.41</v>
      </c>
      <c r="H216" s="556">
        <v>63.094000000000001</v>
      </c>
      <c r="I216" s="556">
        <v>63.145000000000003</v>
      </c>
      <c r="J216" s="556">
        <v>62.375</v>
      </c>
    </row>
    <row r="217" spans="2:10" ht="16.5" thickBot="1" x14ac:dyDescent="0.3">
      <c r="B217" s="544">
        <v>42085</v>
      </c>
      <c r="C217" s="361">
        <v>3</v>
      </c>
      <c r="D217" s="555" t="s">
        <v>181</v>
      </c>
      <c r="E217" s="555">
        <v>22</v>
      </c>
      <c r="F217" s="555">
        <v>2015</v>
      </c>
      <c r="G217" s="556">
        <v>62.523000000000003</v>
      </c>
      <c r="H217" s="556">
        <v>62.41</v>
      </c>
      <c r="I217" s="556">
        <v>62.850999999999999</v>
      </c>
      <c r="J217" s="556">
        <v>62.14</v>
      </c>
    </row>
    <row r="218" spans="2:10" ht="16.5" thickBot="1" x14ac:dyDescent="0.3">
      <c r="B218" s="544">
        <v>42092</v>
      </c>
      <c r="C218" s="361">
        <v>3</v>
      </c>
      <c r="D218" s="555" t="s">
        <v>181</v>
      </c>
      <c r="E218" s="555">
        <v>29</v>
      </c>
      <c r="F218" s="555">
        <v>2015</v>
      </c>
      <c r="G218" s="556">
        <v>61.96</v>
      </c>
      <c r="H218" s="556">
        <v>62.533999999999999</v>
      </c>
      <c r="I218" s="556">
        <v>62.7</v>
      </c>
      <c r="J218" s="556">
        <v>61.936</v>
      </c>
    </row>
    <row r="219" spans="2:10" ht="16.5" thickBot="1" x14ac:dyDescent="0.3">
      <c r="B219" s="544">
        <v>42099</v>
      </c>
      <c r="C219" s="361">
        <v>4</v>
      </c>
      <c r="D219" s="555" t="s">
        <v>261</v>
      </c>
      <c r="E219" s="555">
        <v>5</v>
      </c>
      <c r="F219" s="555">
        <v>2015</v>
      </c>
      <c r="G219" s="556">
        <v>62.276000000000003</v>
      </c>
      <c r="H219" s="556">
        <v>61.93</v>
      </c>
      <c r="I219" s="556">
        <v>62.43</v>
      </c>
      <c r="J219" s="556">
        <v>61.93</v>
      </c>
    </row>
    <row r="220" spans="2:10" ht="16.5" thickBot="1" x14ac:dyDescent="0.3">
      <c r="B220" s="544">
        <v>42106</v>
      </c>
      <c r="C220" s="361">
        <v>4</v>
      </c>
      <c r="D220" s="555" t="s">
        <v>261</v>
      </c>
      <c r="E220" s="555">
        <v>12</v>
      </c>
      <c r="F220" s="555">
        <v>2015</v>
      </c>
      <c r="G220" s="556">
        <v>62.55</v>
      </c>
      <c r="H220" s="556">
        <v>62.183999999999997</v>
      </c>
      <c r="I220" s="556">
        <v>62.575000000000003</v>
      </c>
      <c r="J220" s="556">
        <v>62.18</v>
      </c>
    </row>
    <row r="221" spans="2:10" ht="16.5" thickBot="1" x14ac:dyDescent="0.3">
      <c r="B221" s="544">
        <v>42113</v>
      </c>
      <c r="C221" s="361">
        <v>4</v>
      </c>
      <c r="D221" s="555" t="s">
        <v>261</v>
      </c>
      <c r="E221" s="555">
        <v>19</v>
      </c>
      <c r="F221" s="555">
        <v>2015</v>
      </c>
      <c r="G221" s="556">
        <v>63.661999999999999</v>
      </c>
      <c r="H221" s="556">
        <v>62.554000000000002</v>
      </c>
      <c r="I221" s="556">
        <v>63.683</v>
      </c>
      <c r="J221" s="556">
        <v>62.5</v>
      </c>
    </row>
    <row r="222" spans="2:10" ht="16.5" thickBot="1" x14ac:dyDescent="0.3">
      <c r="B222" s="544">
        <v>42120</v>
      </c>
      <c r="C222" s="361">
        <v>4</v>
      </c>
      <c r="D222" s="555" t="s">
        <v>261</v>
      </c>
      <c r="E222" s="555">
        <v>26</v>
      </c>
      <c r="F222" s="555">
        <v>2015</v>
      </c>
      <c r="G222" s="556">
        <v>63.719000000000001</v>
      </c>
      <c r="H222" s="556">
        <v>63.747</v>
      </c>
      <c r="I222" s="556">
        <v>63.78</v>
      </c>
      <c r="J222" s="556">
        <v>63.027000000000001</v>
      </c>
    </row>
    <row r="223" spans="2:10" ht="16.5" thickBot="1" x14ac:dyDescent="0.3">
      <c r="B223" s="544">
        <v>42127</v>
      </c>
      <c r="C223" s="361">
        <v>5</v>
      </c>
      <c r="D223" s="555" t="s">
        <v>191</v>
      </c>
      <c r="E223" s="555">
        <v>3</v>
      </c>
      <c r="F223" s="555">
        <v>2015</v>
      </c>
      <c r="G223" s="556">
        <v>63.710999999999999</v>
      </c>
      <c r="H223" s="556">
        <v>63.692</v>
      </c>
      <c r="I223" s="556">
        <v>64.290000000000006</v>
      </c>
      <c r="J223" s="556">
        <v>63.31</v>
      </c>
    </row>
    <row r="224" spans="2:10" ht="16.5" thickBot="1" x14ac:dyDescent="0.3">
      <c r="B224" s="544">
        <v>42134</v>
      </c>
      <c r="C224" s="361">
        <v>5</v>
      </c>
      <c r="D224" s="555" t="s">
        <v>191</v>
      </c>
      <c r="E224" s="555">
        <v>10</v>
      </c>
      <c r="F224" s="555">
        <v>2015</v>
      </c>
      <c r="G224" s="556">
        <v>63.44</v>
      </c>
      <c r="H224" s="556">
        <v>63.704999999999998</v>
      </c>
      <c r="I224" s="556">
        <v>64.39</v>
      </c>
      <c r="J224" s="556">
        <v>63.347000000000001</v>
      </c>
    </row>
    <row r="225" spans="2:10" ht="16.5" thickBot="1" x14ac:dyDescent="0.3">
      <c r="B225" s="544">
        <v>42141</v>
      </c>
      <c r="C225" s="361">
        <v>5</v>
      </c>
      <c r="D225" s="555" t="s">
        <v>191</v>
      </c>
      <c r="E225" s="555">
        <v>17</v>
      </c>
      <c r="F225" s="555">
        <v>2015</v>
      </c>
      <c r="G225" s="556">
        <v>63.49</v>
      </c>
      <c r="H225" s="556">
        <v>63.442</v>
      </c>
      <c r="I225" s="556">
        <v>63.9</v>
      </c>
      <c r="J225" s="556">
        <v>63.424999999999997</v>
      </c>
    </row>
    <row r="226" spans="2:10" ht="16.5" thickBot="1" x14ac:dyDescent="0.3">
      <c r="B226" s="544">
        <v>42148</v>
      </c>
      <c r="C226" s="361">
        <v>5</v>
      </c>
      <c r="D226" s="555" t="s">
        <v>191</v>
      </c>
      <c r="E226" s="555">
        <v>24</v>
      </c>
      <c r="F226" s="555">
        <v>2015</v>
      </c>
      <c r="G226" s="556">
        <v>63.743000000000002</v>
      </c>
      <c r="H226" s="556">
        <v>63.511000000000003</v>
      </c>
      <c r="I226" s="556">
        <v>64.17</v>
      </c>
      <c r="J226" s="556">
        <v>63.49</v>
      </c>
    </row>
    <row r="227" spans="2:10" ht="16.5" thickBot="1" x14ac:dyDescent="0.3">
      <c r="B227" s="544">
        <v>42155</v>
      </c>
      <c r="C227" s="361">
        <v>5</v>
      </c>
      <c r="D227" s="555" t="s">
        <v>191</v>
      </c>
      <c r="E227" s="555">
        <v>31</v>
      </c>
      <c r="F227" s="555">
        <v>2015</v>
      </c>
      <c r="G227" s="556">
        <v>63.77</v>
      </c>
      <c r="H227" s="556">
        <v>63.732999999999997</v>
      </c>
      <c r="I227" s="556">
        <v>64.27</v>
      </c>
      <c r="J227" s="556">
        <v>63.53</v>
      </c>
    </row>
    <row r="228" spans="2:10" ht="16.5" thickBot="1" x14ac:dyDescent="0.3">
      <c r="B228" s="544">
        <v>42162</v>
      </c>
      <c r="C228" s="361">
        <v>6</v>
      </c>
      <c r="D228" s="555" t="s">
        <v>555</v>
      </c>
      <c r="E228" s="555">
        <v>7</v>
      </c>
      <c r="F228" s="555">
        <v>2015</v>
      </c>
      <c r="G228" s="556">
        <v>64.099999999999994</v>
      </c>
      <c r="H228" s="556">
        <v>64.111000000000004</v>
      </c>
      <c r="I228" s="556">
        <v>64.2</v>
      </c>
      <c r="J228" s="556">
        <v>63.75</v>
      </c>
    </row>
    <row r="229" spans="2:10" ht="16.5" thickBot="1" x14ac:dyDescent="0.3">
      <c r="B229" s="544">
        <v>42169</v>
      </c>
      <c r="C229" s="361">
        <v>6</v>
      </c>
      <c r="D229" s="555" t="s">
        <v>555</v>
      </c>
      <c r="E229" s="555">
        <v>14</v>
      </c>
      <c r="F229" s="555">
        <v>2015</v>
      </c>
      <c r="G229" s="556">
        <v>63.5</v>
      </c>
      <c r="H229" s="556">
        <v>64.099999999999994</v>
      </c>
      <c r="I229" s="556">
        <v>64.33</v>
      </c>
      <c r="J229" s="556">
        <v>63.42</v>
      </c>
    </row>
    <row r="230" spans="2:10" ht="16.5" thickBot="1" x14ac:dyDescent="0.3">
      <c r="B230" s="544">
        <v>42176</v>
      </c>
      <c r="C230" s="361">
        <v>6</v>
      </c>
      <c r="D230" s="555" t="s">
        <v>555</v>
      </c>
      <c r="E230" s="555">
        <v>21</v>
      </c>
      <c r="F230" s="555">
        <v>2015</v>
      </c>
      <c r="G230" s="556">
        <v>63.451999999999998</v>
      </c>
      <c r="H230" s="556">
        <v>63.531999999999996</v>
      </c>
      <c r="I230" s="556">
        <v>63.71</v>
      </c>
      <c r="J230" s="556">
        <v>63.44</v>
      </c>
    </row>
    <row r="231" spans="2:10" ht="16.5" thickBot="1" x14ac:dyDescent="0.3">
      <c r="B231" s="544">
        <v>42183</v>
      </c>
      <c r="C231" s="361">
        <v>6</v>
      </c>
      <c r="D231" s="555" t="s">
        <v>555</v>
      </c>
      <c r="E231" s="555">
        <v>28</v>
      </c>
      <c r="F231" s="555">
        <v>2015</v>
      </c>
      <c r="G231" s="556">
        <v>63.411000000000001</v>
      </c>
      <c r="H231" s="556">
        <v>63.523000000000003</v>
      </c>
      <c r="I231" s="556">
        <v>63.95</v>
      </c>
      <c r="J231" s="556">
        <v>63.295999999999999</v>
      </c>
    </row>
    <row r="232" spans="2:10" ht="16.5" thickBot="1" x14ac:dyDescent="0.3">
      <c r="B232" s="544">
        <v>42190</v>
      </c>
      <c r="C232" s="361">
        <v>7</v>
      </c>
      <c r="D232" s="555" t="s">
        <v>556</v>
      </c>
      <c r="E232" s="555">
        <v>5</v>
      </c>
      <c r="F232" s="555">
        <v>2015</v>
      </c>
      <c r="G232" s="556">
        <v>63.357999999999997</v>
      </c>
      <c r="H232" s="556">
        <v>63.427</v>
      </c>
      <c r="I232" s="556">
        <v>63.66</v>
      </c>
      <c r="J232" s="556">
        <v>63.253999999999998</v>
      </c>
    </row>
    <row r="233" spans="2:10" ht="16.5" thickBot="1" x14ac:dyDescent="0.3">
      <c r="B233" s="544">
        <v>42197</v>
      </c>
      <c r="C233" s="361">
        <v>7</v>
      </c>
      <c r="D233" s="555" t="s">
        <v>556</v>
      </c>
      <c r="E233" s="555">
        <v>12</v>
      </c>
      <c r="F233" s="555">
        <v>2015</v>
      </c>
      <c r="G233" s="556">
        <v>63.491999999999997</v>
      </c>
      <c r="H233" s="556">
        <v>63.359000000000002</v>
      </c>
      <c r="I233" s="556">
        <v>63.61</v>
      </c>
      <c r="J233" s="556">
        <v>63.265000000000001</v>
      </c>
    </row>
    <row r="234" spans="2:10" ht="16.5" thickBot="1" x14ac:dyDescent="0.3">
      <c r="B234" s="544">
        <v>42204</v>
      </c>
      <c r="C234" s="361">
        <v>7</v>
      </c>
      <c r="D234" s="555" t="s">
        <v>556</v>
      </c>
      <c r="E234" s="555">
        <v>19</v>
      </c>
      <c r="F234" s="555">
        <v>2015</v>
      </c>
      <c r="G234" s="556">
        <v>64.105999999999995</v>
      </c>
      <c r="H234" s="556">
        <v>63.482999999999997</v>
      </c>
      <c r="I234" s="556">
        <v>64.180000000000007</v>
      </c>
      <c r="J234" s="556">
        <v>63.47</v>
      </c>
    </row>
    <row r="235" spans="2:10" ht="16.5" thickBot="1" x14ac:dyDescent="0.3">
      <c r="B235" s="544">
        <v>42211</v>
      </c>
      <c r="C235" s="361">
        <v>7</v>
      </c>
      <c r="D235" s="555" t="s">
        <v>556</v>
      </c>
      <c r="E235" s="555">
        <v>26</v>
      </c>
      <c r="F235" s="555">
        <v>2015</v>
      </c>
      <c r="G235" s="556">
        <v>63.988</v>
      </c>
      <c r="H235" s="556">
        <v>64.16</v>
      </c>
      <c r="I235" s="556">
        <v>64.27</v>
      </c>
      <c r="J235" s="556">
        <v>63.74</v>
      </c>
    </row>
    <row r="236" spans="2:10" ht="16.5" thickBot="1" x14ac:dyDescent="0.3">
      <c r="B236" s="544">
        <v>42218</v>
      </c>
      <c r="C236" s="361">
        <v>8</v>
      </c>
      <c r="D236" s="555" t="s">
        <v>188</v>
      </c>
      <c r="E236" s="555">
        <v>2</v>
      </c>
      <c r="F236" s="555">
        <v>2015</v>
      </c>
      <c r="G236" s="556">
        <v>63.738999999999997</v>
      </c>
      <c r="H236" s="556">
        <v>63.996000000000002</v>
      </c>
      <c r="I236" s="556">
        <v>64.19</v>
      </c>
      <c r="J236" s="556">
        <v>63.65</v>
      </c>
    </row>
    <row r="237" spans="2:10" ht="16.5" thickBot="1" x14ac:dyDescent="0.3">
      <c r="B237" s="544">
        <v>42225</v>
      </c>
      <c r="C237" s="361">
        <v>8</v>
      </c>
      <c r="D237" s="555" t="s">
        <v>188</v>
      </c>
      <c r="E237" s="555">
        <v>9</v>
      </c>
      <c r="F237" s="555">
        <v>2015</v>
      </c>
      <c r="G237" s="556">
        <v>65.129000000000005</v>
      </c>
      <c r="H237" s="556">
        <v>63.744</v>
      </c>
      <c r="I237" s="556">
        <v>65.38</v>
      </c>
      <c r="J237" s="556">
        <v>63.707000000000001</v>
      </c>
    </row>
    <row r="238" spans="2:10" ht="16.5" thickBot="1" x14ac:dyDescent="0.3">
      <c r="B238" s="544">
        <v>42232</v>
      </c>
      <c r="C238" s="361">
        <v>8</v>
      </c>
      <c r="D238" s="555" t="s">
        <v>188</v>
      </c>
      <c r="E238" s="555">
        <v>16</v>
      </c>
      <c r="F238" s="555">
        <v>2015</v>
      </c>
      <c r="G238" s="556">
        <v>66.034000000000006</v>
      </c>
      <c r="H238" s="556">
        <v>65.096999999999994</v>
      </c>
      <c r="I238" s="556">
        <v>66.045000000000002</v>
      </c>
      <c r="J238" s="556">
        <v>65.061000000000007</v>
      </c>
    </row>
    <row r="239" spans="2:10" ht="16.5" thickBot="1" x14ac:dyDescent="0.3">
      <c r="B239" s="544">
        <v>42239</v>
      </c>
      <c r="C239" s="361">
        <v>8</v>
      </c>
      <c r="D239" s="555" t="s">
        <v>188</v>
      </c>
      <c r="E239" s="555">
        <v>23</v>
      </c>
      <c r="F239" s="555">
        <v>2015</v>
      </c>
      <c r="G239" s="556">
        <v>66.150000000000006</v>
      </c>
      <c r="H239" s="556">
        <v>66.39</v>
      </c>
      <c r="I239" s="556">
        <v>66.91</v>
      </c>
      <c r="J239" s="556">
        <v>65.864999999999995</v>
      </c>
    </row>
    <row r="240" spans="2:10" ht="16.5" thickBot="1" x14ac:dyDescent="0.3">
      <c r="B240" s="544">
        <v>42246</v>
      </c>
      <c r="C240" s="361">
        <v>8</v>
      </c>
      <c r="D240" s="555" t="s">
        <v>188</v>
      </c>
      <c r="E240" s="555">
        <v>30</v>
      </c>
      <c r="F240" s="555">
        <v>2015</v>
      </c>
      <c r="G240" s="556">
        <v>66.685000000000002</v>
      </c>
      <c r="H240" s="556">
        <v>66.150000000000006</v>
      </c>
      <c r="I240" s="556">
        <v>66.784999999999997</v>
      </c>
      <c r="J240" s="556">
        <v>66.040000000000006</v>
      </c>
    </row>
    <row r="241" spans="2:10" ht="16.5" thickBot="1" x14ac:dyDescent="0.3">
      <c r="B241" s="544">
        <v>42253</v>
      </c>
      <c r="C241" s="16">
        <v>9</v>
      </c>
      <c r="D241" s="555" t="s">
        <v>187</v>
      </c>
      <c r="E241" s="555">
        <v>6</v>
      </c>
      <c r="F241" s="555">
        <v>2015</v>
      </c>
      <c r="G241" s="556">
        <v>66.241</v>
      </c>
      <c r="H241" s="556">
        <v>66.725999999999999</v>
      </c>
      <c r="I241" s="556">
        <v>66.912999999999997</v>
      </c>
      <c r="J241" s="556">
        <v>66.238</v>
      </c>
    </row>
    <row r="242" spans="2:10" ht="16.5" thickBot="1" x14ac:dyDescent="0.3">
      <c r="B242" s="544">
        <v>42260</v>
      </c>
      <c r="C242" s="16">
        <v>9</v>
      </c>
      <c r="D242" s="555" t="s">
        <v>187</v>
      </c>
      <c r="E242" s="555">
        <v>13</v>
      </c>
      <c r="F242" s="555">
        <v>2015</v>
      </c>
      <c r="G242" s="556">
        <v>65.867999999999995</v>
      </c>
      <c r="H242" s="556">
        <v>66.242000000000004</v>
      </c>
      <c r="I242" s="556">
        <v>66.52</v>
      </c>
      <c r="J242" s="556">
        <v>65.67</v>
      </c>
    </row>
    <row r="243" spans="2:10" ht="16.5" thickBot="1" x14ac:dyDescent="0.3">
      <c r="B243" s="544">
        <v>42267</v>
      </c>
      <c r="C243" s="16">
        <v>9</v>
      </c>
      <c r="D243" s="555" t="s">
        <v>187</v>
      </c>
      <c r="E243" s="555">
        <v>20</v>
      </c>
      <c r="F243" s="555">
        <v>2015</v>
      </c>
      <c r="G243" s="556">
        <v>66.17</v>
      </c>
      <c r="H243" s="556">
        <v>65.869</v>
      </c>
      <c r="I243" s="556">
        <v>66.38</v>
      </c>
      <c r="J243" s="556">
        <v>65.56</v>
      </c>
    </row>
    <row r="244" spans="2:10" ht="16.5" thickBot="1" x14ac:dyDescent="0.3">
      <c r="B244" s="544">
        <v>42274</v>
      </c>
      <c r="C244" s="16">
        <v>9</v>
      </c>
      <c r="D244" s="555" t="s">
        <v>187</v>
      </c>
      <c r="E244" s="555">
        <v>27</v>
      </c>
      <c r="F244" s="555">
        <v>2015</v>
      </c>
      <c r="G244" s="556">
        <v>65.364000000000004</v>
      </c>
      <c r="H244" s="556">
        <v>66.16</v>
      </c>
      <c r="I244" s="556">
        <v>66.441000000000003</v>
      </c>
      <c r="J244" s="556">
        <v>65.358000000000004</v>
      </c>
    </row>
    <row r="245" spans="2:10" ht="16.5" thickBot="1" x14ac:dyDescent="0.3">
      <c r="B245" s="544">
        <v>42281</v>
      </c>
      <c r="C245" s="16">
        <v>10</v>
      </c>
      <c r="D245" s="555" t="s">
        <v>186</v>
      </c>
      <c r="E245" s="555">
        <v>4</v>
      </c>
      <c r="F245" s="555">
        <v>2015</v>
      </c>
      <c r="G245" s="556">
        <v>64.78</v>
      </c>
      <c r="H245" s="556">
        <v>65.155000000000001</v>
      </c>
      <c r="I245" s="556">
        <v>65.44</v>
      </c>
      <c r="J245" s="556">
        <v>64.688999999999993</v>
      </c>
    </row>
    <row r="246" spans="2:10" ht="16.5" thickBot="1" x14ac:dyDescent="0.3">
      <c r="B246" s="544">
        <v>42288</v>
      </c>
      <c r="C246" s="16">
        <v>10</v>
      </c>
      <c r="D246" s="555" t="s">
        <v>186</v>
      </c>
      <c r="E246" s="555">
        <v>11</v>
      </c>
      <c r="F246" s="555">
        <v>2015</v>
      </c>
      <c r="G246" s="556">
        <v>64.703000000000003</v>
      </c>
      <c r="H246" s="556">
        <v>64.778999999999996</v>
      </c>
      <c r="I246" s="556">
        <v>65.191999999999993</v>
      </c>
      <c r="J246" s="556">
        <v>64.638999999999996</v>
      </c>
    </row>
    <row r="247" spans="2:10" ht="16.5" thickBot="1" x14ac:dyDescent="0.3">
      <c r="B247" s="544">
        <v>42295</v>
      </c>
      <c r="C247" s="16">
        <v>10</v>
      </c>
      <c r="D247" s="555" t="s">
        <v>186</v>
      </c>
      <c r="E247" s="555">
        <v>18</v>
      </c>
      <c r="F247" s="555">
        <v>2015</v>
      </c>
      <c r="G247" s="556">
        <v>64.891999999999996</v>
      </c>
      <c r="H247" s="556">
        <v>64.703000000000003</v>
      </c>
      <c r="I247" s="556">
        <v>65.23</v>
      </c>
      <c r="J247" s="556">
        <v>64.680999999999997</v>
      </c>
    </row>
    <row r="248" spans="2:10" ht="16.5" thickBot="1" x14ac:dyDescent="0.3">
      <c r="B248" s="544">
        <v>42302</v>
      </c>
      <c r="C248" s="16">
        <v>10</v>
      </c>
      <c r="D248" s="555" t="s">
        <v>186</v>
      </c>
      <c r="E248" s="555">
        <v>25</v>
      </c>
      <c r="F248" s="555">
        <v>2015</v>
      </c>
      <c r="G248" s="556">
        <v>65.423000000000002</v>
      </c>
      <c r="H248" s="556">
        <v>64.963999999999999</v>
      </c>
      <c r="I248" s="556">
        <v>65.47</v>
      </c>
      <c r="J248" s="556">
        <v>64.787999999999997</v>
      </c>
    </row>
    <row r="249" spans="2:10" ht="16.5" thickBot="1" x14ac:dyDescent="0.3">
      <c r="B249" s="544">
        <v>42309</v>
      </c>
      <c r="C249" s="361">
        <v>11</v>
      </c>
      <c r="D249" s="555" t="s">
        <v>185</v>
      </c>
      <c r="E249" s="555">
        <v>1</v>
      </c>
      <c r="F249" s="555">
        <v>2015</v>
      </c>
      <c r="G249" s="556">
        <v>66.14</v>
      </c>
      <c r="H249" s="556">
        <v>65.412999999999997</v>
      </c>
      <c r="I249" s="556">
        <v>66.14</v>
      </c>
      <c r="J249" s="556">
        <v>65.33</v>
      </c>
    </row>
    <row r="250" spans="2:10" ht="16.5" thickBot="1" x14ac:dyDescent="0.3">
      <c r="B250" s="544">
        <v>42316</v>
      </c>
      <c r="C250" s="361">
        <v>11</v>
      </c>
      <c r="D250" s="555" t="s">
        <v>185</v>
      </c>
      <c r="E250" s="555">
        <v>8</v>
      </c>
      <c r="F250" s="555">
        <v>2015</v>
      </c>
      <c r="G250" s="556">
        <v>66.058999999999997</v>
      </c>
      <c r="H250" s="556">
        <v>66.42</v>
      </c>
      <c r="I250" s="556">
        <v>66.5</v>
      </c>
      <c r="J250" s="556">
        <v>66.004999999999995</v>
      </c>
    </row>
    <row r="251" spans="2:10" ht="16.5" thickBot="1" x14ac:dyDescent="0.3">
      <c r="B251" s="544">
        <v>42323</v>
      </c>
      <c r="C251" s="361">
        <v>11</v>
      </c>
      <c r="D251" s="555" t="s">
        <v>185</v>
      </c>
      <c r="E251" s="555">
        <v>15</v>
      </c>
      <c r="F251" s="555">
        <v>2015</v>
      </c>
      <c r="G251" s="556">
        <v>66.058000000000007</v>
      </c>
      <c r="H251" s="556">
        <v>66.078999999999994</v>
      </c>
      <c r="I251" s="556">
        <v>66.325000000000003</v>
      </c>
      <c r="J251" s="556">
        <v>65.852999999999994</v>
      </c>
    </row>
    <row r="252" spans="2:10" ht="16.5" thickBot="1" x14ac:dyDescent="0.3">
      <c r="B252" s="544">
        <v>42330</v>
      </c>
      <c r="C252" s="361">
        <v>11</v>
      </c>
      <c r="D252" s="555" t="s">
        <v>185</v>
      </c>
      <c r="E252" s="555">
        <v>22</v>
      </c>
      <c r="F252" s="555">
        <v>2015</v>
      </c>
      <c r="G252" s="556">
        <v>66.906999999999996</v>
      </c>
      <c r="H252" s="556">
        <v>66.094999999999999</v>
      </c>
      <c r="I252" s="556">
        <v>66.91</v>
      </c>
      <c r="J252" s="556">
        <v>66.057000000000002</v>
      </c>
    </row>
    <row r="253" spans="2:10" ht="16.5" thickBot="1" x14ac:dyDescent="0.3">
      <c r="B253" s="544">
        <v>42337</v>
      </c>
      <c r="C253" s="361">
        <v>11</v>
      </c>
      <c r="D253" s="555" t="s">
        <v>185</v>
      </c>
      <c r="E253" s="555">
        <v>29</v>
      </c>
      <c r="F253" s="555">
        <v>2015</v>
      </c>
      <c r="G253" s="556">
        <v>66.643000000000001</v>
      </c>
      <c r="H253" s="556">
        <v>66.834999999999994</v>
      </c>
      <c r="I253" s="556">
        <v>66.995000000000005</v>
      </c>
      <c r="J253" s="556">
        <v>66.385000000000005</v>
      </c>
    </row>
    <row r="254" spans="2:10" ht="16.5" thickBot="1" x14ac:dyDescent="0.3">
      <c r="B254" s="544">
        <v>42344</v>
      </c>
      <c r="C254" s="361">
        <v>12</v>
      </c>
      <c r="D254" s="555" t="s">
        <v>184</v>
      </c>
      <c r="E254" s="555">
        <v>6</v>
      </c>
      <c r="F254" s="555">
        <v>2015</v>
      </c>
      <c r="G254" s="556">
        <v>67.147999999999996</v>
      </c>
      <c r="H254" s="556">
        <v>66.644000000000005</v>
      </c>
      <c r="I254" s="556">
        <v>67.147999999999996</v>
      </c>
      <c r="J254" s="556">
        <v>66.569999999999993</v>
      </c>
    </row>
    <row r="255" spans="2:10" ht="16.5" thickBot="1" x14ac:dyDescent="0.3">
      <c r="B255" s="544">
        <v>42351</v>
      </c>
      <c r="C255" s="361">
        <v>12</v>
      </c>
      <c r="D255" s="555" t="s">
        <v>184</v>
      </c>
      <c r="E255" s="555">
        <v>13</v>
      </c>
      <c r="F255" s="555">
        <v>2015</v>
      </c>
      <c r="G255" s="556">
        <v>66.254999999999995</v>
      </c>
      <c r="H255" s="556">
        <v>67.099999999999994</v>
      </c>
      <c r="I255" s="556">
        <v>67.180000000000007</v>
      </c>
      <c r="J255" s="556">
        <v>66.227999999999994</v>
      </c>
    </row>
    <row r="256" spans="2:10" ht="16.5" thickBot="1" x14ac:dyDescent="0.3">
      <c r="B256" s="544">
        <v>42358</v>
      </c>
      <c r="C256" s="361">
        <v>12</v>
      </c>
      <c r="D256" s="555" t="s">
        <v>184</v>
      </c>
      <c r="E256" s="555">
        <v>20</v>
      </c>
      <c r="F256" s="555">
        <v>2015</v>
      </c>
      <c r="G256" s="556">
        <v>66.025000000000006</v>
      </c>
      <c r="H256" s="556">
        <v>66.319000000000003</v>
      </c>
      <c r="I256" s="556">
        <v>66.385000000000005</v>
      </c>
      <c r="J256" s="556">
        <v>65.945999999999998</v>
      </c>
    </row>
    <row r="257" spans="2:10" ht="16.5" thickBot="1" x14ac:dyDescent="0.3">
      <c r="B257" s="544">
        <v>42365</v>
      </c>
      <c r="C257" s="361">
        <v>12</v>
      </c>
      <c r="D257" s="555" t="s">
        <v>184</v>
      </c>
      <c r="E257" s="555">
        <v>27</v>
      </c>
      <c r="F257" s="555">
        <v>2015</v>
      </c>
      <c r="G257" s="556">
        <v>66.234999999999999</v>
      </c>
      <c r="H257" s="556">
        <v>66.03</v>
      </c>
      <c r="I257" s="556">
        <v>66.495000000000005</v>
      </c>
      <c r="J257" s="556">
        <v>66.03</v>
      </c>
    </row>
    <row r="258" spans="2:10" ht="16.5" thickBot="1" x14ac:dyDescent="0.3">
      <c r="B258" s="544">
        <v>42372</v>
      </c>
      <c r="C258" s="361">
        <v>1</v>
      </c>
      <c r="D258" s="555" t="s">
        <v>183</v>
      </c>
      <c r="E258" s="555">
        <v>3</v>
      </c>
      <c r="F258" s="555">
        <v>2016</v>
      </c>
      <c r="G258" s="556">
        <v>66.846999999999994</v>
      </c>
      <c r="H258" s="556">
        <v>66.165000000000006</v>
      </c>
      <c r="I258" s="556">
        <v>66.980999999999995</v>
      </c>
      <c r="J258" s="556">
        <v>66.165000000000006</v>
      </c>
    </row>
    <row r="259" spans="2:10" ht="16.5" thickBot="1" x14ac:dyDescent="0.3">
      <c r="B259" s="544">
        <v>42379</v>
      </c>
      <c r="C259" s="361">
        <v>1</v>
      </c>
      <c r="D259" s="555" t="s">
        <v>183</v>
      </c>
      <c r="E259" s="555">
        <v>10</v>
      </c>
      <c r="F259" s="555">
        <v>2016</v>
      </c>
      <c r="G259" s="556">
        <v>67.775000000000006</v>
      </c>
      <c r="H259" s="556">
        <v>66.873999999999995</v>
      </c>
      <c r="I259" s="556">
        <v>67.869</v>
      </c>
      <c r="J259" s="556">
        <v>66.707999999999998</v>
      </c>
    </row>
    <row r="260" spans="2:10" ht="16.5" thickBot="1" x14ac:dyDescent="0.3">
      <c r="B260" s="544">
        <v>42386</v>
      </c>
      <c r="C260" s="361">
        <v>1</v>
      </c>
      <c r="D260" s="555" t="s">
        <v>183</v>
      </c>
      <c r="E260" s="555">
        <v>17</v>
      </c>
      <c r="F260" s="555">
        <v>2016</v>
      </c>
      <c r="G260" s="556">
        <v>67.549000000000007</v>
      </c>
      <c r="H260" s="556">
        <v>67.790999999999997</v>
      </c>
      <c r="I260" s="556">
        <v>68.180000000000007</v>
      </c>
      <c r="J260" s="556">
        <v>67.5</v>
      </c>
    </row>
    <row r="261" spans="2:10" ht="16.5" thickBot="1" x14ac:dyDescent="0.3">
      <c r="B261" s="544">
        <v>42393</v>
      </c>
      <c r="C261" s="361">
        <v>1</v>
      </c>
      <c r="D261" s="555" t="s">
        <v>183</v>
      </c>
      <c r="E261" s="555">
        <v>24</v>
      </c>
      <c r="F261" s="555">
        <v>2016</v>
      </c>
      <c r="G261" s="556">
        <v>67.878</v>
      </c>
      <c r="H261" s="556">
        <v>67.578999999999994</v>
      </c>
      <c r="I261" s="556">
        <v>68.265000000000001</v>
      </c>
      <c r="J261" s="556">
        <v>67.492999999999995</v>
      </c>
    </row>
    <row r="262" spans="2:10" ht="16.5" thickBot="1" x14ac:dyDescent="0.3">
      <c r="B262" s="544">
        <v>42400</v>
      </c>
      <c r="C262" s="361">
        <v>1</v>
      </c>
      <c r="D262" s="555" t="s">
        <v>183</v>
      </c>
      <c r="E262" s="555">
        <v>31</v>
      </c>
      <c r="F262" s="555">
        <v>2016</v>
      </c>
      <c r="G262" s="556">
        <v>67.81</v>
      </c>
      <c r="H262" s="556">
        <v>67.878</v>
      </c>
      <c r="I262" s="556">
        <v>68.265000000000001</v>
      </c>
      <c r="J262" s="556">
        <v>67.495000000000005</v>
      </c>
    </row>
    <row r="263" spans="2:10" ht="16.5" thickBot="1" x14ac:dyDescent="0.3">
      <c r="B263" s="544">
        <v>42407</v>
      </c>
      <c r="C263" s="361">
        <v>2</v>
      </c>
      <c r="D263" s="555" t="s">
        <v>182</v>
      </c>
      <c r="E263" s="555">
        <v>7</v>
      </c>
      <c r="F263" s="555">
        <v>2016</v>
      </c>
      <c r="G263" s="556">
        <v>68.117999999999995</v>
      </c>
      <c r="H263" s="556">
        <v>67.88</v>
      </c>
      <c r="I263" s="556">
        <v>68.495999999999995</v>
      </c>
      <c r="J263" s="556">
        <v>67.78</v>
      </c>
    </row>
    <row r="264" spans="2:10" ht="16.5" thickBot="1" x14ac:dyDescent="0.3">
      <c r="B264" s="544">
        <v>42414</v>
      </c>
      <c r="C264" s="361">
        <v>2</v>
      </c>
      <c r="D264" s="555" t="s">
        <v>182</v>
      </c>
      <c r="E264" s="555">
        <v>14</v>
      </c>
      <c r="F264" s="555">
        <v>2016</v>
      </c>
      <c r="G264" s="556">
        <v>68.545000000000002</v>
      </c>
      <c r="H264" s="556">
        <v>68.119</v>
      </c>
      <c r="I264" s="556">
        <v>68.69</v>
      </c>
      <c r="J264" s="556">
        <v>68.010000000000005</v>
      </c>
    </row>
    <row r="265" spans="2:10" ht="16.5" thickBot="1" x14ac:dyDescent="0.3">
      <c r="B265" s="544">
        <v>42421</v>
      </c>
      <c r="C265" s="361">
        <v>2</v>
      </c>
      <c r="D265" s="555" t="s">
        <v>182</v>
      </c>
      <c r="E265" s="555">
        <v>21</v>
      </c>
      <c r="F265" s="555">
        <v>2016</v>
      </c>
      <c r="G265" s="556">
        <v>68.736999999999995</v>
      </c>
      <c r="H265" s="556">
        <v>68.69</v>
      </c>
      <c r="I265" s="556">
        <v>68.909000000000006</v>
      </c>
      <c r="J265" s="556">
        <v>68.384</v>
      </c>
    </row>
    <row r="266" spans="2:10" ht="16.5" thickBot="1" x14ac:dyDescent="0.3">
      <c r="B266" s="544">
        <v>42428</v>
      </c>
      <c r="C266" s="361">
        <v>2</v>
      </c>
      <c r="D266" s="555" t="s">
        <v>182</v>
      </c>
      <c r="E266" s="555">
        <v>28</v>
      </c>
      <c r="F266" s="555">
        <v>2016</v>
      </c>
      <c r="G266" s="556">
        <v>66.938000000000002</v>
      </c>
      <c r="H266" s="556">
        <v>68.736999999999995</v>
      </c>
      <c r="I266" s="556">
        <v>68.792000000000002</v>
      </c>
      <c r="J266" s="556">
        <v>66.881</v>
      </c>
    </row>
    <row r="267" spans="2:10" ht="16.5" thickBot="1" x14ac:dyDescent="0.3">
      <c r="B267" s="544">
        <v>42435</v>
      </c>
      <c r="C267" s="361">
        <v>3</v>
      </c>
      <c r="D267" s="555" t="s">
        <v>181</v>
      </c>
      <c r="E267" s="555">
        <v>6</v>
      </c>
      <c r="F267" s="555">
        <v>2016</v>
      </c>
      <c r="G267" s="556">
        <v>66.921000000000006</v>
      </c>
      <c r="H267" s="556">
        <v>66.989000000000004</v>
      </c>
      <c r="I267" s="556">
        <v>67.515000000000001</v>
      </c>
      <c r="J267" s="556">
        <v>66.894999999999996</v>
      </c>
    </row>
    <row r="268" spans="2:10" ht="16.5" thickBot="1" x14ac:dyDescent="0.3">
      <c r="B268" s="544">
        <v>42442</v>
      </c>
      <c r="C268" s="361">
        <v>3</v>
      </c>
      <c r="D268" s="555" t="s">
        <v>181</v>
      </c>
      <c r="E268" s="555">
        <v>13</v>
      </c>
      <c r="F268" s="555">
        <v>2016</v>
      </c>
      <c r="G268" s="556">
        <v>66.384</v>
      </c>
      <c r="H268" s="556">
        <v>66.972999999999999</v>
      </c>
      <c r="I268" s="556">
        <v>67.459999999999994</v>
      </c>
      <c r="J268" s="556">
        <v>66.256</v>
      </c>
    </row>
    <row r="269" spans="2:10" ht="16.5" thickBot="1" x14ac:dyDescent="0.3">
      <c r="B269" s="544">
        <v>42449</v>
      </c>
      <c r="C269" s="361">
        <v>3</v>
      </c>
      <c r="D269" s="555" t="s">
        <v>181</v>
      </c>
      <c r="E269" s="555">
        <v>20</v>
      </c>
      <c r="F269" s="555">
        <v>2016</v>
      </c>
      <c r="G269" s="556">
        <v>66.828999999999994</v>
      </c>
      <c r="H269" s="556">
        <v>66.382999999999996</v>
      </c>
      <c r="I269" s="556">
        <v>66.956000000000003</v>
      </c>
      <c r="J269" s="556">
        <v>66.382999999999996</v>
      </c>
    </row>
    <row r="270" spans="2:10" ht="16.5" thickBot="1" x14ac:dyDescent="0.3">
      <c r="B270" s="544">
        <v>42456</v>
      </c>
      <c r="C270" s="361">
        <v>3</v>
      </c>
      <c r="D270" s="555" t="s">
        <v>181</v>
      </c>
      <c r="E270" s="555">
        <v>27</v>
      </c>
      <c r="F270" s="555">
        <v>2016</v>
      </c>
      <c r="G270" s="556">
        <v>66.364999999999995</v>
      </c>
      <c r="H270" s="556">
        <v>66.790000000000006</v>
      </c>
      <c r="I270" s="556">
        <v>66.912000000000006</v>
      </c>
      <c r="J270" s="556">
        <v>66.13</v>
      </c>
    </row>
    <row r="271" spans="2:10" ht="16.5" thickBot="1" x14ac:dyDescent="0.3">
      <c r="B271" s="544">
        <v>42463</v>
      </c>
      <c r="C271" s="361">
        <v>4</v>
      </c>
      <c r="D271" s="555" t="s">
        <v>261</v>
      </c>
      <c r="E271" s="555">
        <v>3</v>
      </c>
      <c r="F271" s="555">
        <v>2016</v>
      </c>
      <c r="G271" s="556">
        <v>66.551000000000002</v>
      </c>
      <c r="H271" s="556">
        <v>66.31</v>
      </c>
      <c r="I271" s="556">
        <v>66.825999999999993</v>
      </c>
      <c r="J271" s="556">
        <v>66.024000000000001</v>
      </c>
    </row>
    <row r="272" spans="2:10" ht="16.5" thickBot="1" x14ac:dyDescent="0.3">
      <c r="B272" s="544">
        <v>42470</v>
      </c>
      <c r="C272" s="361">
        <v>4</v>
      </c>
      <c r="D272" s="555" t="s">
        <v>261</v>
      </c>
      <c r="E272" s="555">
        <v>10</v>
      </c>
      <c r="F272" s="555">
        <v>2016</v>
      </c>
      <c r="G272" s="556">
        <v>66.66</v>
      </c>
      <c r="H272" s="556">
        <v>66.555000000000007</v>
      </c>
      <c r="I272" s="556">
        <v>66.69</v>
      </c>
      <c r="J272" s="556">
        <v>66.271000000000001</v>
      </c>
    </row>
    <row r="273" spans="2:10" ht="16.5" thickBot="1" x14ac:dyDescent="0.3">
      <c r="B273" s="544">
        <v>42477</v>
      </c>
      <c r="C273" s="361">
        <v>4</v>
      </c>
      <c r="D273" s="555" t="s">
        <v>261</v>
      </c>
      <c r="E273" s="555">
        <v>17</v>
      </c>
      <c r="F273" s="555">
        <v>2016</v>
      </c>
      <c r="G273" s="556">
        <v>66.66</v>
      </c>
      <c r="H273" s="556">
        <v>66.66</v>
      </c>
      <c r="I273" s="556">
        <v>66.730999999999995</v>
      </c>
      <c r="J273" s="556">
        <v>66.094999999999999</v>
      </c>
    </row>
    <row r="274" spans="2:10" ht="16.5" thickBot="1" x14ac:dyDescent="0.3">
      <c r="B274" s="544">
        <v>42484</v>
      </c>
      <c r="C274" s="361">
        <v>4</v>
      </c>
      <c r="D274" s="555" t="s">
        <v>261</v>
      </c>
      <c r="E274" s="555">
        <v>24</v>
      </c>
      <c r="F274" s="555">
        <v>2016</v>
      </c>
      <c r="G274" s="556">
        <v>66.424999999999997</v>
      </c>
      <c r="H274" s="556">
        <v>66.66</v>
      </c>
      <c r="I274" s="556">
        <v>66.852000000000004</v>
      </c>
      <c r="J274" s="556">
        <v>66.290000000000006</v>
      </c>
    </row>
    <row r="275" spans="2:10" ht="16.5" thickBot="1" x14ac:dyDescent="0.3">
      <c r="B275" s="544">
        <v>42491</v>
      </c>
      <c r="C275" s="361">
        <v>5</v>
      </c>
      <c r="D275" s="555" t="s">
        <v>191</v>
      </c>
      <c r="E275" s="555">
        <v>1</v>
      </c>
      <c r="F275" s="555">
        <v>2016</v>
      </c>
      <c r="G275" s="556">
        <v>66.599999999999994</v>
      </c>
      <c r="H275" s="556">
        <v>66.424999999999997</v>
      </c>
      <c r="I275" s="556">
        <v>66.715000000000003</v>
      </c>
      <c r="J275" s="556">
        <v>66.234999999999999</v>
      </c>
    </row>
    <row r="276" spans="2:10" ht="16.5" thickBot="1" x14ac:dyDescent="0.3">
      <c r="B276" s="544">
        <v>42498</v>
      </c>
      <c r="C276" s="361">
        <v>5</v>
      </c>
      <c r="D276" s="555" t="s">
        <v>191</v>
      </c>
      <c r="E276" s="555">
        <v>8</v>
      </c>
      <c r="F276" s="555">
        <v>2016</v>
      </c>
      <c r="G276" s="556">
        <v>66.855000000000004</v>
      </c>
      <c r="H276" s="556">
        <v>66.600999999999999</v>
      </c>
      <c r="I276" s="556">
        <v>66.924999999999997</v>
      </c>
      <c r="J276" s="556">
        <v>66.394999999999996</v>
      </c>
    </row>
    <row r="277" spans="2:10" ht="16.5" thickBot="1" x14ac:dyDescent="0.3">
      <c r="B277" s="544">
        <v>42505</v>
      </c>
      <c r="C277" s="361">
        <v>5</v>
      </c>
      <c r="D277" s="555" t="s">
        <v>191</v>
      </c>
      <c r="E277" s="555">
        <v>15</v>
      </c>
      <c r="F277" s="555">
        <v>2016</v>
      </c>
      <c r="G277" s="556">
        <v>67.408000000000001</v>
      </c>
      <c r="H277" s="556">
        <v>66.924999999999997</v>
      </c>
      <c r="I277" s="556">
        <v>67.61</v>
      </c>
      <c r="J277" s="556">
        <v>66.674999999999997</v>
      </c>
    </row>
    <row r="278" spans="2:10" ht="16.5" thickBot="1" x14ac:dyDescent="0.3">
      <c r="B278" s="544">
        <v>42512</v>
      </c>
      <c r="C278" s="361">
        <v>5</v>
      </c>
      <c r="D278" s="555" t="s">
        <v>191</v>
      </c>
      <c r="E278" s="555">
        <v>22</v>
      </c>
      <c r="F278" s="555">
        <v>2016</v>
      </c>
      <c r="G278" s="556">
        <v>67.031000000000006</v>
      </c>
      <c r="H278" s="556">
        <v>67.430000000000007</v>
      </c>
      <c r="I278" s="556">
        <v>67.78</v>
      </c>
      <c r="J278" s="556">
        <v>66.875</v>
      </c>
    </row>
    <row r="279" spans="2:10" ht="16.5" thickBot="1" x14ac:dyDescent="0.3">
      <c r="B279" s="544">
        <v>42519</v>
      </c>
      <c r="C279" s="361">
        <v>5</v>
      </c>
      <c r="D279" s="555" t="s">
        <v>191</v>
      </c>
      <c r="E279" s="555">
        <v>29</v>
      </c>
      <c r="F279" s="555">
        <v>2016</v>
      </c>
      <c r="G279" s="556">
        <v>67</v>
      </c>
      <c r="H279" s="556">
        <v>67.040000000000006</v>
      </c>
      <c r="I279" s="556">
        <v>67.519000000000005</v>
      </c>
      <c r="J279" s="556">
        <v>67</v>
      </c>
    </row>
    <row r="280" spans="2:10" ht="16.5" thickBot="1" x14ac:dyDescent="0.3">
      <c r="B280" s="544">
        <v>42526</v>
      </c>
      <c r="C280" s="361">
        <v>6</v>
      </c>
      <c r="D280" s="555" t="s">
        <v>555</v>
      </c>
      <c r="E280" s="555">
        <v>5</v>
      </c>
      <c r="F280" s="555">
        <v>2016</v>
      </c>
      <c r="G280" s="556">
        <v>66.951999999999998</v>
      </c>
      <c r="H280" s="556">
        <v>66.887</v>
      </c>
      <c r="I280" s="556">
        <v>67.055000000000007</v>
      </c>
      <c r="J280" s="556">
        <v>66.450999999999993</v>
      </c>
    </row>
    <row r="281" spans="2:10" ht="16.5" thickBot="1" x14ac:dyDescent="0.3">
      <c r="B281" s="544">
        <v>42533</v>
      </c>
      <c r="C281" s="361">
        <v>6</v>
      </c>
      <c r="D281" s="555" t="s">
        <v>555</v>
      </c>
      <c r="E281" s="555">
        <v>12</v>
      </c>
      <c r="F281" s="555">
        <v>2016</v>
      </c>
      <c r="G281" s="556">
        <v>67.073999999999998</v>
      </c>
      <c r="H281" s="556">
        <v>66.959999999999994</v>
      </c>
      <c r="I281" s="556">
        <v>67.453999999999994</v>
      </c>
      <c r="J281" s="556">
        <v>66.900000000000006</v>
      </c>
    </row>
    <row r="282" spans="2:10" ht="16.5" thickBot="1" x14ac:dyDescent="0.3">
      <c r="B282" s="544">
        <v>42540</v>
      </c>
      <c r="C282" s="361">
        <v>6</v>
      </c>
      <c r="D282" s="555" t="s">
        <v>555</v>
      </c>
      <c r="E282" s="555">
        <v>19</v>
      </c>
      <c r="F282" s="555">
        <v>2016</v>
      </c>
      <c r="G282" s="556">
        <v>67.885000000000005</v>
      </c>
      <c r="H282" s="556">
        <v>67.073999999999998</v>
      </c>
      <c r="I282" s="556">
        <v>68.222999999999999</v>
      </c>
      <c r="J282" s="556">
        <v>67.072999999999993</v>
      </c>
    </row>
    <row r="283" spans="2:10" ht="16.5" thickBot="1" x14ac:dyDescent="0.3">
      <c r="B283" s="544">
        <v>42547</v>
      </c>
      <c r="C283" s="361">
        <v>6</v>
      </c>
      <c r="D283" s="555" t="s">
        <v>555</v>
      </c>
      <c r="E283" s="555">
        <v>26</v>
      </c>
      <c r="F283" s="555">
        <v>2016</v>
      </c>
      <c r="G283" s="556">
        <v>67.19</v>
      </c>
      <c r="H283" s="556">
        <v>67.888000000000005</v>
      </c>
      <c r="I283" s="556">
        <v>68.09</v>
      </c>
      <c r="J283" s="556">
        <v>67.150000000000006</v>
      </c>
    </row>
    <row r="284" spans="2:10" ht="16.5" thickBot="1" x14ac:dyDescent="0.3">
      <c r="B284" s="544">
        <v>42554</v>
      </c>
      <c r="C284" s="361">
        <v>7</v>
      </c>
      <c r="D284" s="555" t="s">
        <v>556</v>
      </c>
      <c r="E284" s="555">
        <v>3</v>
      </c>
      <c r="F284" s="555">
        <v>2016</v>
      </c>
      <c r="G284" s="556">
        <v>67.138999999999996</v>
      </c>
      <c r="H284" s="556">
        <v>67.19</v>
      </c>
      <c r="I284" s="556">
        <v>67.555000000000007</v>
      </c>
      <c r="J284" s="556">
        <v>67.069999999999993</v>
      </c>
    </row>
    <row r="285" spans="2:10" ht="16.5" thickBot="1" x14ac:dyDescent="0.3">
      <c r="B285" s="544">
        <v>42561</v>
      </c>
      <c r="C285" s="361">
        <v>7</v>
      </c>
      <c r="D285" s="555" t="s">
        <v>556</v>
      </c>
      <c r="E285" s="555">
        <v>10</v>
      </c>
      <c r="F285" s="555">
        <v>2016</v>
      </c>
      <c r="G285" s="556">
        <v>67.141000000000005</v>
      </c>
      <c r="H285" s="556">
        <v>67.138999999999996</v>
      </c>
      <c r="I285" s="556">
        <v>67.308000000000007</v>
      </c>
      <c r="J285" s="556">
        <v>66.802000000000007</v>
      </c>
    </row>
    <row r="286" spans="2:10" ht="16.5" thickBot="1" x14ac:dyDescent="0.3">
      <c r="B286" s="544">
        <v>42568</v>
      </c>
      <c r="C286" s="361">
        <v>7</v>
      </c>
      <c r="D286" s="555" t="s">
        <v>556</v>
      </c>
      <c r="E286" s="555">
        <v>17</v>
      </c>
      <c r="F286" s="555">
        <v>2016</v>
      </c>
      <c r="G286" s="556">
        <v>67.153999999999996</v>
      </c>
      <c r="H286" s="556">
        <v>67.096000000000004</v>
      </c>
      <c r="I286" s="556">
        <v>67.272999999999996</v>
      </c>
      <c r="J286" s="556">
        <v>67.012</v>
      </c>
    </row>
    <row r="287" spans="2:10" ht="16.5" thickBot="1" x14ac:dyDescent="0.3">
      <c r="B287" s="544">
        <v>42575</v>
      </c>
      <c r="C287" s="361">
        <v>7</v>
      </c>
      <c r="D287" s="555" t="s">
        <v>556</v>
      </c>
      <c r="E287" s="555">
        <v>24</v>
      </c>
      <c r="F287" s="555">
        <v>2016</v>
      </c>
      <c r="G287" s="556">
        <v>66.655000000000001</v>
      </c>
      <c r="H287" s="556">
        <v>67.165000000000006</v>
      </c>
      <c r="I287" s="556">
        <v>67.495000000000005</v>
      </c>
      <c r="J287" s="556">
        <v>66.625</v>
      </c>
    </row>
    <row r="288" spans="2:10" ht="16.5" thickBot="1" x14ac:dyDescent="0.3">
      <c r="B288" s="544">
        <v>42582</v>
      </c>
      <c r="C288" s="361">
        <v>7</v>
      </c>
      <c r="D288" s="555" t="s">
        <v>556</v>
      </c>
      <c r="E288" s="555">
        <v>31</v>
      </c>
      <c r="F288" s="555">
        <v>2016</v>
      </c>
      <c r="G288" s="556">
        <v>66.841999999999999</v>
      </c>
      <c r="H288" s="556">
        <v>66.72</v>
      </c>
      <c r="I288" s="556">
        <v>67.015000000000001</v>
      </c>
      <c r="J288" s="556">
        <v>66.569999999999993</v>
      </c>
    </row>
    <row r="289" spans="2:10" ht="16.5" thickBot="1" x14ac:dyDescent="0.3">
      <c r="B289" s="544">
        <v>42589</v>
      </c>
      <c r="C289" s="361">
        <v>8</v>
      </c>
      <c r="D289" s="555" t="s">
        <v>188</v>
      </c>
      <c r="E289" s="555">
        <v>7</v>
      </c>
      <c r="F289" s="555">
        <v>2016</v>
      </c>
      <c r="G289" s="556">
        <v>66.908000000000001</v>
      </c>
      <c r="H289" s="556">
        <v>66.84</v>
      </c>
      <c r="I289" s="556">
        <v>66.984999999999999</v>
      </c>
      <c r="J289" s="556">
        <v>66.599999999999994</v>
      </c>
    </row>
    <row r="290" spans="2:10" ht="16.5" thickBot="1" x14ac:dyDescent="0.3">
      <c r="B290" s="544">
        <v>42596</v>
      </c>
      <c r="C290" s="361">
        <v>8</v>
      </c>
      <c r="D290" s="555" t="s">
        <v>188</v>
      </c>
      <c r="E290" s="555">
        <v>14</v>
      </c>
      <c r="F290" s="555">
        <v>2016</v>
      </c>
      <c r="G290" s="556">
        <v>67.137</v>
      </c>
      <c r="H290" s="556">
        <v>66.91</v>
      </c>
      <c r="I290" s="556">
        <v>67.204999999999998</v>
      </c>
      <c r="J290" s="556">
        <v>66.688000000000002</v>
      </c>
    </row>
    <row r="291" spans="2:10" ht="16.5" thickBot="1" x14ac:dyDescent="0.3">
      <c r="B291" s="544">
        <v>42603</v>
      </c>
      <c r="C291" s="361">
        <v>8</v>
      </c>
      <c r="D291" s="555" t="s">
        <v>188</v>
      </c>
      <c r="E291" s="555">
        <v>21</v>
      </c>
      <c r="F291" s="555">
        <v>2016</v>
      </c>
      <c r="G291" s="556">
        <v>67.135999999999996</v>
      </c>
      <c r="H291" s="556">
        <v>67.138999999999996</v>
      </c>
      <c r="I291" s="556">
        <v>67.37</v>
      </c>
      <c r="J291" s="556">
        <v>66.831000000000003</v>
      </c>
    </row>
    <row r="292" spans="2:10" ht="16.5" thickBot="1" x14ac:dyDescent="0.3">
      <c r="B292" s="544">
        <v>42610</v>
      </c>
      <c r="C292" s="361">
        <v>8</v>
      </c>
      <c r="D292" s="555" t="s">
        <v>188</v>
      </c>
      <c r="E292" s="555">
        <v>28</v>
      </c>
      <c r="F292" s="555">
        <v>2016</v>
      </c>
      <c r="G292" s="556">
        <v>66.795000000000002</v>
      </c>
      <c r="H292" s="556">
        <v>67.168999999999997</v>
      </c>
      <c r="I292" s="556">
        <v>67.247</v>
      </c>
      <c r="J292" s="556">
        <v>66.617000000000004</v>
      </c>
    </row>
    <row r="293" spans="2:10" ht="16.5" thickBot="1" x14ac:dyDescent="0.3">
      <c r="B293" s="544">
        <v>42617</v>
      </c>
      <c r="C293" s="16">
        <v>9</v>
      </c>
      <c r="D293" s="555" t="s">
        <v>187</v>
      </c>
      <c r="E293" s="555">
        <v>4</v>
      </c>
      <c r="F293" s="555">
        <v>2016</v>
      </c>
      <c r="G293" s="556">
        <v>66.894999999999996</v>
      </c>
      <c r="H293" s="556">
        <v>66.625</v>
      </c>
      <c r="I293" s="556">
        <v>66.894999999999996</v>
      </c>
      <c r="J293" s="556">
        <v>66.275000000000006</v>
      </c>
    </row>
    <row r="294" spans="2:10" ht="16.5" thickBot="1" x14ac:dyDescent="0.3">
      <c r="B294" s="544">
        <v>42624</v>
      </c>
      <c r="C294" s="16">
        <v>9</v>
      </c>
      <c r="D294" s="555" t="s">
        <v>187</v>
      </c>
      <c r="E294" s="555">
        <v>11</v>
      </c>
      <c r="F294" s="555">
        <v>2016</v>
      </c>
      <c r="G294" s="556">
        <v>67.075000000000003</v>
      </c>
      <c r="H294" s="556">
        <v>66.849999999999994</v>
      </c>
      <c r="I294" s="556">
        <v>67.147999999999996</v>
      </c>
      <c r="J294" s="556">
        <v>66.727000000000004</v>
      </c>
    </row>
    <row r="295" spans="2:10" ht="16.5" thickBot="1" x14ac:dyDescent="0.3">
      <c r="B295" s="544">
        <v>42631</v>
      </c>
      <c r="C295" s="16">
        <v>9</v>
      </c>
      <c r="D295" s="555" t="s">
        <v>187</v>
      </c>
      <c r="E295" s="555">
        <v>18</v>
      </c>
      <c r="F295" s="555">
        <v>2016</v>
      </c>
      <c r="G295" s="556">
        <v>66.706999999999994</v>
      </c>
      <c r="H295" s="556">
        <v>67.075999999999993</v>
      </c>
      <c r="I295" s="556">
        <v>67.144999999999996</v>
      </c>
      <c r="J295" s="556">
        <v>66.53</v>
      </c>
    </row>
    <row r="296" spans="2:10" ht="16.5" thickBot="1" x14ac:dyDescent="0.3">
      <c r="B296" s="544">
        <v>42638</v>
      </c>
      <c r="C296" s="16">
        <v>9</v>
      </c>
      <c r="D296" s="555" t="s">
        <v>187</v>
      </c>
      <c r="E296" s="555">
        <v>25</v>
      </c>
      <c r="F296" s="555">
        <v>2016</v>
      </c>
      <c r="G296" s="556">
        <v>66.555999999999997</v>
      </c>
      <c r="H296" s="556">
        <v>66.706999999999994</v>
      </c>
      <c r="I296" s="556">
        <v>66.954999999999998</v>
      </c>
      <c r="J296" s="556">
        <v>66.326999999999998</v>
      </c>
    </row>
    <row r="297" spans="2:10" ht="16.5" thickBot="1" x14ac:dyDescent="0.3">
      <c r="B297" s="544">
        <v>42645</v>
      </c>
      <c r="C297" s="16">
        <v>10</v>
      </c>
      <c r="D297" s="555" t="s">
        <v>186</v>
      </c>
      <c r="E297" s="555">
        <v>2</v>
      </c>
      <c r="F297" s="555">
        <v>2016</v>
      </c>
      <c r="G297" s="556">
        <v>66.602000000000004</v>
      </c>
      <c r="H297" s="556">
        <v>66.555999999999997</v>
      </c>
      <c r="I297" s="556">
        <v>66.89</v>
      </c>
      <c r="J297" s="556">
        <v>66.373000000000005</v>
      </c>
    </row>
    <row r="298" spans="2:10" ht="16.5" thickBot="1" x14ac:dyDescent="0.3">
      <c r="B298" s="544">
        <v>42652</v>
      </c>
      <c r="C298" s="16">
        <v>10</v>
      </c>
      <c r="D298" s="555" t="s">
        <v>186</v>
      </c>
      <c r="E298" s="555">
        <v>9</v>
      </c>
      <c r="F298" s="555">
        <v>2016</v>
      </c>
      <c r="G298" s="556">
        <v>66.716999999999999</v>
      </c>
      <c r="H298" s="556">
        <v>66.602000000000004</v>
      </c>
      <c r="I298" s="556">
        <v>66.989999999999995</v>
      </c>
      <c r="J298" s="556">
        <v>66.472999999999999</v>
      </c>
    </row>
    <row r="299" spans="2:10" ht="16.5" thickBot="1" x14ac:dyDescent="0.3">
      <c r="B299" s="544">
        <v>42659</v>
      </c>
      <c r="C299" s="16">
        <v>10</v>
      </c>
      <c r="D299" s="555" t="s">
        <v>186</v>
      </c>
      <c r="E299" s="555">
        <v>16</v>
      </c>
      <c r="F299" s="555">
        <v>2016</v>
      </c>
      <c r="G299" s="556">
        <v>66.926000000000002</v>
      </c>
      <c r="H299" s="556">
        <v>66.718000000000004</v>
      </c>
      <c r="I299" s="556">
        <v>67.004999999999995</v>
      </c>
      <c r="J299" s="556">
        <v>66.61</v>
      </c>
    </row>
    <row r="300" spans="2:10" ht="16.5" thickBot="1" x14ac:dyDescent="0.3">
      <c r="B300" s="544">
        <v>42666</v>
      </c>
      <c r="C300" s="16">
        <v>10</v>
      </c>
      <c r="D300" s="555" t="s">
        <v>186</v>
      </c>
      <c r="E300" s="555">
        <v>23</v>
      </c>
      <c r="F300" s="555">
        <v>2016</v>
      </c>
      <c r="G300" s="556">
        <v>66.778000000000006</v>
      </c>
      <c r="H300" s="556">
        <v>66.918999999999997</v>
      </c>
      <c r="I300" s="556">
        <v>66.959999999999994</v>
      </c>
      <c r="J300" s="556">
        <v>66.691000000000003</v>
      </c>
    </row>
    <row r="301" spans="2:10" ht="16.5" thickBot="1" x14ac:dyDescent="0.3">
      <c r="B301" s="544">
        <v>42673</v>
      </c>
      <c r="C301" s="16">
        <v>10</v>
      </c>
      <c r="D301" s="555" t="s">
        <v>186</v>
      </c>
      <c r="E301" s="555">
        <v>30</v>
      </c>
      <c r="F301" s="555">
        <v>2016</v>
      </c>
      <c r="G301" s="556">
        <v>66.796000000000006</v>
      </c>
      <c r="H301" s="556">
        <v>66.778999999999996</v>
      </c>
      <c r="I301" s="556">
        <v>66.87</v>
      </c>
      <c r="J301" s="556">
        <v>66.63</v>
      </c>
    </row>
    <row r="302" spans="2:10" ht="16.5" thickBot="1" x14ac:dyDescent="0.3">
      <c r="B302" s="544">
        <v>42680</v>
      </c>
      <c r="C302" s="361">
        <v>11</v>
      </c>
      <c r="D302" s="555" t="s">
        <v>185</v>
      </c>
      <c r="E302" s="555">
        <v>6</v>
      </c>
      <c r="F302" s="555">
        <v>2016</v>
      </c>
      <c r="G302" s="556">
        <v>67.564999999999998</v>
      </c>
      <c r="H302" s="556">
        <v>66.819999999999993</v>
      </c>
      <c r="I302" s="556">
        <v>67.564999999999998</v>
      </c>
      <c r="J302" s="556">
        <v>66.251999999999995</v>
      </c>
    </row>
    <row r="303" spans="2:10" ht="16.5" thickBot="1" x14ac:dyDescent="0.3">
      <c r="B303" s="544">
        <v>42687</v>
      </c>
      <c r="C303" s="361">
        <v>11</v>
      </c>
      <c r="D303" s="555" t="s">
        <v>185</v>
      </c>
      <c r="E303" s="555">
        <v>13</v>
      </c>
      <c r="F303" s="555">
        <v>2016</v>
      </c>
      <c r="G303" s="556">
        <v>68.191000000000003</v>
      </c>
      <c r="H303" s="556">
        <v>67.52</v>
      </c>
      <c r="I303" s="556">
        <v>68.25</v>
      </c>
      <c r="J303" s="556">
        <v>67.459999999999994</v>
      </c>
    </row>
    <row r="304" spans="2:10" ht="16.5" thickBot="1" x14ac:dyDescent="0.3">
      <c r="B304" s="544">
        <v>42694</v>
      </c>
      <c r="C304" s="361">
        <v>11</v>
      </c>
      <c r="D304" s="555" t="s">
        <v>185</v>
      </c>
      <c r="E304" s="555">
        <v>20</v>
      </c>
      <c r="F304" s="555">
        <v>2016</v>
      </c>
      <c r="G304" s="556">
        <v>68.519000000000005</v>
      </c>
      <c r="H304" s="556">
        <v>68.185000000000002</v>
      </c>
      <c r="I304" s="556">
        <v>68.881</v>
      </c>
      <c r="J304" s="556">
        <v>68.02</v>
      </c>
    </row>
    <row r="305" spans="2:10" ht="16.5" thickBot="1" x14ac:dyDescent="0.3">
      <c r="B305" s="544">
        <v>42701</v>
      </c>
      <c r="C305" s="361">
        <v>11</v>
      </c>
      <c r="D305" s="555" t="s">
        <v>185</v>
      </c>
      <c r="E305" s="555">
        <v>27</v>
      </c>
      <c r="F305" s="555">
        <v>2016</v>
      </c>
      <c r="G305" s="556">
        <v>68.031000000000006</v>
      </c>
      <c r="H305" s="556">
        <v>68.519000000000005</v>
      </c>
      <c r="I305" s="556">
        <v>68.81</v>
      </c>
      <c r="J305" s="556">
        <v>68.010000000000005</v>
      </c>
    </row>
    <row r="306" spans="2:10" ht="16.5" thickBot="1" x14ac:dyDescent="0.3">
      <c r="B306" s="544">
        <v>42708</v>
      </c>
      <c r="C306" s="361">
        <v>12</v>
      </c>
      <c r="D306" s="555" t="s">
        <v>184</v>
      </c>
      <c r="E306" s="555">
        <v>4</v>
      </c>
      <c r="F306" s="555">
        <v>2016</v>
      </c>
      <c r="G306" s="556">
        <v>67.47</v>
      </c>
      <c r="H306" s="556">
        <v>68.025999999999996</v>
      </c>
      <c r="I306" s="556">
        <v>68.28</v>
      </c>
      <c r="J306" s="556">
        <v>67.317999999999998</v>
      </c>
    </row>
    <row r="307" spans="2:10" ht="16.5" thickBot="1" x14ac:dyDescent="0.3">
      <c r="B307" s="544">
        <v>42715</v>
      </c>
      <c r="C307" s="361">
        <v>12</v>
      </c>
      <c r="D307" s="555" t="s">
        <v>184</v>
      </c>
      <c r="E307" s="555">
        <v>11</v>
      </c>
      <c r="F307" s="555">
        <v>2016</v>
      </c>
      <c r="G307" s="556">
        <v>67.855000000000004</v>
      </c>
      <c r="H307" s="556">
        <v>67.471000000000004</v>
      </c>
      <c r="I307" s="556">
        <v>67.95</v>
      </c>
      <c r="J307" s="556">
        <v>67.37</v>
      </c>
    </row>
    <row r="308" spans="2:10" ht="16.5" thickBot="1" x14ac:dyDescent="0.3">
      <c r="B308" s="544">
        <v>42722</v>
      </c>
      <c r="C308" s="361">
        <v>12</v>
      </c>
      <c r="D308" s="555" t="s">
        <v>184</v>
      </c>
      <c r="E308" s="555">
        <v>18</v>
      </c>
      <c r="F308" s="555">
        <v>2016</v>
      </c>
      <c r="G308" s="556">
        <v>67.837000000000003</v>
      </c>
      <c r="H308" s="556">
        <v>67.849999999999994</v>
      </c>
      <c r="I308" s="556">
        <v>68.111000000000004</v>
      </c>
      <c r="J308" s="556">
        <v>67.707999999999998</v>
      </c>
    </row>
    <row r="309" spans="2:10" ht="16.5" thickBot="1" x14ac:dyDescent="0.3">
      <c r="B309" s="544">
        <v>42729</v>
      </c>
      <c r="C309" s="361">
        <v>12</v>
      </c>
      <c r="D309" s="555" t="s">
        <v>184</v>
      </c>
      <c r="E309" s="555">
        <v>25</v>
      </c>
      <c r="F309" s="555">
        <v>2016</v>
      </c>
      <c r="G309" s="556">
        <v>67.954999999999998</v>
      </c>
      <c r="H309" s="556">
        <v>67.840999999999994</v>
      </c>
      <c r="I309" s="556">
        <v>68.260999999999996</v>
      </c>
      <c r="J309" s="556">
        <v>67.704999999999998</v>
      </c>
    </row>
    <row r="310" spans="2:10" ht="16.5" thickBot="1" x14ac:dyDescent="0.3">
      <c r="B310" s="544">
        <v>42736</v>
      </c>
      <c r="C310" s="361">
        <v>1</v>
      </c>
      <c r="D310" s="555" t="s">
        <v>183</v>
      </c>
      <c r="E310" s="555">
        <v>1</v>
      </c>
      <c r="F310" s="555">
        <v>2017</v>
      </c>
      <c r="G310" s="556">
        <v>68.114999999999995</v>
      </c>
      <c r="H310" s="556">
        <v>67.97</v>
      </c>
      <c r="I310" s="556">
        <v>68.454999999999998</v>
      </c>
      <c r="J310" s="556">
        <v>67.745000000000005</v>
      </c>
    </row>
    <row r="311" spans="2:10" ht="16.5" thickBot="1" x14ac:dyDescent="0.3">
      <c r="B311" s="544">
        <v>42743</v>
      </c>
      <c r="C311" s="361">
        <v>1</v>
      </c>
      <c r="D311" s="555" t="s">
        <v>183</v>
      </c>
      <c r="E311" s="555">
        <v>8</v>
      </c>
      <c r="F311" s="555">
        <v>2017</v>
      </c>
      <c r="G311" s="556">
        <v>68.180000000000007</v>
      </c>
      <c r="H311" s="556">
        <v>68.126000000000005</v>
      </c>
      <c r="I311" s="556">
        <v>68.510999999999996</v>
      </c>
      <c r="J311" s="556">
        <v>67.959999999999994</v>
      </c>
    </row>
    <row r="312" spans="2:10" ht="16.5" thickBot="1" x14ac:dyDescent="0.3">
      <c r="B312" s="544">
        <v>42750</v>
      </c>
      <c r="C312" s="361">
        <v>1</v>
      </c>
      <c r="D312" s="555" t="s">
        <v>183</v>
      </c>
      <c r="E312" s="555">
        <v>15</v>
      </c>
      <c r="F312" s="555">
        <v>2017</v>
      </c>
      <c r="G312" s="556">
        <v>68.075000000000003</v>
      </c>
      <c r="H312" s="556">
        <v>68.183000000000007</v>
      </c>
      <c r="I312" s="556">
        <v>68.334999999999994</v>
      </c>
      <c r="J312" s="556">
        <v>67.87</v>
      </c>
    </row>
    <row r="313" spans="2:10" ht="16.5" thickBot="1" x14ac:dyDescent="0.3">
      <c r="B313" s="544">
        <v>42757</v>
      </c>
      <c r="C313" s="361">
        <v>1</v>
      </c>
      <c r="D313" s="555" t="s">
        <v>183</v>
      </c>
      <c r="E313" s="555">
        <v>22</v>
      </c>
      <c r="F313" s="555">
        <v>2017</v>
      </c>
      <c r="G313" s="556">
        <v>68.105000000000004</v>
      </c>
      <c r="H313" s="556">
        <v>68.096000000000004</v>
      </c>
      <c r="I313" s="556">
        <v>68.254999999999995</v>
      </c>
      <c r="J313" s="556">
        <v>67.98</v>
      </c>
    </row>
    <row r="314" spans="2:10" ht="16.5" thickBot="1" x14ac:dyDescent="0.3">
      <c r="B314" s="544">
        <v>42764</v>
      </c>
      <c r="C314" s="361">
        <v>1</v>
      </c>
      <c r="D314" s="555" t="s">
        <v>183</v>
      </c>
      <c r="E314" s="555">
        <v>29</v>
      </c>
      <c r="F314" s="555">
        <v>2017</v>
      </c>
      <c r="G314" s="556">
        <v>67.183999999999997</v>
      </c>
      <c r="H314" s="556">
        <v>68.105000000000004</v>
      </c>
      <c r="I314" s="556">
        <v>68.119</v>
      </c>
      <c r="J314" s="556">
        <v>67.183999999999997</v>
      </c>
    </row>
    <row r="315" spans="2:10" ht="16.5" thickBot="1" x14ac:dyDescent="0.3">
      <c r="B315" s="544">
        <v>42771</v>
      </c>
      <c r="C315" s="361">
        <v>2</v>
      </c>
      <c r="D315" s="555" t="s">
        <v>182</v>
      </c>
      <c r="E315" s="555">
        <v>5</v>
      </c>
      <c r="F315" s="555">
        <v>2017</v>
      </c>
      <c r="G315" s="556">
        <v>66.853999999999999</v>
      </c>
      <c r="H315" s="556">
        <v>67.241</v>
      </c>
      <c r="I315" s="556">
        <v>67.486000000000004</v>
      </c>
      <c r="J315" s="556">
        <v>66.741</v>
      </c>
    </row>
    <row r="316" spans="2:10" ht="16.5" thickBot="1" x14ac:dyDescent="0.3">
      <c r="B316" s="544">
        <v>42778</v>
      </c>
      <c r="C316" s="361">
        <v>2</v>
      </c>
      <c r="D316" s="555" t="s">
        <v>182</v>
      </c>
      <c r="E316" s="555">
        <v>12</v>
      </c>
      <c r="F316" s="555">
        <v>2017</v>
      </c>
      <c r="G316" s="556">
        <v>67.08</v>
      </c>
      <c r="H316" s="556">
        <v>66.92</v>
      </c>
      <c r="I316" s="556">
        <v>67.167000000000002</v>
      </c>
      <c r="J316" s="556">
        <v>66.8</v>
      </c>
    </row>
    <row r="317" spans="2:10" ht="16.5" thickBot="1" x14ac:dyDescent="0.3">
      <c r="B317" s="544">
        <v>42785</v>
      </c>
      <c r="C317" s="361">
        <v>2</v>
      </c>
      <c r="D317" s="555" t="s">
        <v>182</v>
      </c>
      <c r="E317" s="555">
        <v>19</v>
      </c>
      <c r="F317" s="555">
        <v>2017</v>
      </c>
      <c r="G317" s="556">
        <v>66.644999999999996</v>
      </c>
      <c r="H317" s="556">
        <v>67.084999999999994</v>
      </c>
      <c r="I317" s="556">
        <v>67.084999999999994</v>
      </c>
      <c r="J317" s="556">
        <v>66.614999999999995</v>
      </c>
    </row>
    <row r="318" spans="2:10" ht="16.5" thickBot="1" x14ac:dyDescent="0.3">
      <c r="B318" s="544">
        <v>42792</v>
      </c>
      <c r="C318" s="361">
        <v>2</v>
      </c>
      <c r="D318" s="555" t="s">
        <v>182</v>
      </c>
      <c r="E318" s="555">
        <v>26</v>
      </c>
      <c r="F318" s="555">
        <v>2017</v>
      </c>
      <c r="G318" s="556">
        <v>66.78</v>
      </c>
      <c r="H318" s="556">
        <v>66.739999999999995</v>
      </c>
      <c r="I318" s="556">
        <v>66.92</v>
      </c>
      <c r="J318" s="556">
        <v>66.650000000000006</v>
      </c>
    </row>
    <row r="319" spans="2:10" ht="16.5" thickBot="1" x14ac:dyDescent="0.3">
      <c r="B319" s="544">
        <v>42799</v>
      </c>
      <c r="C319" s="361">
        <v>3</v>
      </c>
      <c r="D319" s="555" t="s">
        <v>181</v>
      </c>
      <c r="E319" s="555">
        <v>5</v>
      </c>
      <c r="F319" s="555">
        <v>2017</v>
      </c>
      <c r="G319" s="556">
        <v>66.555000000000007</v>
      </c>
      <c r="H319" s="556">
        <v>66.8</v>
      </c>
      <c r="I319" s="556">
        <v>66.88</v>
      </c>
      <c r="J319" s="556">
        <v>66.555000000000007</v>
      </c>
    </row>
    <row r="320" spans="2:10" ht="16.5" thickBot="1" x14ac:dyDescent="0.3">
      <c r="B320" s="544">
        <v>42806</v>
      </c>
      <c r="C320" s="361">
        <v>3</v>
      </c>
      <c r="D320" s="555" t="s">
        <v>181</v>
      </c>
      <c r="E320" s="555">
        <v>12</v>
      </c>
      <c r="F320" s="555">
        <v>2017</v>
      </c>
      <c r="G320" s="556">
        <v>65.474999999999994</v>
      </c>
      <c r="H320" s="556">
        <v>66.155000000000001</v>
      </c>
      <c r="I320" s="556">
        <v>66.265000000000001</v>
      </c>
      <c r="J320" s="556">
        <v>65.254999999999995</v>
      </c>
    </row>
    <row r="321" spans="2:10" ht="16.5" thickBot="1" x14ac:dyDescent="0.3">
      <c r="B321" s="544">
        <v>42813</v>
      </c>
      <c r="C321" s="361">
        <v>3</v>
      </c>
      <c r="D321" s="555" t="s">
        <v>181</v>
      </c>
      <c r="E321" s="555">
        <v>19</v>
      </c>
      <c r="F321" s="555">
        <v>2017</v>
      </c>
      <c r="G321" s="556">
        <v>65.424999999999997</v>
      </c>
      <c r="H321" s="556">
        <v>65.424999999999997</v>
      </c>
      <c r="I321" s="556">
        <v>65.59</v>
      </c>
      <c r="J321" s="556">
        <v>65.224999999999994</v>
      </c>
    </row>
    <row r="322" spans="2:10" ht="16.5" thickBot="1" x14ac:dyDescent="0.3">
      <c r="B322" s="544">
        <v>42820</v>
      </c>
      <c r="C322" s="361">
        <v>3</v>
      </c>
      <c r="D322" s="555" t="s">
        <v>181</v>
      </c>
      <c r="E322" s="555">
        <v>26</v>
      </c>
      <c r="F322" s="555">
        <v>2017</v>
      </c>
      <c r="G322" s="556">
        <v>64.86</v>
      </c>
      <c r="H322" s="556">
        <v>65.28</v>
      </c>
      <c r="I322" s="556">
        <v>65.28</v>
      </c>
      <c r="J322" s="556">
        <v>64.8</v>
      </c>
    </row>
    <row r="323" spans="2:10" ht="16.5" thickBot="1" x14ac:dyDescent="0.3">
      <c r="B323" s="544">
        <v>42827</v>
      </c>
      <c r="C323" s="361">
        <v>4</v>
      </c>
      <c r="D323" s="555" t="s">
        <v>261</v>
      </c>
      <c r="E323" s="555">
        <v>2</v>
      </c>
      <c r="F323" s="555">
        <v>2017</v>
      </c>
      <c r="G323" s="556">
        <v>64.27</v>
      </c>
      <c r="H323" s="556">
        <v>64.804000000000002</v>
      </c>
      <c r="I323" s="556">
        <v>65.174000000000007</v>
      </c>
      <c r="J323" s="556">
        <v>64.153999999999996</v>
      </c>
    </row>
    <row r="324" spans="2:10" ht="16.5" thickBot="1" x14ac:dyDescent="0.3">
      <c r="B324" s="544">
        <v>42834</v>
      </c>
      <c r="C324" s="361">
        <v>4</v>
      </c>
      <c r="D324" s="555" t="s">
        <v>261</v>
      </c>
      <c r="E324" s="555">
        <v>9</v>
      </c>
      <c r="F324" s="555">
        <v>2017</v>
      </c>
      <c r="G324" s="556">
        <v>64.48</v>
      </c>
      <c r="H324" s="556">
        <v>64.319999999999993</v>
      </c>
      <c r="I324" s="556">
        <v>64.745000000000005</v>
      </c>
      <c r="J324" s="556">
        <v>64.278000000000006</v>
      </c>
    </row>
    <row r="325" spans="2:10" ht="16.5" thickBot="1" x14ac:dyDescent="0.3">
      <c r="B325" s="544">
        <v>42841</v>
      </c>
      <c r="C325" s="361">
        <v>4</v>
      </c>
      <c r="D325" s="555" t="s">
        <v>261</v>
      </c>
      <c r="E325" s="555">
        <v>16</v>
      </c>
      <c r="F325" s="555">
        <v>2017</v>
      </c>
      <c r="G325" s="556">
        <v>64.650000000000006</v>
      </c>
      <c r="H325" s="556">
        <v>64.44</v>
      </c>
      <c r="I325" s="556">
        <v>64.738</v>
      </c>
      <c r="J325" s="556">
        <v>64.305000000000007</v>
      </c>
    </row>
    <row r="326" spans="2:10" ht="16.5" thickBot="1" x14ac:dyDescent="0.3">
      <c r="B326" s="544">
        <v>42848</v>
      </c>
      <c r="C326" s="361">
        <v>4</v>
      </c>
      <c r="D326" s="555" t="s">
        <v>261</v>
      </c>
      <c r="E326" s="555">
        <v>23</v>
      </c>
      <c r="F326" s="555">
        <v>2017</v>
      </c>
      <c r="G326" s="556">
        <v>64.290000000000006</v>
      </c>
      <c r="H326" s="556">
        <v>64.552999999999997</v>
      </c>
      <c r="I326" s="556">
        <v>64.558000000000007</v>
      </c>
      <c r="J326" s="556">
        <v>63.94</v>
      </c>
    </row>
    <row r="327" spans="2:10" ht="16.5" thickBot="1" x14ac:dyDescent="0.3">
      <c r="B327" s="544">
        <v>42855</v>
      </c>
      <c r="C327" s="361">
        <v>4</v>
      </c>
      <c r="D327" s="555" t="s">
        <v>261</v>
      </c>
      <c r="E327" s="555">
        <v>30</v>
      </c>
      <c r="F327" s="555">
        <v>2017</v>
      </c>
      <c r="G327" s="556">
        <v>64.314999999999998</v>
      </c>
      <c r="H327" s="556">
        <v>64.284999999999997</v>
      </c>
      <c r="I327" s="556">
        <v>64.394999999999996</v>
      </c>
      <c r="J327" s="556">
        <v>64.114999999999995</v>
      </c>
    </row>
    <row r="328" spans="2:10" ht="16.5" thickBot="1" x14ac:dyDescent="0.3">
      <c r="B328" s="544">
        <v>42862</v>
      </c>
      <c r="C328" s="361">
        <v>5</v>
      </c>
      <c r="D328" s="555" t="s">
        <v>191</v>
      </c>
      <c r="E328" s="555">
        <v>7</v>
      </c>
      <c r="F328" s="555">
        <v>2017</v>
      </c>
      <c r="G328" s="556">
        <v>64.242999999999995</v>
      </c>
      <c r="H328" s="556">
        <v>64.245000000000005</v>
      </c>
      <c r="I328" s="556">
        <v>64.7</v>
      </c>
      <c r="J328" s="556">
        <v>64.194999999999993</v>
      </c>
    </row>
    <row r="329" spans="2:10" ht="16.5" thickBot="1" x14ac:dyDescent="0.3">
      <c r="B329" s="544">
        <v>42869</v>
      </c>
      <c r="C329" s="361">
        <v>5</v>
      </c>
      <c r="D329" s="555" t="s">
        <v>191</v>
      </c>
      <c r="E329" s="555">
        <v>14</v>
      </c>
      <c r="F329" s="555">
        <v>2017</v>
      </c>
      <c r="G329" s="556">
        <v>64.564999999999998</v>
      </c>
      <c r="H329" s="556">
        <v>64.11</v>
      </c>
      <c r="I329" s="556">
        <v>65.025000000000006</v>
      </c>
      <c r="J329" s="556">
        <v>63.984999999999999</v>
      </c>
    </row>
    <row r="330" spans="2:10" ht="16.5" thickBot="1" x14ac:dyDescent="0.3">
      <c r="B330" s="544">
        <v>42876</v>
      </c>
      <c r="C330" s="361">
        <v>5</v>
      </c>
      <c r="D330" s="555" t="s">
        <v>191</v>
      </c>
      <c r="E330" s="555">
        <v>21</v>
      </c>
      <c r="F330" s="555">
        <v>2017</v>
      </c>
      <c r="G330" s="556">
        <v>64.510000000000005</v>
      </c>
      <c r="H330" s="556">
        <v>64.504999999999995</v>
      </c>
      <c r="I330" s="556">
        <v>64.954999999999998</v>
      </c>
      <c r="J330" s="556">
        <v>64.424999999999997</v>
      </c>
    </row>
    <row r="331" spans="2:10" ht="16.5" thickBot="1" x14ac:dyDescent="0.3">
      <c r="B331" s="544">
        <v>42883</v>
      </c>
      <c r="C331" s="361">
        <v>5</v>
      </c>
      <c r="D331" s="555" t="s">
        <v>191</v>
      </c>
      <c r="E331" s="555">
        <v>28</v>
      </c>
      <c r="F331" s="555">
        <v>2017</v>
      </c>
      <c r="G331" s="556">
        <v>64.415000000000006</v>
      </c>
      <c r="H331" s="556">
        <v>64.495000000000005</v>
      </c>
      <c r="I331" s="556">
        <v>64.706999999999994</v>
      </c>
      <c r="J331" s="556">
        <v>64.344999999999999</v>
      </c>
    </row>
    <row r="332" spans="2:10" ht="16.5" thickBot="1" x14ac:dyDescent="0.3">
      <c r="B332" s="544">
        <v>42890</v>
      </c>
      <c r="C332" s="361">
        <v>6</v>
      </c>
      <c r="D332" s="555" t="s">
        <v>555</v>
      </c>
      <c r="E332" s="555">
        <v>4</v>
      </c>
      <c r="F332" s="555">
        <v>2017</v>
      </c>
      <c r="G332" s="556">
        <v>64.245000000000005</v>
      </c>
      <c r="H332" s="556">
        <v>64.319999999999993</v>
      </c>
      <c r="I332" s="556">
        <v>64.515000000000001</v>
      </c>
      <c r="J332" s="556">
        <v>64.167000000000002</v>
      </c>
    </row>
    <row r="333" spans="2:10" ht="16.5" thickBot="1" x14ac:dyDescent="0.3">
      <c r="B333" s="544">
        <v>42897</v>
      </c>
      <c r="C333" s="361">
        <v>6</v>
      </c>
      <c r="D333" s="555" t="s">
        <v>555</v>
      </c>
      <c r="E333" s="555">
        <v>11</v>
      </c>
      <c r="F333" s="555">
        <v>2017</v>
      </c>
      <c r="G333" s="556">
        <v>64.465000000000003</v>
      </c>
      <c r="H333" s="556">
        <v>64.355000000000004</v>
      </c>
      <c r="I333" s="556">
        <v>64.75</v>
      </c>
      <c r="J333" s="556">
        <v>64.245000000000005</v>
      </c>
    </row>
    <row r="334" spans="2:10" ht="16.5" thickBot="1" x14ac:dyDescent="0.3">
      <c r="B334" s="544">
        <v>42904</v>
      </c>
      <c r="C334" s="361">
        <v>6</v>
      </c>
      <c r="D334" s="555" t="s">
        <v>555</v>
      </c>
      <c r="E334" s="555">
        <v>18</v>
      </c>
      <c r="F334" s="555">
        <v>2017</v>
      </c>
      <c r="G334" s="556">
        <v>64.504999999999995</v>
      </c>
      <c r="H334" s="556">
        <v>64.444999999999993</v>
      </c>
      <c r="I334" s="556">
        <v>64.7</v>
      </c>
      <c r="J334" s="556">
        <v>64.34</v>
      </c>
    </row>
    <row r="335" spans="2:10" ht="16.5" thickBot="1" x14ac:dyDescent="0.3">
      <c r="B335" s="544">
        <v>42911</v>
      </c>
      <c r="C335" s="361">
        <v>6</v>
      </c>
      <c r="D335" s="555" t="s">
        <v>555</v>
      </c>
      <c r="E335" s="555">
        <v>25</v>
      </c>
      <c r="F335" s="555">
        <v>2017</v>
      </c>
      <c r="G335" s="556">
        <v>64.62</v>
      </c>
      <c r="H335" s="556">
        <v>64.465000000000003</v>
      </c>
      <c r="I335" s="556">
        <v>64.84</v>
      </c>
      <c r="J335" s="556">
        <v>64.405000000000001</v>
      </c>
    </row>
    <row r="336" spans="2:10" ht="16.5" thickBot="1" x14ac:dyDescent="0.3">
      <c r="B336" s="544">
        <v>42918</v>
      </c>
      <c r="C336" s="361">
        <v>7</v>
      </c>
      <c r="D336" s="555" t="s">
        <v>556</v>
      </c>
      <c r="E336" s="555">
        <v>2</v>
      </c>
      <c r="F336" s="555">
        <v>2017</v>
      </c>
      <c r="G336" s="556">
        <v>64.625</v>
      </c>
      <c r="H336" s="556">
        <v>64.674999999999997</v>
      </c>
      <c r="I336" s="556">
        <v>64.930000000000007</v>
      </c>
      <c r="J336" s="556">
        <v>64.540000000000006</v>
      </c>
    </row>
    <row r="337" spans="2:10" ht="16.5" thickBot="1" x14ac:dyDescent="0.3">
      <c r="B337" s="544">
        <v>42925</v>
      </c>
      <c r="C337" s="361">
        <v>7</v>
      </c>
      <c r="D337" s="555" t="s">
        <v>556</v>
      </c>
      <c r="E337" s="555">
        <v>9</v>
      </c>
      <c r="F337" s="555">
        <v>2017</v>
      </c>
      <c r="G337" s="556">
        <v>64.424000000000007</v>
      </c>
      <c r="H337" s="556">
        <v>64.608000000000004</v>
      </c>
      <c r="I337" s="556">
        <v>64.638000000000005</v>
      </c>
      <c r="J337" s="556">
        <v>64.424000000000007</v>
      </c>
    </row>
    <row r="338" spans="2:10" ht="16.5" thickBot="1" x14ac:dyDescent="0.3">
      <c r="B338" s="544">
        <v>42932</v>
      </c>
      <c r="C338" s="361">
        <v>7</v>
      </c>
      <c r="D338" s="555" t="s">
        <v>556</v>
      </c>
      <c r="E338" s="555">
        <v>16</v>
      </c>
      <c r="F338" s="555">
        <v>2017</v>
      </c>
      <c r="G338" s="556">
        <v>64.385000000000005</v>
      </c>
      <c r="H338" s="556">
        <v>64.355000000000004</v>
      </c>
      <c r="I338" s="556">
        <v>64.459999999999994</v>
      </c>
      <c r="J338" s="556">
        <v>64.245000000000005</v>
      </c>
    </row>
    <row r="339" spans="2:10" ht="16.5" thickBot="1" x14ac:dyDescent="0.3">
      <c r="B339" s="544">
        <v>42939</v>
      </c>
      <c r="C339" s="361">
        <v>7</v>
      </c>
      <c r="D339" s="555" t="s">
        <v>556</v>
      </c>
      <c r="E339" s="555">
        <v>23</v>
      </c>
      <c r="F339" s="555">
        <v>2017</v>
      </c>
      <c r="G339" s="556">
        <v>64.114999999999995</v>
      </c>
      <c r="H339" s="556">
        <v>64.415000000000006</v>
      </c>
      <c r="I339" s="556">
        <v>64.465000000000003</v>
      </c>
      <c r="J339" s="556">
        <v>64.064999999999998</v>
      </c>
    </row>
    <row r="340" spans="2:10" ht="16.5" thickBot="1" x14ac:dyDescent="0.3">
      <c r="B340" s="544">
        <v>42946</v>
      </c>
      <c r="C340" s="361">
        <v>7</v>
      </c>
      <c r="D340" s="555" t="s">
        <v>556</v>
      </c>
      <c r="E340" s="555">
        <v>30</v>
      </c>
      <c r="F340" s="555">
        <v>2017</v>
      </c>
      <c r="G340" s="556">
        <v>63.674999999999997</v>
      </c>
      <c r="H340" s="556">
        <v>64.161000000000001</v>
      </c>
      <c r="I340" s="556">
        <v>64.293999999999997</v>
      </c>
      <c r="J340" s="556">
        <v>63.610999999999997</v>
      </c>
    </row>
    <row r="341" spans="2:10" ht="16.5" thickBot="1" x14ac:dyDescent="0.3">
      <c r="B341" s="544">
        <v>42953</v>
      </c>
      <c r="C341" s="361">
        <v>8</v>
      </c>
      <c r="D341" s="555" t="s">
        <v>188</v>
      </c>
      <c r="E341" s="555">
        <v>6</v>
      </c>
      <c r="F341" s="555">
        <v>2017</v>
      </c>
      <c r="G341" s="556">
        <v>64.14</v>
      </c>
      <c r="H341" s="556">
        <v>63.715000000000003</v>
      </c>
      <c r="I341" s="556">
        <v>64.27</v>
      </c>
      <c r="J341" s="556">
        <v>63.62</v>
      </c>
    </row>
    <row r="342" spans="2:10" ht="16.5" thickBot="1" x14ac:dyDescent="0.3">
      <c r="B342" s="544">
        <v>42960</v>
      </c>
      <c r="C342" s="361">
        <v>8</v>
      </c>
      <c r="D342" s="555" t="s">
        <v>188</v>
      </c>
      <c r="E342" s="555">
        <v>13</v>
      </c>
      <c r="F342" s="555">
        <v>2017</v>
      </c>
      <c r="G342" s="556">
        <v>64.094999999999999</v>
      </c>
      <c r="H342" s="556">
        <v>63.984999999999999</v>
      </c>
      <c r="I342" s="556">
        <v>64.328000000000003</v>
      </c>
      <c r="J342" s="556">
        <v>63.935000000000002</v>
      </c>
    </row>
    <row r="343" spans="2:10" ht="16.5" thickBot="1" x14ac:dyDescent="0.3">
      <c r="B343" s="544">
        <v>42967</v>
      </c>
      <c r="C343" s="361">
        <v>8</v>
      </c>
      <c r="D343" s="555" t="s">
        <v>188</v>
      </c>
      <c r="E343" s="555">
        <v>20</v>
      </c>
      <c r="F343" s="555">
        <v>2017</v>
      </c>
      <c r="G343" s="556">
        <v>64.004999999999995</v>
      </c>
      <c r="H343" s="556">
        <v>64.075000000000003</v>
      </c>
      <c r="I343" s="556">
        <v>64.156999999999996</v>
      </c>
      <c r="J343" s="556">
        <v>64.004999999999995</v>
      </c>
    </row>
    <row r="344" spans="2:10" ht="16.5" thickBot="1" x14ac:dyDescent="0.3">
      <c r="B344" s="544">
        <v>42974</v>
      </c>
      <c r="C344" s="361">
        <v>8</v>
      </c>
      <c r="D344" s="555" t="s">
        <v>188</v>
      </c>
      <c r="E344" s="555">
        <v>27</v>
      </c>
      <c r="F344" s="555">
        <v>2017</v>
      </c>
      <c r="G344" s="556">
        <v>64.025000000000006</v>
      </c>
      <c r="H344" s="556">
        <v>63.89</v>
      </c>
      <c r="I344" s="556">
        <v>64.06</v>
      </c>
      <c r="J344" s="556">
        <v>63.854999999999997</v>
      </c>
    </row>
    <row r="345" spans="2:10" ht="16.5" thickBot="1" x14ac:dyDescent="0.3">
      <c r="B345" s="544">
        <v>42981</v>
      </c>
      <c r="C345" s="16">
        <v>9</v>
      </c>
      <c r="D345" s="555" t="s">
        <v>187</v>
      </c>
      <c r="E345" s="555">
        <v>3</v>
      </c>
      <c r="F345" s="555">
        <v>2017</v>
      </c>
      <c r="G345" s="556">
        <v>63.784999999999997</v>
      </c>
      <c r="H345" s="556">
        <v>63.945</v>
      </c>
      <c r="I345" s="556">
        <v>64.262</v>
      </c>
      <c r="J345" s="556">
        <v>63.78</v>
      </c>
    </row>
    <row r="346" spans="2:10" ht="16.5" thickBot="1" x14ac:dyDescent="0.3">
      <c r="B346" s="544">
        <v>42988</v>
      </c>
      <c r="C346" s="16">
        <v>9</v>
      </c>
      <c r="D346" s="555" t="s">
        <v>187</v>
      </c>
      <c r="E346" s="555">
        <v>10</v>
      </c>
      <c r="F346" s="555">
        <v>2017</v>
      </c>
      <c r="G346" s="556">
        <v>64.11</v>
      </c>
      <c r="H346" s="556">
        <v>63.905000000000001</v>
      </c>
      <c r="I346" s="556">
        <v>64.174999999999997</v>
      </c>
      <c r="J346" s="556">
        <v>63.837000000000003</v>
      </c>
    </row>
    <row r="347" spans="2:10" ht="16.5" thickBot="1" x14ac:dyDescent="0.3">
      <c r="B347" s="544">
        <v>42995</v>
      </c>
      <c r="C347" s="16">
        <v>9</v>
      </c>
      <c r="D347" s="555" t="s">
        <v>187</v>
      </c>
      <c r="E347" s="555">
        <v>17</v>
      </c>
      <c r="F347" s="555">
        <v>2017</v>
      </c>
      <c r="G347" s="556">
        <v>64.795000000000002</v>
      </c>
      <c r="H347" s="556">
        <v>64.055000000000007</v>
      </c>
      <c r="I347" s="556">
        <v>65.155000000000001</v>
      </c>
      <c r="J347" s="556">
        <v>64.001999999999995</v>
      </c>
    </row>
    <row r="348" spans="2:10" ht="16.5" thickBot="1" x14ac:dyDescent="0.3">
      <c r="B348" s="544">
        <v>43002</v>
      </c>
      <c r="C348" s="16">
        <v>9</v>
      </c>
      <c r="D348" s="555" t="s">
        <v>187</v>
      </c>
      <c r="E348" s="555">
        <v>24</v>
      </c>
      <c r="F348" s="555">
        <v>2017</v>
      </c>
      <c r="G348" s="556">
        <v>65.31</v>
      </c>
      <c r="H348" s="556">
        <v>64.844999999999999</v>
      </c>
      <c r="I348" s="556">
        <v>65.894999999999996</v>
      </c>
      <c r="J348" s="556">
        <v>64.724999999999994</v>
      </c>
    </row>
    <row r="349" spans="2:10" ht="16.5" thickBot="1" x14ac:dyDescent="0.3">
      <c r="B349" s="544">
        <v>43009</v>
      </c>
      <c r="C349" s="16">
        <v>10</v>
      </c>
      <c r="D349" s="555" t="s">
        <v>186</v>
      </c>
      <c r="E349" s="555">
        <v>1</v>
      </c>
      <c r="F349" s="555">
        <v>2017</v>
      </c>
      <c r="G349" s="556">
        <v>65.400000000000006</v>
      </c>
      <c r="H349" s="556">
        <v>65.599999999999994</v>
      </c>
      <c r="I349" s="556">
        <v>65.641999999999996</v>
      </c>
      <c r="J349" s="556">
        <v>64.954999999999998</v>
      </c>
    </row>
    <row r="350" spans="2:10" ht="16.5" thickBot="1" x14ac:dyDescent="0.3">
      <c r="B350" s="544">
        <v>43016</v>
      </c>
      <c r="C350" s="16">
        <v>10</v>
      </c>
      <c r="D350" s="555" t="s">
        <v>186</v>
      </c>
      <c r="E350" s="555">
        <v>8</v>
      </c>
      <c r="F350" s="555">
        <v>2017</v>
      </c>
      <c r="G350" s="556">
        <v>64.7</v>
      </c>
      <c r="H350" s="556">
        <v>65.375</v>
      </c>
      <c r="I350" s="556">
        <v>65.430000000000007</v>
      </c>
      <c r="J350" s="556">
        <v>64.7</v>
      </c>
    </row>
    <row r="351" spans="2:10" ht="16.5" thickBot="1" x14ac:dyDescent="0.3">
      <c r="B351" s="544">
        <v>43023</v>
      </c>
      <c r="C351" s="16">
        <v>10</v>
      </c>
      <c r="D351" s="555" t="s">
        <v>186</v>
      </c>
      <c r="E351" s="555">
        <v>15</v>
      </c>
      <c r="F351" s="555">
        <v>2017</v>
      </c>
      <c r="G351" s="556">
        <v>65.040000000000006</v>
      </c>
      <c r="H351" s="556">
        <v>64.75</v>
      </c>
      <c r="I351" s="556">
        <v>65.165000000000006</v>
      </c>
      <c r="J351" s="556">
        <v>64.694999999999993</v>
      </c>
    </row>
    <row r="352" spans="2:10" ht="16.5" thickBot="1" x14ac:dyDescent="0.3">
      <c r="B352" s="544">
        <v>43030</v>
      </c>
      <c r="C352" s="16">
        <v>10</v>
      </c>
      <c r="D352" s="555" t="s">
        <v>186</v>
      </c>
      <c r="E352" s="555">
        <v>22</v>
      </c>
      <c r="F352" s="555">
        <v>2017</v>
      </c>
      <c r="G352" s="556">
        <v>65.040000000000006</v>
      </c>
      <c r="H352" s="556">
        <v>65.075000000000003</v>
      </c>
      <c r="I352" s="556">
        <v>65.2</v>
      </c>
      <c r="J352" s="556">
        <v>64.724999999999994</v>
      </c>
    </row>
    <row r="353" spans="2:10" ht="16.5" thickBot="1" x14ac:dyDescent="0.3">
      <c r="B353" s="544">
        <v>43037</v>
      </c>
      <c r="C353" s="16">
        <v>10</v>
      </c>
      <c r="D353" s="555" t="s">
        <v>186</v>
      </c>
      <c r="E353" s="555">
        <v>29</v>
      </c>
      <c r="F353" s="555">
        <v>2017</v>
      </c>
      <c r="G353" s="556">
        <v>64.56</v>
      </c>
      <c r="H353" s="556">
        <v>64.89</v>
      </c>
      <c r="I353" s="556">
        <v>64.959999999999994</v>
      </c>
      <c r="J353" s="556">
        <v>64.48</v>
      </c>
    </row>
    <row r="354" spans="2:10" ht="16.5" thickBot="1" x14ac:dyDescent="0.3">
      <c r="B354" s="544">
        <v>43044</v>
      </c>
      <c r="C354" s="361">
        <v>11</v>
      </c>
      <c r="D354" s="555" t="s">
        <v>185</v>
      </c>
      <c r="E354" s="555">
        <v>5</v>
      </c>
      <c r="F354" s="555">
        <v>2017</v>
      </c>
      <c r="G354" s="556">
        <v>65.19</v>
      </c>
      <c r="H354" s="556">
        <v>64.67</v>
      </c>
      <c r="I354" s="556">
        <v>65.207999999999998</v>
      </c>
      <c r="J354" s="556">
        <v>64.614999999999995</v>
      </c>
    </row>
    <row r="355" spans="2:10" ht="16.5" thickBot="1" x14ac:dyDescent="0.3">
      <c r="B355" s="544">
        <v>43051</v>
      </c>
      <c r="C355" s="361">
        <v>11</v>
      </c>
      <c r="D355" s="555" t="s">
        <v>185</v>
      </c>
      <c r="E355" s="555">
        <v>12</v>
      </c>
      <c r="F355" s="555">
        <v>2017</v>
      </c>
      <c r="G355" s="556">
        <v>65.015000000000001</v>
      </c>
      <c r="H355" s="556">
        <v>65.364999999999995</v>
      </c>
      <c r="I355" s="556">
        <v>65.545000000000002</v>
      </c>
      <c r="J355" s="556">
        <v>64.625</v>
      </c>
    </row>
    <row r="356" spans="2:10" ht="16.5" thickBot="1" x14ac:dyDescent="0.3">
      <c r="B356" s="544">
        <v>43058</v>
      </c>
      <c r="C356" s="361">
        <v>11</v>
      </c>
      <c r="D356" s="555" t="s">
        <v>185</v>
      </c>
      <c r="E356" s="555">
        <v>19</v>
      </c>
      <c r="F356" s="555">
        <v>2017</v>
      </c>
      <c r="G356" s="556">
        <v>64.680000000000007</v>
      </c>
      <c r="H356" s="556">
        <v>64.98</v>
      </c>
      <c r="I356" s="556">
        <v>65.13</v>
      </c>
      <c r="J356" s="556">
        <v>64.555000000000007</v>
      </c>
    </row>
    <row r="357" spans="2:10" ht="16.5" thickBot="1" x14ac:dyDescent="0.3">
      <c r="B357" s="544">
        <v>43065</v>
      </c>
      <c r="C357" s="361">
        <v>11</v>
      </c>
      <c r="D357" s="555" t="s">
        <v>185</v>
      </c>
      <c r="E357" s="555">
        <v>26</v>
      </c>
      <c r="F357" s="555">
        <v>2017</v>
      </c>
      <c r="G357" s="556">
        <v>64.52</v>
      </c>
      <c r="H357" s="556">
        <v>64.72</v>
      </c>
      <c r="I357" s="556">
        <v>64.832999999999998</v>
      </c>
      <c r="J357" s="556">
        <v>64.28</v>
      </c>
    </row>
    <row r="358" spans="2:10" ht="16.5" thickBot="1" x14ac:dyDescent="0.3">
      <c r="B358" s="544">
        <v>43072</v>
      </c>
      <c r="C358" s="361">
        <v>12</v>
      </c>
      <c r="D358" s="555" t="s">
        <v>184</v>
      </c>
      <c r="E358" s="555">
        <v>3</v>
      </c>
      <c r="F358" s="555">
        <v>2017</v>
      </c>
      <c r="G358" s="556">
        <v>64.48</v>
      </c>
      <c r="H358" s="556">
        <v>64.56</v>
      </c>
      <c r="I358" s="556">
        <v>64.61</v>
      </c>
      <c r="J358" s="556">
        <v>64.23</v>
      </c>
    </row>
    <row r="359" spans="2:10" ht="16.5" thickBot="1" x14ac:dyDescent="0.3">
      <c r="B359" s="544">
        <v>43079</v>
      </c>
      <c r="C359" s="361">
        <v>12</v>
      </c>
      <c r="D359" s="555" t="s">
        <v>184</v>
      </c>
      <c r="E359" s="555">
        <v>10</v>
      </c>
      <c r="F359" s="555">
        <v>2017</v>
      </c>
      <c r="G359" s="556">
        <v>64.08</v>
      </c>
      <c r="H359" s="556">
        <v>64.459999999999994</v>
      </c>
      <c r="I359" s="556">
        <v>64.56</v>
      </c>
      <c r="J359" s="556">
        <v>64.015000000000001</v>
      </c>
    </row>
    <row r="360" spans="2:10" ht="16.5" thickBot="1" x14ac:dyDescent="0.3">
      <c r="B360" s="544">
        <v>43086</v>
      </c>
      <c r="C360" s="361">
        <v>12</v>
      </c>
      <c r="D360" s="555" t="s">
        <v>184</v>
      </c>
      <c r="E360" s="555">
        <v>17</v>
      </c>
      <c r="F360" s="555">
        <v>2017</v>
      </c>
      <c r="G360" s="556">
        <v>64.02</v>
      </c>
      <c r="H360" s="556">
        <v>64.16</v>
      </c>
      <c r="I360" s="556">
        <v>64.73</v>
      </c>
      <c r="J360" s="556">
        <v>63.945</v>
      </c>
    </row>
    <row r="361" spans="2:10" ht="16.5" thickBot="1" x14ac:dyDescent="0.3">
      <c r="B361" s="544">
        <v>43093</v>
      </c>
      <c r="C361" s="361">
        <v>12</v>
      </c>
      <c r="D361" s="555" t="s">
        <v>184</v>
      </c>
      <c r="E361" s="555">
        <v>24</v>
      </c>
      <c r="F361" s="555">
        <v>2017</v>
      </c>
      <c r="G361" s="556">
        <v>63.84</v>
      </c>
      <c r="H361" s="556">
        <v>64.040000000000006</v>
      </c>
      <c r="I361" s="556">
        <v>64.28</v>
      </c>
      <c r="J361" s="556">
        <v>63.79</v>
      </c>
    </row>
    <row r="362" spans="2:10" ht="16.5" thickBot="1" x14ac:dyDescent="0.3">
      <c r="B362" s="544">
        <v>43100</v>
      </c>
      <c r="C362" s="361">
        <v>12</v>
      </c>
      <c r="D362" s="555" t="s">
        <v>184</v>
      </c>
      <c r="E362" s="555">
        <v>31</v>
      </c>
      <c r="F362" s="555">
        <v>2017</v>
      </c>
      <c r="G362" s="556">
        <v>63.34</v>
      </c>
      <c r="H362" s="556">
        <v>63.86</v>
      </c>
      <c r="I362" s="556">
        <v>63.87</v>
      </c>
      <c r="J362" s="556">
        <v>63.323</v>
      </c>
    </row>
    <row r="363" spans="2:10" ht="16.5" thickBot="1" x14ac:dyDescent="0.3">
      <c r="B363" s="544">
        <v>43107</v>
      </c>
      <c r="C363" s="361">
        <v>1</v>
      </c>
      <c r="D363" s="555" t="s">
        <v>183</v>
      </c>
      <c r="E363" s="555">
        <v>7</v>
      </c>
      <c r="F363" s="555">
        <v>2018</v>
      </c>
      <c r="G363" s="556">
        <v>63.61</v>
      </c>
      <c r="H363" s="556">
        <v>63.34</v>
      </c>
      <c r="I363" s="556">
        <v>63.854999999999997</v>
      </c>
      <c r="J363" s="556">
        <v>63.25</v>
      </c>
    </row>
    <row r="364" spans="2:10" ht="16.5" thickBot="1" x14ac:dyDescent="0.3">
      <c r="B364" s="544">
        <v>43114</v>
      </c>
      <c r="C364" s="361">
        <v>1</v>
      </c>
      <c r="D364" s="555" t="s">
        <v>183</v>
      </c>
      <c r="E364" s="555">
        <v>14</v>
      </c>
      <c r="F364" s="555">
        <v>2018</v>
      </c>
      <c r="G364" s="556">
        <v>63.83</v>
      </c>
      <c r="H364" s="556">
        <v>63.465000000000003</v>
      </c>
      <c r="I364" s="556">
        <v>64.13</v>
      </c>
      <c r="J364" s="556">
        <v>63.34</v>
      </c>
    </row>
    <row r="365" spans="2:10" ht="16.5" thickBot="1" x14ac:dyDescent="0.3">
      <c r="B365" s="544">
        <v>43121</v>
      </c>
      <c r="C365" s="361">
        <v>1</v>
      </c>
      <c r="D365" s="555" t="s">
        <v>183</v>
      </c>
      <c r="E365" s="555">
        <v>21</v>
      </c>
      <c r="F365" s="555">
        <v>2018</v>
      </c>
      <c r="G365" s="556">
        <v>63.59</v>
      </c>
      <c r="H365" s="556">
        <v>63.89</v>
      </c>
      <c r="I365" s="556">
        <v>64.010000000000005</v>
      </c>
      <c r="J365" s="556">
        <v>63.46</v>
      </c>
    </row>
    <row r="366" spans="2:10" ht="16.5" thickBot="1" x14ac:dyDescent="0.3">
      <c r="B366" s="544">
        <v>43128</v>
      </c>
      <c r="C366" s="361">
        <v>1</v>
      </c>
      <c r="D366" s="555" t="s">
        <v>183</v>
      </c>
      <c r="E366" s="555">
        <v>28</v>
      </c>
      <c r="F366" s="555">
        <v>2018</v>
      </c>
      <c r="G366" s="556">
        <v>64.13</v>
      </c>
      <c r="H366" s="556">
        <v>63.61</v>
      </c>
      <c r="I366" s="556">
        <v>64.2</v>
      </c>
      <c r="J366" s="556">
        <v>63.49</v>
      </c>
    </row>
    <row r="367" spans="2:10" ht="16.5" thickBot="1" x14ac:dyDescent="0.3">
      <c r="B367" s="544">
        <v>43135</v>
      </c>
      <c r="C367" s="361">
        <v>2</v>
      </c>
      <c r="D367" s="555" t="s">
        <v>182</v>
      </c>
      <c r="E367" s="555">
        <v>4</v>
      </c>
      <c r="F367" s="555">
        <v>2018</v>
      </c>
      <c r="G367" s="556">
        <v>64.375</v>
      </c>
      <c r="H367" s="556">
        <v>64.234999999999999</v>
      </c>
      <c r="I367" s="556">
        <v>64.438000000000002</v>
      </c>
      <c r="J367" s="556">
        <v>64.004999999999995</v>
      </c>
    </row>
    <row r="368" spans="2:10" ht="16.5" thickBot="1" x14ac:dyDescent="0.3">
      <c r="B368" s="544">
        <v>43142</v>
      </c>
      <c r="C368" s="361">
        <v>2</v>
      </c>
      <c r="D368" s="555" t="s">
        <v>182</v>
      </c>
      <c r="E368" s="555">
        <v>11</v>
      </c>
      <c r="F368" s="555">
        <v>2018</v>
      </c>
      <c r="G368" s="556">
        <v>64.215000000000003</v>
      </c>
      <c r="H368" s="556">
        <v>64.284999999999997</v>
      </c>
      <c r="I368" s="556">
        <v>64.344999999999999</v>
      </c>
      <c r="J368" s="556">
        <v>63.814999999999998</v>
      </c>
    </row>
    <row r="369" spans="2:10" ht="16.5" thickBot="1" x14ac:dyDescent="0.3">
      <c r="B369" s="544">
        <v>43149</v>
      </c>
      <c r="C369" s="361">
        <v>2</v>
      </c>
      <c r="D369" s="555" t="s">
        <v>182</v>
      </c>
      <c r="E369" s="555">
        <v>18</v>
      </c>
      <c r="F369" s="555">
        <v>2018</v>
      </c>
      <c r="G369" s="556">
        <v>64.709999999999994</v>
      </c>
      <c r="H369" s="556">
        <v>64.510000000000005</v>
      </c>
      <c r="I369" s="556">
        <v>65.11</v>
      </c>
      <c r="J369" s="556">
        <v>64.42</v>
      </c>
    </row>
    <row r="370" spans="2:10" ht="16.5" thickBot="1" x14ac:dyDescent="0.3">
      <c r="B370" s="544">
        <v>43156</v>
      </c>
      <c r="C370" s="361">
        <v>2</v>
      </c>
      <c r="D370" s="555" t="s">
        <v>182</v>
      </c>
      <c r="E370" s="555">
        <v>25</v>
      </c>
      <c r="F370" s="555">
        <v>2018</v>
      </c>
      <c r="G370" s="556">
        <v>65.22</v>
      </c>
      <c r="H370" s="556">
        <v>64.66</v>
      </c>
      <c r="I370" s="556">
        <v>65.319999999999993</v>
      </c>
      <c r="J370" s="556">
        <v>64.63</v>
      </c>
    </row>
    <row r="371" spans="2:10" ht="16.5" thickBot="1" x14ac:dyDescent="0.3">
      <c r="B371" s="544">
        <v>43163</v>
      </c>
      <c r="C371" s="361">
        <v>3</v>
      </c>
      <c r="D371" s="555" t="s">
        <v>181</v>
      </c>
      <c r="E371" s="555">
        <v>4</v>
      </c>
      <c r="F371" s="555">
        <v>2018</v>
      </c>
      <c r="G371" s="556">
        <v>65.125</v>
      </c>
      <c r="H371" s="556">
        <v>65.055000000000007</v>
      </c>
      <c r="I371" s="556">
        <v>65.194999999999993</v>
      </c>
      <c r="J371" s="556">
        <v>64.855000000000004</v>
      </c>
    </row>
    <row r="372" spans="2:10" ht="16.5" thickBot="1" x14ac:dyDescent="0.3">
      <c r="B372" s="544">
        <v>43170</v>
      </c>
      <c r="C372" s="361">
        <v>3</v>
      </c>
      <c r="D372" s="555" t="s">
        <v>181</v>
      </c>
      <c r="E372" s="555">
        <v>11</v>
      </c>
      <c r="F372" s="555">
        <v>2018</v>
      </c>
      <c r="G372" s="556">
        <v>64.989999999999995</v>
      </c>
      <c r="H372" s="556">
        <v>64.97</v>
      </c>
      <c r="I372" s="556">
        <v>65.075000000000003</v>
      </c>
      <c r="J372" s="556">
        <v>64.81</v>
      </c>
    </row>
    <row r="373" spans="2:10" ht="16.5" thickBot="1" x14ac:dyDescent="0.3">
      <c r="B373" s="544">
        <v>43177</v>
      </c>
      <c r="C373" s="361">
        <v>3</v>
      </c>
      <c r="D373" s="555" t="s">
        <v>181</v>
      </c>
      <c r="E373" s="555">
        <v>18</v>
      </c>
      <c r="F373" s="555">
        <v>2018</v>
      </c>
      <c r="G373" s="556">
        <v>64.989999999999995</v>
      </c>
      <c r="H373" s="556">
        <v>65.045000000000002</v>
      </c>
      <c r="I373" s="556">
        <v>65.25</v>
      </c>
      <c r="J373" s="556">
        <v>64.981999999999999</v>
      </c>
    </row>
    <row r="374" spans="2:10" ht="16.5" thickBot="1" x14ac:dyDescent="0.3">
      <c r="B374" s="544">
        <v>43184</v>
      </c>
      <c r="C374" s="361">
        <v>3</v>
      </c>
      <c r="D374" s="555" t="s">
        <v>181</v>
      </c>
      <c r="E374" s="555">
        <v>25</v>
      </c>
      <c r="F374" s="555">
        <v>2018</v>
      </c>
      <c r="G374" s="556">
        <v>65.114999999999995</v>
      </c>
      <c r="H374" s="556">
        <v>64.894999999999996</v>
      </c>
      <c r="I374" s="556">
        <v>65.295000000000002</v>
      </c>
      <c r="J374" s="556">
        <v>64.727000000000004</v>
      </c>
    </row>
    <row r="375" spans="2:10" ht="16.5" thickBot="1" x14ac:dyDescent="0.3">
      <c r="B375" s="544">
        <v>43191</v>
      </c>
      <c r="C375" s="361">
        <v>4</v>
      </c>
      <c r="D375" s="555" t="s">
        <v>261</v>
      </c>
      <c r="E375" s="555">
        <v>1</v>
      </c>
      <c r="F375" s="555">
        <v>2018</v>
      </c>
      <c r="G375" s="556">
        <v>64.930000000000007</v>
      </c>
      <c r="H375" s="556">
        <v>65.12</v>
      </c>
      <c r="I375" s="556">
        <v>65.185000000000002</v>
      </c>
      <c r="J375" s="556">
        <v>64.89</v>
      </c>
    </row>
    <row r="376" spans="2:10" ht="16.5" thickBot="1" x14ac:dyDescent="0.3">
      <c r="B376" s="544">
        <v>43198</v>
      </c>
      <c r="C376" s="361">
        <v>4</v>
      </c>
      <c r="D376" s="555" t="s">
        <v>261</v>
      </c>
      <c r="E376" s="555">
        <v>8</v>
      </c>
      <c r="F376" s="555">
        <v>2018</v>
      </c>
      <c r="G376" s="556">
        <v>65.254999999999995</v>
      </c>
      <c r="H376" s="556">
        <v>64.864999999999995</v>
      </c>
      <c r="I376" s="556">
        <v>65.444999999999993</v>
      </c>
      <c r="J376" s="556">
        <v>64.849999999999994</v>
      </c>
    </row>
    <row r="377" spans="2:10" ht="16.5" thickBot="1" x14ac:dyDescent="0.3">
      <c r="B377" s="544">
        <v>43205</v>
      </c>
      <c r="C377" s="361">
        <v>4</v>
      </c>
      <c r="D377" s="555" t="s">
        <v>261</v>
      </c>
      <c r="E377" s="555">
        <v>15</v>
      </c>
      <c r="F377" s="555">
        <v>2018</v>
      </c>
      <c r="G377" s="556">
        <v>66.209999999999994</v>
      </c>
      <c r="H377" s="556">
        <v>65.33</v>
      </c>
      <c r="I377" s="556">
        <v>66.209999999999994</v>
      </c>
      <c r="J377" s="556">
        <v>65.319999999999993</v>
      </c>
    </row>
    <row r="378" spans="2:10" ht="16.5" thickBot="1" x14ac:dyDescent="0.3">
      <c r="B378" s="544">
        <v>43212</v>
      </c>
      <c r="C378" s="361">
        <v>4</v>
      </c>
      <c r="D378" s="555" t="s">
        <v>261</v>
      </c>
      <c r="E378" s="555">
        <v>22</v>
      </c>
      <c r="F378" s="555">
        <v>2018</v>
      </c>
      <c r="G378" s="556">
        <v>66.62</v>
      </c>
      <c r="H378" s="556">
        <v>66.209999999999994</v>
      </c>
      <c r="I378" s="556">
        <v>66.98</v>
      </c>
      <c r="J378" s="556">
        <v>66.150000000000006</v>
      </c>
    </row>
    <row r="379" spans="2:10" ht="16.5" thickBot="1" x14ac:dyDescent="0.3">
      <c r="B379" s="544">
        <v>43219</v>
      </c>
      <c r="C379" s="361">
        <v>4</v>
      </c>
      <c r="D379" s="555" t="s">
        <v>261</v>
      </c>
      <c r="E379" s="555">
        <v>29</v>
      </c>
      <c r="F379" s="555">
        <v>2018</v>
      </c>
      <c r="G379" s="556">
        <v>66.819999999999993</v>
      </c>
      <c r="H379" s="556">
        <v>66.599999999999994</v>
      </c>
      <c r="I379" s="556">
        <v>66.92</v>
      </c>
      <c r="J379" s="556">
        <v>66.349999999999994</v>
      </c>
    </row>
    <row r="380" spans="2:10" ht="16.5" thickBot="1" x14ac:dyDescent="0.3">
      <c r="B380" s="544">
        <v>43226</v>
      </c>
      <c r="C380" s="361">
        <v>5</v>
      </c>
      <c r="D380" s="555" t="s">
        <v>191</v>
      </c>
      <c r="E380" s="555">
        <v>6</v>
      </c>
      <c r="F380" s="555">
        <v>2018</v>
      </c>
      <c r="G380" s="556">
        <v>67.36</v>
      </c>
      <c r="H380" s="556">
        <v>66.825000000000003</v>
      </c>
      <c r="I380" s="556">
        <v>67.477000000000004</v>
      </c>
      <c r="J380" s="556">
        <v>66.784999999999997</v>
      </c>
    </row>
    <row r="381" spans="2:10" ht="16.5" thickBot="1" x14ac:dyDescent="0.3">
      <c r="B381" s="544">
        <v>43233</v>
      </c>
      <c r="C381" s="361">
        <v>5</v>
      </c>
      <c r="D381" s="555" t="s">
        <v>191</v>
      </c>
      <c r="E381" s="555">
        <v>13</v>
      </c>
      <c r="F381" s="555">
        <v>2018</v>
      </c>
      <c r="G381" s="556">
        <v>67.989999999999995</v>
      </c>
      <c r="H381" s="556">
        <v>67.251999999999995</v>
      </c>
      <c r="I381" s="556">
        <v>68.143000000000001</v>
      </c>
      <c r="J381" s="556">
        <v>67.215000000000003</v>
      </c>
    </row>
    <row r="382" spans="2:10" ht="16.5" thickBot="1" x14ac:dyDescent="0.3">
      <c r="B382" s="544">
        <v>43240</v>
      </c>
      <c r="C382" s="361">
        <v>5</v>
      </c>
      <c r="D382" s="555" t="s">
        <v>191</v>
      </c>
      <c r="E382" s="555">
        <v>20</v>
      </c>
      <c r="F382" s="555">
        <v>2018</v>
      </c>
      <c r="G382" s="556">
        <v>67.73</v>
      </c>
      <c r="H382" s="556">
        <v>68.11</v>
      </c>
      <c r="I382" s="556">
        <v>68.484999999999999</v>
      </c>
      <c r="J382" s="556">
        <v>67.718000000000004</v>
      </c>
    </row>
    <row r="383" spans="2:10" ht="16.5" thickBot="1" x14ac:dyDescent="0.3">
      <c r="B383" s="544">
        <v>43247</v>
      </c>
      <c r="C383" s="361">
        <v>5</v>
      </c>
      <c r="D383" s="555" t="s">
        <v>191</v>
      </c>
      <c r="E383" s="555">
        <v>27</v>
      </c>
      <c r="F383" s="555">
        <v>2018</v>
      </c>
      <c r="G383" s="556">
        <v>66.995000000000005</v>
      </c>
      <c r="H383" s="556">
        <v>67.504999999999995</v>
      </c>
      <c r="I383" s="556">
        <v>67.989999999999995</v>
      </c>
      <c r="J383" s="556">
        <v>66.995000000000005</v>
      </c>
    </row>
    <row r="384" spans="2:10" ht="16.5" thickBot="1" x14ac:dyDescent="0.3">
      <c r="B384" s="544">
        <v>43254</v>
      </c>
      <c r="C384" s="361">
        <v>6</v>
      </c>
      <c r="D384" s="555" t="s">
        <v>555</v>
      </c>
      <c r="E384" s="555">
        <v>3</v>
      </c>
      <c r="F384" s="555">
        <v>2018</v>
      </c>
      <c r="G384" s="556">
        <v>67.53</v>
      </c>
      <c r="H384" s="556">
        <v>66.915000000000006</v>
      </c>
      <c r="I384" s="556">
        <v>67.795000000000002</v>
      </c>
      <c r="J384" s="556">
        <v>66.84</v>
      </c>
    </row>
    <row r="385" spans="2:10" ht="16.5" thickBot="1" x14ac:dyDescent="0.3">
      <c r="B385" s="544">
        <v>43261</v>
      </c>
      <c r="C385" s="361">
        <v>6</v>
      </c>
      <c r="D385" s="555" t="s">
        <v>555</v>
      </c>
      <c r="E385" s="555">
        <v>10</v>
      </c>
      <c r="F385" s="555">
        <v>2018</v>
      </c>
      <c r="G385" s="556">
        <v>68.06</v>
      </c>
      <c r="H385" s="556">
        <v>67.444999999999993</v>
      </c>
      <c r="I385" s="556">
        <v>68.064999999999998</v>
      </c>
      <c r="J385" s="556">
        <v>67.275000000000006</v>
      </c>
    </row>
    <row r="386" spans="2:10" ht="16.5" thickBot="1" x14ac:dyDescent="0.3">
      <c r="B386" s="544">
        <v>43268</v>
      </c>
      <c r="C386" s="361">
        <v>6</v>
      </c>
      <c r="D386" s="555" t="s">
        <v>555</v>
      </c>
      <c r="E386" s="555">
        <v>17</v>
      </c>
      <c r="F386" s="555">
        <v>2018</v>
      </c>
      <c r="G386" s="556">
        <v>67.87</v>
      </c>
      <c r="H386" s="556">
        <v>68.16</v>
      </c>
      <c r="I386" s="556">
        <v>68.39</v>
      </c>
      <c r="J386" s="556">
        <v>67.715000000000003</v>
      </c>
    </row>
    <row r="387" spans="2:10" ht="16.5" thickBot="1" x14ac:dyDescent="0.3">
      <c r="B387" s="544">
        <v>43275</v>
      </c>
      <c r="C387" s="361">
        <v>6</v>
      </c>
      <c r="D387" s="555" t="s">
        <v>555</v>
      </c>
      <c r="E387" s="555">
        <v>24</v>
      </c>
      <c r="F387" s="555">
        <v>2018</v>
      </c>
      <c r="G387" s="556">
        <v>68.459999999999994</v>
      </c>
      <c r="H387" s="556">
        <v>67.91</v>
      </c>
      <c r="I387" s="556">
        <v>69.099999999999994</v>
      </c>
      <c r="J387" s="556">
        <v>67.91</v>
      </c>
    </row>
    <row r="388" spans="2:10" ht="16.5" thickBot="1" x14ac:dyDescent="0.3">
      <c r="B388" s="544">
        <v>43282</v>
      </c>
      <c r="C388" s="361">
        <v>7</v>
      </c>
      <c r="D388" s="555" t="s">
        <v>556</v>
      </c>
      <c r="E388" s="555">
        <v>1</v>
      </c>
      <c r="F388" s="555">
        <v>2018</v>
      </c>
      <c r="G388" s="556">
        <v>68.805000000000007</v>
      </c>
      <c r="H388" s="556">
        <v>68.489999999999995</v>
      </c>
      <c r="I388" s="556">
        <v>69.03</v>
      </c>
      <c r="J388" s="556">
        <v>68.334999999999994</v>
      </c>
    </row>
    <row r="389" spans="2:10" ht="16.5" thickBot="1" x14ac:dyDescent="0.3">
      <c r="B389" s="544">
        <v>43289</v>
      </c>
      <c r="C389" s="361">
        <v>7</v>
      </c>
      <c r="D389" s="555" t="s">
        <v>556</v>
      </c>
      <c r="E389" s="555">
        <v>8</v>
      </c>
      <c r="F389" s="555">
        <v>2018</v>
      </c>
      <c r="G389" s="556">
        <v>68.5</v>
      </c>
      <c r="H389" s="556">
        <v>68.569999999999993</v>
      </c>
      <c r="I389" s="556">
        <v>68.900000000000006</v>
      </c>
      <c r="J389" s="556">
        <v>68.334999999999994</v>
      </c>
    </row>
    <row r="390" spans="2:10" ht="16.5" thickBot="1" x14ac:dyDescent="0.3">
      <c r="B390" s="544">
        <v>43296</v>
      </c>
      <c r="C390" s="361">
        <v>7</v>
      </c>
      <c r="D390" s="555" t="s">
        <v>556</v>
      </c>
      <c r="E390" s="555">
        <v>15</v>
      </c>
      <c r="F390" s="555">
        <v>2018</v>
      </c>
      <c r="G390" s="556">
        <v>68.739999999999995</v>
      </c>
      <c r="H390" s="556">
        <v>68.56</v>
      </c>
      <c r="I390" s="556">
        <v>69.132000000000005</v>
      </c>
      <c r="J390" s="556">
        <v>68.28</v>
      </c>
    </row>
    <row r="391" spans="2:10" ht="16.5" thickBot="1" x14ac:dyDescent="0.3">
      <c r="B391" s="544">
        <v>43303</v>
      </c>
      <c r="C391" s="361">
        <v>7</v>
      </c>
      <c r="D391" s="555" t="s">
        <v>556</v>
      </c>
      <c r="E391" s="555">
        <v>22</v>
      </c>
      <c r="F391" s="555">
        <v>2018</v>
      </c>
      <c r="G391" s="556">
        <v>68.605000000000004</v>
      </c>
      <c r="H391" s="556">
        <v>68.704999999999998</v>
      </c>
      <c r="I391" s="556">
        <v>69.087999999999994</v>
      </c>
      <c r="J391" s="556">
        <v>68.534999999999997</v>
      </c>
    </row>
    <row r="392" spans="2:10" ht="16.5" thickBot="1" x14ac:dyDescent="0.3">
      <c r="B392" s="544">
        <v>43310</v>
      </c>
      <c r="C392" s="361">
        <v>7</v>
      </c>
      <c r="D392" s="555" t="s">
        <v>556</v>
      </c>
      <c r="E392" s="555">
        <v>29</v>
      </c>
      <c r="F392" s="555">
        <v>2018</v>
      </c>
      <c r="G392" s="556">
        <v>68.545000000000002</v>
      </c>
      <c r="H392" s="556">
        <v>68.704999999999998</v>
      </c>
      <c r="I392" s="556">
        <v>68.844999999999999</v>
      </c>
      <c r="J392" s="556">
        <v>68.265000000000001</v>
      </c>
    </row>
    <row r="393" spans="2:10" ht="16.5" thickBot="1" x14ac:dyDescent="0.3">
      <c r="B393" s="544">
        <v>43317</v>
      </c>
      <c r="C393" s="361">
        <v>8</v>
      </c>
      <c r="D393" s="555" t="s">
        <v>188</v>
      </c>
      <c r="E393" s="555">
        <v>5</v>
      </c>
      <c r="F393" s="555">
        <v>2018</v>
      </c>
      <c r="G393" s="556">
        <v>68.89</v>
      </c>
      <c r="H393" s="556">
        <v>68.575000000000003</v>
      </c>
      <c r="I393" s="556">
        <v>69.025000000000006</v>
      </c>
      <c r="J393" s="556">
        <v>68.454999999999998</v>
      </c>
    </row>
    <row r="394" spans="2:10" ht="16.5" thickBot="1" x14ac:dyDescent="0.3">
      <c r="B394" s="544">
        <v>43324</v>
      </c>
      <c r="C394" s="361">
        <v>8</v>
      </c>
      <c r="D394" s="555" t="s">
        <v>188</v>
      </c>
      <c r="E394" s="555">
        <v>12</v>
      </c>
      <c r="F394" s="555">
        <v>2018</v>
      </c>
      <c r="G394" s="556">
        <v>70.099999999999994</v>
      </c>
      <c r="H394" s="556">
        <v>69.489999999999995</v>
      </c>
      <c r="I394" s="556">
        <v>70.42</v>
      </c>
      <c r="J394" s="556">
        <v>69.41</v>
      </c>
    </row>
    <row r="395" spans="2:10" ht="16.5" thickBot="1" x14ac:dyDescent="0.3">
      <c r="B395" s="544">
        <v>43331</v>
      </c>
      <c r="C395" s="361">
        <v>8</v>
      </c>
      <c r="D395" s="555" t="s">
        <v>188</v>
      </c>
      <c r="E395" s="555">
        <v>19</v>
      </c>
      <c r="F395" s="555">
        <v>2018</v>
      </c>
      <c r="G395" s="556">
        <v>69.97</v>
      </c>
      <c r="H395" s="556">
        <v>69.819999999999993</v>
      </c>
      <c r="I395" s="556">
        <v>70.239999999999995</v>
      </c>
      <c r="J395" s="556">
        <v>69.534999999999997</v>
      </c>
    </row>
    <row r="396" spans="2:10" ht="16.5" thickBot="1" x14ac:dyDescent="0.3">
      <c r="B396" s="544">
        <v>43338</v>
      </c>
      <c r="C396" s="361">
        <v>8</v>
      </c>
      <c r="D396" s="555" t="s">
        <v>188</v>
      </c>
      <c r="E396" s="555">
        <v>26</v>
      </c>
      <c r="F396" s="555">
        <v>2018</v>
      </c>
      <c r="G396" s="556">
        <v>71.004999999999995</v>
      </c>
      <c r="H396" s="556">
        <v>69.765000000000001</v>
      </c>
      <c r="I396" s="556">
        <v>71.025000000000006</v>
      </c>
      <c r="J396" s="556">
        <v>69.704999999999998</v>
      </c>
    </row>
    <row r="397" spans="2:10" ht="16.5" thickBot="1" x14ac:dyDescent="0.3">
      <c r="B397" s="544">
        <v>43345</v>
      </c>
      <c r="C397" s="16">
        <v>9</v>
      </c>
      <c r="D397" s="555" t="s">
        <v>187</v>
      </c>
      <c r="E397" s="555">
        <v>2</v>
      </c>
      <c r="F397" s="555">
        <v>2018</v>
      </c>
      <c r="G397" s="556">
        <v>71.790000000000006</v>
      </c>
      <c r="H397" s="556">
        <v>70.795000000000002</v>
      </c>
      <c r="I397" s="556">
        <v>72.105000000000004</v>
      </c>
      <c r="J397" s="556">
        <v>70.73</v>
      </c>
    </row>
    <row r="398" spans="2:10" ht="16.5" thickBot="1" x14ac:dyDescent="0.3">
      <c r="B398" s="544">
        <v>43352</v>
      </c>
      <c r="C398" s="16">
        <v>9</v>
      </c>
      <c r="D398" s="555" t="s">
        <v>187</v>
      </c>
      <c r="E398" s="555">
        <v>9</v>
      </c>
      <c r="F398" s="555">
        <v>2018</v>
      </c>
      <c r="G398" s="556">
        <v>71.88</v>
      </c>
      <c r="H398" s="556">
        <v>72.14</v>
      </c>
      <c r="I398" s="556">
        <v>72.92</v>
      </c>
      <c r="J398" s="556">
        <v>71.534999999999997</v>
      </c>
    </row>
    <row r="399" spans="2:10" ht="16.5" thickBot="1" x14ac:dyDescent="0.3">
      <c r="B399" s="544">
        <v>43359</v>
      </c>
      <c r="C399" s="16">
        <v>9</v>
      </c>
      <c r="D399" s="555" t="s">
        <v>187</v>
      </c>
      <c r="E399" s="555">
        <v>16</v>
      </c>
      <c r="F399" s="555">
        <v>2018</v>
      </c>
      <c r="G399" s="556">
        <v>72.239999999999995</v>
      </c>
      <c r="H399" s="556">
        <v>72.53</v>
      </c>
      <c r="I399" s="556">
        <v>72.989999999999995</v>
      </c>
      <c r="J399" s="556">
        <v>71.760000000000005</v>
      </c>
    </row>
    <row r="400" spans="2:10" ht="16.5" thickBot="1" x14ac:dyDescent="0.3">
      <c r="B400" s="544">
        <v>43366</v>
      </c>
      <c r="C400" s="16">
        <v>9</v>
      </c>
      <c r="D400" s="555" t="s">
        <v>187</v>
      </c>
      <c r="E400" s="555">
        <v>23</v>
      </c>
      <c r="F400" s="555">
        <v>2018</v>
      </c>
      <c r="G400" s="556">
        <v>72.510000000000005</v>
      </c>
      <c r="H400" s="556">
        <v>72.48</v>
      </c>
      <c r="I400" s="556">
        <v>72.965000000000003</v>
      </c>
      <c r="J400" s="556">
        <v>72.34</v>
      </c>
    </row>
    <row r="401" spans="2:10" ht="16.5" thickBot="1" x14ac:dyDescent="0.3">
      <c r="B401" s="544">
        <v>43373</v>
      </c>
      <c r="C401" s="16">
        <v>9</v>
      </c>
      <c r="D401" s="555" t="s">
        <v>187</v>
      </c>
      <c r="E401" s="555">
        <v>30</v>
      </c>
      <c r="F401" s="555">
        <v>2018</v>
      </c>
      <c r="G401" s="556">
        <v>73.77</v>
      </c>
      <c r="H401" s="556">
        <v>72.605000000000004</v>
      </c>
      <c r="I401" s="556">
        <v>74.25</v>
      </c>
      <c r="J401" s="556">
        <v>72.605000000000004</v>
      </c>
    </row>
    <row r="402" spans="2:10" ht="16.5" thickBot="1" x14ac:dyDescent="0.3">
      <c r="B402" s="544">
        <v>43380</v>
      </c>
      <c r="C402" s="16">
        <v>10</v>
      </c>
      <c r="D402" s="555" t="s">
        <v>186</v>
      </c>
      <c r="E402" s="555">
        <v>7</v>
      </c>
      <c r="F402" s="555">
        <v>2018</v>
      </c>
      <c r="G402" s="556">
        <v>73.61</v>
      </c>
      <c r="H402" s="556">
        <v>73.875</v>
      </c>
      <c r="I402" s="556">
        <v>74.489999999999995</v>
      </c>
      <c r="J402" s="556">
        <v>73.53</v>
      </c>
    </row>
    <row r="403" spans="2:10" ht="16.5" thickBot="1" x14ac:dyDescent="0.3">
      <c r="B403" s="544">
        <v>43387</v>
      </c>
      <c r="C403" s="16">
        <v>10</v>
      </c>
      <c r="D403" s="555" t="s">
        <v>186</v>
      </c>
      <c r="E403" s="555">
        <v>14</v>
      </c>
      <c r="F403" s="555">
        <v>2018</v>
      </c>
      <c r="G403" s="556">
        <v>73.375</v>
      </c>
      <c r="H403" s="556">
        <v>73.796999999999997</v>
      </c>
      <c r="I403" s="556">
        <v>74.064999999999998</v>
      </c>
      <c r="J403" s="556">
        <v>73.295000000000002</v>
      </c>
    </row>
    <row r="404" spans="2:10" ht="16.5" thickBot="1" x14ac:dyDescent="0.3">
      <c r="B404" s="544">
        <v>43394</v>
      </c>
      <c r="C404" s="16">
        <v>10</v>
      </c>
      <c r="D404" s="555" t="s">
        <v>186</v>
      </c>
      <c r="E404" s="555">
        <v>21</v>
      </c>
      <c r="F404" s="555">
        <v>2018</v>
      </c>
      <c r="G404" s="556">
        <v>73.459999999999994</v>
      </c>
      <c r="H404" s="556">
        <v>73.305000000000007</v>
      </c>
      <c r="I404" s="556">
        <v>73.828000000000003</v>
      </c>
      <c r="J404" s="556">
        <v>73.094999999999999</v>
      </c>
    </row>
    <row r="405" spans="2:10" ht="16.5" thickBot="1" x14ac:dyDescent="0.3">
      <c r="B405" s="544">
        <v>43401</v>
      </c>
      <c r="C405" s="16">
        <v>10</v>
      </c>
      <c r="D405" s="555" t="s">
        <v>186</v>
      </c>
      <c r="E405" s="555">
        <v>28</v>
      </c>
      <c r="F405" s="555">
        <v>2018</v>
      </c>
      <c r="G405" s="556">
        <v>72.44</v>
      </c>
      <c r="H405" s="556">
        <v>73.355000000000004</v>
      </c>
      <c r="I405" s="556">
        <v>74.135000000000005</v>
      </c>
      <c r="J405" s="556">
        <v>72.430000000000007</v>
      </c>
    </row>
    <row r="406" spans="2:10" ht="16.5" thickBot="1" x14ac:dyDescent="0.3">
      <c r="B406" s="544">
        <v>43408</v>
      </c>
      <c r="C406" s="361">
        <v>11</v>
      </c>
      <c r="D406" s="555" t="s">
        <v>185</v>
      </c>
      <c r="E406" s="555">
        <v>4</v>
      </c>
      <c r="F406" s="555">
        <v>2018</v>
      </c>
      <c r="G406" s="556">
        <v>72.48</v>
      </c>
      <c r="H406" s="556">
        <v>72.808000000000007</v>
      </c>
      <c r="I406" s="556">
        <v>73.135000000000005</v>
      </c>
      <c r="J406" s="556">
        <v>72.375</v>
      </c>
    </row>
    <row r="407" spans="2:10" ht="16.5" thickBot="1" x14ac:dyDescent="0.3">
      <c r="B407" s="544">
        <v>43415</v>
      </c>
      <c r="C407" s="361">
        <v>11</v>
      </c>
      <c r="D407" s="555" t="s">
        <v>185</v>
      </c>
      <c r="E407" s="555">
        <v>11</v>
      </c>
      <c r="F407" s="555">
        <v>2018</v>
      </c>
      <c r="G407" s="556">
        <v>71.98</v>
      </c>
      <c r="H407" s="556">
        <v>72.734999999999999</v>
      </c>
      <c r="I407" s="556">
        <v>73.066999999999993</v>
      </c>
      <c r="J407" s="556">
        <v>71.715000000000003</v>
      </c>
    </row>
    <row r="408" spans="2:10" ht="16.5" thickBot="1" x14ac:dyDescent="0.3">
      <c r="B408" s="544">
        <v>43422</v>
      </c>
      <c r="C408" s="361">
        <v>11</v>
      </c>
      <c r="D408" s="555" t="s">
        <v>185</v>
      </c>
      <c r="E408" s="555">
        <v>18</v>
      </c>
      <c r="F408" s="555">
        <v>2018</v>
      </c>
      <c r="G408" s="556">
        <v>70.655000000000001</v>
      </c>
      <c r="H408" s="556">
        <v>71.924999999999997</v>
      </c>
      <c r="I408" s="556">
        <v>72.081999999999994</v>
      </c>
      <c r="J408" s="556">
        <v>70.655000000000001</v>
      </c>
    </row>
    <row r="409" spans="2:10" ht="16.5" thickBot="1" x14ac:dyDescent="0.3">
      <c r="B409" s="544">
        <v>43429</v>
      </c>
      <c r="C409" s="361">
        <v>11</v>
      </c>
      <c r="D409" s="555" t="s">
        <v>185</v>
      </c>
      <c r="E409" s="555">
        <v>25</v>
      </c>
      <c r="F409" s="555">
        <v>2018</v>
      </c>
      <c r="G409" s="556">
        <v>69.650000000000006</v>
      </c>
      <c r="H409" s="556">
        <v>70.495000000000005</v>
      </c>
      <c r="I409" s="556">
        <v>71.034999999999997</v>
      </c>
      <c r="J409" s="556">
        <v>69.569999999999993</v>
      </c>
    </row>
    <row r="410" spans="2:10" ht="16.5" thickBot="1" x14ac:dyDescent="0.3">
      <c r="B410" s="544">
        <v>43436</v>
      </c>
      <c r="C410" s="361">
        <v>12</v>
      </c>
      <c r="D410" s="555" t="s">
        <v>184</v>
      </c>
      <c r="E410" s="555">
        <v>2</v>
      </c>
      <c r="F410" s="555">
        <v>2018</v>
      </c>
      <c r="G410" s="556">
        <v>70.86</v>
      </c>
      <c r="H410" s="556">
        <v>69.88</v>
      </c>
      <c r="I410" s="556">
        <v>71.150000000000006</v>
      </c>
      <c r="J410" s="556">
        <v>69.88</v>
      </c>
    </row>
    <row r="411" spans="2:10" ht="16.5" thickBot="1" x14ac:dyDescent="0.3">
      <c r="B411" s="544">
        <v>43443</v>
      </c>
      <c r="C411" s="361">
        <v>12</v>
      </c>
      <c r="D411" s="555" t="s">
        <v>184</v>
      </c>
      <c r="E411" s="555">
        <v>9</v>
      </c>
      <c r="F411" s="555">
        <v>2018</v>
      </c>
      <c r="G411" s="556">
        <v>71.92</v>
      </c>
      <c r="H411" s="556">
        <v>71.36</v>
      </c>
      <c r="I411" s="556">
        <v>72.637</v>
      </c>
      <c r="J411" s="556">
        <v>71.239999999999995</v>
      </c>
    </row>
    <row r="412" spans="2:10" ht="16.5" thickBot="1" x14ac:dyDescent="0.3">
      <c r="B412" s="544">
        <v>43450</v>
      </c>
      <c r="C412" s="361">
        <v>12</v>
      </c>
      <c r="D412" s="555" t="s">
        <v>184</v>
      </c>
      <c r="E412" s="555">
        <v>16</v>
      </c>
      <c r="F412" s="555">
        <v>2018</v>
      </c>
      <c r="G412" s="556">
        <v>70.14</v>
      </c>
      <c r="H412" s="556">
        <v>71.900000000000006</v>
      </c>
      <c r="I412" s="556">
        <v>71.900000000000006</v>
      </c>
      <c r="J412" s="556">
        <v>69.647999999999996</v>
      </c>
    </row>
    <row r="413" spans="2:10" ht="16.5" thickBot="1" x14ac:dyDescent="0.3">
      <c r="B413" s="544">
        <v>43457</v>
      </c>
      <c r="C413" s="361">
        <v>12</v>
      </c>
      <c r="D413" s="555" t="s">
        <v>184</v>
      </c>
      <c r="E413" s="555">
        <v>23</v>
      </c>
      <c r="F413" s="555">
        <v>2018</v>
      </c>
      <c r="G413" s="556">
        <v>69.933000000000007</v>
      </c>
      <c r="H413" s="556">
        <v>70.162000000000006</v>
      </c>
      <c r="I413" s="556">
        <v>70.403999999999996</v>
      </c>
      <c r="J413" s="556">
        <v>69.762</v>
      </c>
    </row>
    <row r="414" spans="2:10" ht="16.5" thickBot="1" x14ac:dyDescent="0.3">
      <c r="B414" s="544">
        <v>43464</v>
      </c>
      <c r="C414" s="361">
        <v>12</v>
      </c>
      <c r="D414" s="555" t="s">
        <v>184</v>
      </c>
      <c r="E414" s="555">
        <v>30</v>
      </c>
      <c r="F414" s="555">
        <v>2018</v>
      </c>
      <c r="G414" s="556">
        <v>69.55</v>
      </c>
      <c r="H414" s="556">
        <v>69.783000000000001</v>
      </c>
      <c r="I414" s="556">
        <v>70.531000000000006</v>
      </c>
      <c r="J414" s="556">
        <v>69.44</v>
      </c>
    </row>
    <row r="415" spans="2:10" ht="16.5" thickBot="1" x14ac:dyDescent="0.3">
      <c r="B415" s="544">
        <v>43471</v>
      </c>
      <c r="C415" s="361">
        <v>1</v>
      </c>
      <c r="D415" s="555" t="s">
        <v>183</v>
      </c>
      <c r="E415" s="555">
        <v>6</v>
      </c>
      <c r="F415" s="555">
        <v>2019</v>
      </c>
      <c r="G415" s="556">
        <v>70.399000000000001</v>
      </c>
      <c r="H415" s="556">
        <v>69.525999999999996</v>
      </c>
      <c r="I415" s="556">
        <v>70.661000000000001</v>
      </c>
      <c r="J415" s="556">
        <v>69.25</v>
      </c>
    </row>
    <row r="416" spans="2:10" ht="16.5" thickBot="1" x14ac:dyDescent="0.3">
      <c r="B416" s="544">
        <v>43478</v>
      </c>
      <c r="C416" s="361">
        <v>1</v>
      </c>
      <c r="D416" s="555" t="s">
        <v>183</v>
      </c>
      <c r="E416" s="555">
        <v>13</v>
      </c>
      <c r="F416" s="555">
        <v>2019</v>
      </c>
      <c r="G416" s="556">
        <v>71.209999999999994</v>
      </c>
      <c r="H416" s="556">
        <v>70.400000000000006</v>
      </c>
      <c r="I416" s="556">
        <v>71.421999999999997</v>
      </c>
      <c r="J416" s="556">
        <v>70.36</v>
      </c>
    </row>
    <row r="417" spans="2:10" ht="16.5" thickBot="1" x14ac:dyDescent="0.3">
      <c r="B417" s="544">
        <v>43485</v>
      </c>
      <c r="C417" s="361">
        <v>1</v>
      </c>
      <c r="D417" s="555" t="s">
        <v>183</v>
      </c>
      <c r="E417" s="555">
        <v>20</v>
      </c>
      <c r="F417" s="555">
        <v>2019</v>
      </c>
      <c r="G417" s="556">
        <v>70.900000000000006</v>
      </c>
      <c r="H417" s="556">
        <v>71.203999999999994</v>
      </c>
      <c r="I417" s="556">
        <v>71.537000000000006</v>
      </c>
      <c r="J417" s="556">
        <v>70.89</v>
      </c>
    </row>
    <row r="418" spans="2:10" ht="16.5" thickBot="1" x14ac:dyDescent="0.3">
      <c r="B418" s="544">
        <v>43492</v>
      </c>
      <c r="C418" s="361">
        <v>1</v>
      </c>
      <c r="D418" s="555" t="s">
        <v>183</v>
      </c>
      <c r="E418" s="555">
        <v>27</v>
      </c>
      <c r="F418" s="555">
        <v>2019</v>
      </c>
      <c r="G418" s="556">
        <v>71.435000000000002</v>
      </c>
      <c r="H418" s="556">
        <v>70.924999999999997</v>
      </c>
      <c r="I418" s="556">
        <v>71.484999999999999</v>
      </c>
      <c r="J418" s="556">
        <v>70.87</v>
      </c>
    </row>
    <row r="419" spans="2:10" ht="16.5" thickBot="1" x14ac:dyDescent="0.3">
      <c r="B419" s="544">
        <v>43499</v>
      </c>
      <c r="C419" s="361">
        <v>2</v>
      </c>
      <c r="D419" s="555" t="s">
        <v>182</v>
      </c>
      <c r="E419" s="555">
        <v>3</v>
      </c>
      <c r="F419" s="555">
        <v>2019</v>
      </c>
      <c r="G419" s="556">
        <v>71.174999999999997</v>
      </c>
      <c r="H419" s="556">
        <v>71.474000000000004</v>
      </c>
      <c r="I419" s="556">
        <v>71.849999999999994</v>
      </c>
      <c r="J419" s="556">
        <v>71.015000000000001</v>
      </c>
    </row>
    <row r="420" spans="2:10" ht="16.5" thickBot="1" x14ac:dyDescent="0.3">
      <c r="B420" s="544">
        <v>43506</v>
      </c>
      <c r="C420" s="361">
        <v>2</v>
      </c>
      <c r="D420" s="555" t="s">
        <v>182</v>
      </c>
      <c r="E420" s="555">
        <v>10</v>
      </c>
      <c r="F420" s="555">
        <v>2019</v>
      </c>
      <c r="G420" s="556">
        <v>71.33</v>
      </c>
      <c r="H420" s="556">
        <v>71.239999999999995</v>
      </c>
      <c r="I420" s="556">
        <v>71.463999999999999</v>
      </c>
      <c r="J420" s="556">
        <v>70.402000000000001</v>
      </c>
    </row>
    <row r="421" spans="2:10" ht="16.5" thickBot="1" x14ac:dyDescent="0.3">
      <c r="B421" s="544">
        <v>43513</v>
      </c>
      <c r="C421" s="361">
        <v>2</v>
      </c>
      <c r="D421" s="555" t="s">
        <v>182</v>
      </c>
      <c r="E421" s="555">
        <v>17</v>
      </c>
      <c r="F421" s="555">
        <v>2019</v>
      </c>
      <c r="G421" s="556">
        <v>71.034999999999997</v>
      </c>
      <c r="H421" s="556">
        <v>71.334000000000003</v>
      </c>
      <c r="I421" s="556">
        <v>71.606999999999999</v>
      </c>
      <c r="J421" s="556">
        <v>70.924999999999997</v>
      </c>
    </row>
    <row r="422" spans="2:10" ht="16.5" thickBot="1" x14ac:dyDescent="0.3">
      <c r="B422" s="544">
        <v>43520</v>
      </c>
      <c r="C422" s="361">
        <v>2</v>
      </c>
      <c r="D422" s="555" t="s">
        <v>182</v>
      </c>
      <c r="E422" s="555">
        <v>24</v>
      </c>
      <c r="F422" s="555">
        <v>2019</v>
      </c>
      <c r="G422" s="556">
        <v>71</v>
      </c>
      <c r="H422" s="556">
        <v>71.027000000000001</v>
      </c>
      <c r="I422" s="556">
        <v>71.491</v>
      </c>
      <c r="J422" s="556">
        <v>70.712999999999994</v>
      </c>
    </row>
    <row r="423" spans="2:10" ht="16.5" thickBot="1" x14ac:dyDescent="0.3">
      <c r="B423" s="544">
        <v>43527</v>
      </c>
      <c r="C423" s="361">
        <v>3</v>
      </c>
      <c r="D423" s="555" t="s">
        <v>181</v>
      </c>
      <c r="E423" s="555">
        <v>3</v>
      </c>
      <c r="F423" s="555">
        <v>2019</v>
      </c>
      <c r="G423" s="556">
        <v>70.012</v>
      </c>
      <c r="H423" s="556">
        <v>70.822000000000003</v>
      </c>
      <c r="I423" s="556">
        <v>70.988</v>
      </c>
      <c r="J423" s="556">
        <v>69.826999999999998</v>
      </c>
    </row>
    <row r="424" spans="2:10" ht="16.5" thickBot="1" x14ac:dyDescent="0.3">
      <c r="B424" s="544">
        <v>43534</v>
      </c>
      <c r="C424" s="361">
        <v>3</v>
      </c>
      <c r="D424" s="555" t="s">
        <v>181</v>
      </c>
      <c r="E424" s="555">
        <v>10</v>
      </c>
      <c r="F424" s="555">
        <v>2019</v>
      </c>
      <c r="G424" s="556">
        <v>68.962999999999994</v>
      </c>
      <c r="H424" s="556">
        <v>70.042000000000002</v>
      </c>
      <c r="I424" s="556">
        <v>70.055000000000007</v>
      </c>
      <c r="J424" s="556">
        <v>68.935000000000002</v>
      </c>
    </row>
    <row r="425" spans="2:10" ht="16.5" thickBot="1" x14ac:dyDescent="0.3">
      <c r="B425" s="544">
        <v>43541</v>
      </c>
      <c r="C425" s="361">
        <v>3</v>
      </c>
      <c r="D425" s="555" t="s">
        <v>181</v>
      </c>
      <c r="E425" s="555">
        <v>17</v>
      </c>
      <c r="F425" s="555">
        <v>2019</v>
      </c>
      <c r="G425" s="556">
        <v>69.17</v>
      </c>
      <c r="H425" s="556">
        <v>68.963999999999999</v>
      </c>
      <c r="I425" s="556">
        <v>69.174999999999997</v>
      </c>
      <c r="J425" s="556">
        <v>68.355000000000004</v>
      </c>
    </row>
    <row r="426" spans="2:10" ht="16.5" thickBot="1" x14ac:dyDescent="0.3">
      <c r="B426" s="544">
        <v>43548</v>
      </c>
      <c r="C426" s="361">
        <v>3</v>
      </c>
      <c r="D426" s="555" t="s">
        <v>181</v>
      </c>
      <c r="E426" s="555">
        <v>24</v>
      </c>
      <c r="F426" s="555">
        <v>2019</v>
      </c>
      <c r="G426" s="556">
        <v>69.185000000000002</v>
      </c>
      <c r="H426" s="556">
        <v>69.153999999999996</v>
      </c>
      <c r="I426" s="556">
        <v>69.36</v>
      </c>
      <c r="J426" s="556">
        <v>68.772000000000006</v>
      </c>
    </row>
    <row r="427" spans="2:10" ht="16.5" thickBot="1" x14ac:dyDescent="0.3">
      <c r="B427" s="544">
        <v>43555</v>
      </c>
      <c r="C427" s="361">
        <v>3</v>
      </c>
      <c r="D427" s="555" t="s">
        <v>181</v>
      </c>
      <c r="E427" s="555">
        <v>31</v>
      </c>
      <c r="F427" s="555">
        <v>2019</v>
      </c>
      <c r="G427" s="556">
        <v>69.17</v>
      </c>
      <c r="H427" s="556">
        <v>69.350999999999999</v>
      </c>
      <c r="I427" s="556">
        <v>69.418999999999997</v>
      </c>
      <c r="J427" s="556">
        <v>68.39</v>
      </c>
    </row>
    <row r="428" spans="2:10" ht="16.5" thickBot="1" x14ac:dyDescent="0.3">
      <c r="B428" s="544">
        <v>43562</v>
      </c>
      <c r="C428" s="361">
        <v>4</v>
      </c>
      <c r="D428" s="555" t="s">
        <v>261</v>
      </c>
      <c r="E428" s="555">
        <v>7</v>
      </c>
      <c r="F428" s="555">
        <v>2019</v>
      </c>
      <c r="G428" s="556">
        <v>69.19</v>
      </c>
      <c r="H428" s="556">
        <v>69.34</v>
      </c>
      <c r="I428" s="556">
        <v>69.739999999999995</v>
      </c>
      <c r="J428" s="556">
        <v>68.837000000000003</v>
      </c>
    </row>
    <row r="429" spans="2:10" ht="16.5" thickBot="1" x14ac:dyDescent="0.3">
      <c r="B429" s="544">
        <v>43569</v>
      </c>
      <c r="C429" s="361">
        <v>4</v>
      </c>
      <c r="D429" s="555" t="s">
        <v>261</v>
      </c>
      <c r="E429" s="555">
        <v>14</v>
      </c>
      <c r="F429" s="555">
        <v>2019</v>
      </c>
      <c r="G429" s="556">
        <v>69.406999999999996</v>
      </c>
      <c r="H429" s="556">
        <v>69.164000000000001</v>
      </c>
      <c r="I429" s="556">
        <v>69.685000000000002</v>
      </c>
      <c r="J429" s="556">
        <v>69.034999999999997</v>
      </c>
    </row>
    <row r="430" spans="2:10" ht="16.5" thickBot="1" x14ac:dyDescent="0.3">
      <c r="B430" s="544">
        <v>43576</v>
      </c>
      <c r="C430" s="361">
        <v>4</v>
      </c>
      <c r="D430" s="555" t="s">
        <v>261</v>
      </c>
      <c r="E430" s="555">
        <v>21</v>
      </c>
      <c r="F430" s="555">
        <v>2019</v>
      </c>
      <c r="G430" s="556">
        <v>69.849999999999994</v>
      </c>
      <c r="H430" s="556">
        <v>69.366</v>
      </c>
      <c r="I430" s="556">
        <v>70.334999999999994</v>
      </c>
      <c r="J430" s="556">
        <v>69.366</v>
      </c>
    </row>
    <row r="431" spans="2:10" ht="16.5" thickBot="1" x14ac:dyDescent="0.3">
      <c r="B431" s="544">
        <v>43583</v>
      </c>
      <c r="C431" s="361">
        <v>4</v>
      </c>
      <c r="D431" s="555" t="s">
        <v>261</v>
      </c>
      <c r="E431" s="555">
        <v>28</v>
      </c>
      <c r="F431" s="555">
        <v>2019</v>
      </c>
      <c r="G431" s="556">
        <v>69.094999999999999</v>
      </c>
      <c r="H431" s="556">
        <v>69.879000000000005</v>
      </c>
      <c r="I431" s="556">
        <v>69.918000000000006</v>
      </c>
      <c r="J431" s="556">
        <v>69.094999999999999</v>
      </c>
    </row>
    <row r="432" spans="2:10" ht="16.5" thickBot="1" x14ac:dyDescent="0.3">
      <c r="B432" s="544">
        <v>43590</v>
      </c>
      <c r="C432" s="361">
        <v>5</v>
      </c>
      <c r="D432" s="555" t="s">
        <v>191</v>
      </c>
      <c r="E432" s="555">
        <v>5</v>
      </c>
      <c r="F432" s="555">
        <v>2019</v>
      </c>
      <c r="G432" s="556">
        <v>70.015000000000001</v>
      </c>
      <c r="H432" s="556">
        <v>69.316000000000003</v>
      </c>
      <c r="I432" s="556">
        <v>70.281999999999996</v>
      </c>
      <c r="J432" s="556">
        <v>69.286000000000001</v>
      </c>
    </row>
    <row r="433" spans="2:10" ht="16.5" thickBot="1" x14ac:dyDescent="0.3">
      <c r="B433" s="544">
        <v>43597</v>
      </c>
      <c r="C433" s="361">
        <v>5</v>
      </c>
      <c r="D433" s="555" t="s">
        <v>191</v>
      </c>
      <c r="E433" s="555">
        <v>12</v>
      </c>
      <c r="F433" s="555">
        <v>2019</v>
      </c>
      <c r="G433" s="556">
        <v>70.28</v>
      </c>
      <c r="H433" s="556">
        <v>70.007000000000005</v>
      </c>
      <c r="I433" s="556">
        <v>70.644000000000005</v>
      </c>
      <c r="J433" s="556">
        <v>69.957999999999998</v>
      </c>
    </row>
    <row r="434" spans="2:10" ht="16.5" thickBot="1" x14ac:dyDescent="0.3">
      <c r="B434" s="544">
        <v>43604</v>
      </c>
      <c r="C434" s="361">
        <v>5</v>
      </c>
      <c r="D434" s="555" t="s">
        <v>191</v>
      </c>
      <c r="E434" s="555">
        <v>19</v>
      </c>
      <c r="F434" s="555">
        <v>2019</v>
      </c>
      <c r="G434" s="556">
        <v>69.38</v>
      </c>
      <c r="H434" s="556">
        <v>69.394999999999996</v>
      </c>
      <c r="I434" s="556">
        <v>70.069999999999993</v>
      </c>
      <c r="J434" s="556">
        <v>69.363</v>
      </c>
    </row>
    <row r="435" spans="2:10" ht="16.5" thickBot="1" x14ac:dyDescent="0.3">
      <c r="B435" s="544">
        <v>43611</v>
      </c>
      <c r="C435" s="361">
        <v>5</v>
      </c>
      <c r="D435" s="555" t="s">
        <v>191</v>
      </c>
      <c r="E435" s="555">
        <v>26</v>
      </c>
      <c r="F435" s="555">
        <v>2019</v>
      </c>
      <c r="G435" s="556">
        <v>69.58</v>
      </c>
      <c r="H435" s="556">
        <v>69.405000000000001</v>
      </c>
      <c r="I435" s="556">
        <v>70.007999999999996</v>
      </c>
      <c r="J435" s="556">
        <v>69.355000000000004</v>
      </c>
    </row>
    <row r="436" spans="2:10" ht="16.5" thickBot="1" x14ac:dyDescent="0.3">
      <c r="B436" s="544">
        <v>43618</v>
      </c>
      <c r="C436" s="361">
        <v>6</v>
      </c>
      <c r="D436" s="555" t="s">
        <v>555</v>
      </c>
      <c r="E436" s="555">
        <v>2</v>
      </c>
      <c r="F436" s="555">
        <v>2019</v>
      </c>
      <c r="G436" s="556">
        <v>69.355000000000004</v>
      </c>
      <c r="H436" s="556">
        <v>69.617000000000004</v>
      </c>
      <c r="I436" s="556">
        <v>69.620999999999995</v>
      </c>
      <c r="J436" s="556">
        <v>69.034999999999997</v>
      </c>
    </row>
    <row r="437" spans="2:10" ht="16.5" thickBot="1" x14ac:dyDescent="0.3">
      <c r="B437" s="544">
        <v>43625</v>
      </c>
      <c r="C437" s="361">
        <v>6</v>
      </c>
      <c r="D437" s="555" t="s">
        <v>555</v>
      </c>
      <c r="E437" s="555">
        <v>9</v>
      </c>
      <c r="F437" s="555">
        <v>2019</v>
      </c>
      <c r="G437" s="556">
        <v>69.832999999999998</v>
      </c>
      <c r="H437" s="556">
        <v>69.38</v>
      </c>
      <c r="I437" s="556">
        <v>69.864999999999995</v>
      </c>
      <c r="J437" s="556">
        <v>69.272000000000006</v>
      </c>
    </row>
    <row r="438" spans="2:10" ht="16.5" thickBot="1" x14ac:dyDescent="0.3">
      <c r="B438" s="544">
        <v>43632</v>
      </c>
      <c r="C438" s="361">
        <v>6</v>
      </c>
      <c r="D438" s="555" t="s">
        <v>555</v>
      </c>
      <c r="E438" s="555">
        <v>16</v>
      </c>
      <c r="F438" s="555">
        <v>2019</v>
      </c>
      <c r="G438" s="556">
        <v>69.614999999999995</v>
      </c>
      <c r="H438" s="556">
        <v>69.805000000000007</v>
      </c>
      <c r="I438" s="556">
        <v>69.977000000000004</v>
      </c>
      <c r="J438" s="556">
        <v>69.328999999999994</v>
      </c>
    </row>
    <row r="439" spans="2:10" ht="16.5" thickBot="1" x14ac:dyDescent="0.3">
      <c r="B439" s="544">
        <v>43639</v>
      </c>
      <c r="C439" s="361">
        <v>6</v>
      </c>
      <c r="D439" s="555" t="s">
        <v>555</v>
      </c>
      <c r="E439" s="555">
        <v>23</v>
      </c>
      <c r="F439" s="555">
        <v>2019</v>
      </c>
      <c r="G439" s="556">
        <v>68.95</v>
      </c>
      <c r="H439" s="556">
        <v>69.619</v>
      </c>
      <c r="I439" s="556">
        <v>69.62</v>
      </c>
      <c r="J439" s="556">
        <v>68.866</v>
      </c>
    </row>
    <row r="440" spans="2:10" ht="16.5" thickBot="1" x14ac:dyDescent="0.3">
      <c r="B440" s="544">
        <v>43646</v>
      </c>
      <c r="C440" s="361">
        <v>6</v>
      </c>
      <c r="D440" s="555" t="s">
        <v>555</v>
      </c>
      <c r="E440" s="555">
        <v>30</v>
      </c>
      <c r="F440" s="555">
        <v>2019</v>
      </c>
      <c r="G440" s="556">
        <v>68.45</v>
      </c>
      <c r="H440" s="556">
        <v>68.948999999999998</v>
      </c>
      <c r="I440" s="556">
        <v>69.094999999999999</v>
      </c>
      <c r="J440" s="556">
        <v>68.385000000000005</v>
      </c>
    </row>
    <row r="441" spans="2:10" ht="16.5" thickBot="1" x14ac:dyDescent="0.3">
      <c r="B441" s="544">
        <v>43653</v>
      </c>
      <c r="C441" s="361">
        <v>7</v>
      </c>
      <c r="D441" s="555" t="s">
        <v>556</v>
      </c>
      <c r="E441" s="555">
        <v>7</v>
      </c>
      <c r="F441" s="555">
        <v>2019</v>
      </c>
      <c r="G441" s="556">
        <v>68.56</v>
      </c>
      <c r="H441" s="556">
        <v>68.578999999999994</v>
      </c>
      <c r="I441" s="556">
        <v>68.852999999999994</v>
      </c>
      <c r="J441" s="556">
        <v>68.28</v>
      </c>
    </row>
    <row r="442" spans="2:10" ht="16.5" thickBot="1" x14ac:dyDescent="0.3">
      <c r="B442" s="544">
        <v>43660</v>
      </c>
      <c r="C442" s="361">
        <v>7</v>
      </c>
      <c r="D442" s="555" t="s">
        <v>556</v>
      </c>
      <c r="E442" s="555">
        <v>14</v>
      </c>
      <c r="F442" s="555">
        <v>2019</v>
      </c>
      <c r="G442" s="556">
        <v>68.86</v>
      </c>
      <c r="H442" s="556">
        <v>68.540000000000006</v>
      </c>
      <c r="I442" s="556">
        <v>69.010000000000005</v>
      </c>
      <c r="J442" s="556">
        <v>68.481999999999999</v>
      </c>
    </row>
    <row r="443" spans="2:10" ht="16.5" thickBot="1" x14ac:dyDescent="0.3">
      <c r="B443" s="544">
        <v>43667</v>
      </c>
      <c r="C443" s="361">
        <v>7</v>
      </c>
      <c r="D443" s="555" t="s">
        <v>556</v>
      </c>
      <c r="E443" s="555">
        <v>21</v>
      </c>
      <c r="F443" s="555">
        <v>2019</v>
      </c>
      <c r="G443" s="556">
        <v>68.88</v>
      </c>
      <c r="H443" s="556">
        <v>68.954999999999998</v>
      </c>
      <c r="I443" s="556">
        <v>69.150999999999996</v>
      </c>
      <c r="J443" s="556">
        <v>68.816000000000003</v>
      </c>
    </row>
    <row r="444" spans="2:10" ht="16.5" thickBot="1" x14ac:dyDescent="0.3">
      <c r="B444" s="544">
        <v>43674</v>
      </c>
      <c r="C444" s="361">
        <v>7</v>
      </c>
      <c r="D444" s="555" t="s">
        <v>556</v>
      </c>
      <c r="E444" s="555">
        <v>28</v>
      </c>
      <c r="F444" s="555">
        <v>2019</v>
      </c>
      <c r="G444" s="556">
        <v>69.7</v>
      </c>
      <c r="H444" s="556">
        <v>68.905000000000001</v>
      </c>
      <c r="I444" s="556">
        <v>69.7</v>
      </c>
      <c r="J444" s="556">
        <v>68.656999999999996</v>
      </c>
    </row>
    <row r="445" spans="2:10" ht="16.5" thickBot="1" x14ac:dyDescent="0.3">
      <c r="B445" s="544">
        <v>43681</v>
      </c>
      <c r="C445" s="361">
        <v>8</v>
      </c>
      <c r="D445" s="555" t="s">
        <v>188</v>
      </c>
      <c r="E445" s="555">
        <v>4</v>
      </c>
      <c r="F445" s="555">
        <v>2019</v>
      </c>
      <c r="G445" s="556">
        <v>70.924000000000007</v>
      </c>
      <c r="H445" s="556">
        <v>70.117999999999995</v>
      </c>
      <c r="I445" s="556">
        <v>71.197999999999993</v>
      </c>
      <c r="J445" s="556">
        <v>70.117999999999995</v>
      </c>
    </row>
    <row r="446" spans="2:10" ht="16.5" thickBot="1" x14ac:dyDescent="0.3">
      <c r="B446" s="544">
        <v>43688</v>
      </c>
      <c r="C446" s="361">
        <v>8</v>
      </c>
      <c r="D446" s="555" t="s">
        <v>188</v>
      </c>
      <c r="E446" s="555">
        <v>11</v>
      </c>
      <c r="F446" s="555">
        <v>2019</v>
      </c>
      <c r="G446" s="556">
        <v>71.155000000000001</v>
      </c>
      <c r="H446" s="556">
        <v>71.001999999999995</v>
      </c>
      <c r="I446" s="556">
        <v>71.816999999999993</v>
      </c>
      <c r="J446" s="556">
        <v>70.844999999999999</v>
      </c>
    </row>
    <row r="447" spans="2:10" ht="16.5" thickBot="1" x14ac:dyDescent="0.3">
      <c r="B447" s="544">
        <v>43695</v>
      </c>
      <c r="C447" s="361">
        <v>8</v>
      </c>
      <c r="D447" s="555" t="s">
        <v>188</v>
      </c>
      <c r="E447" s="555">
        <v>18</v>
      </c>
      <c r="F447" s="555">
        <v>2019</v>
      </c>
      <c r="G447" s="556">
        <v>71.513000000000005</v>
      </c>
      <c r="H447" s="556">
        <v>71.221000000000004</v>
      </c>
      <c r="I447" s="556">
        <v>72.061000000000007</v>
      </c>
      <c r="J447" s="556">
        <v>71.069999999999993</v>
      </c>
    </row>
    <row r="448" spans="2:10" ht="16.5" thickBot="1" x14ac:dyDescent="0.3">
      <c r="B448" s="544">
        <v>43702</v>
      </c>
      <c r="C448" s="361">
        <v>8</v>
      </c>
      <c r="D448" s="555" t="s">
        <v>188</v>
      </c>
      <c r="E448" s="555">
        <v>25</v>
      </c>
      <c r="F448" s="555">
        <v>2019</v>
      </c>
      <c r="G448" s="556">
        <v>71.453000000000003</v>
      </c>
      <c r="H448" s="556">
        <v>71.917000000000002</v>
      </c>
      <c r="I448" s="556">
        <v>72.257000000000005</v>
      </c>
      <c r="J448" s="556">
        <v>71.356999999999999</v>
      </c>
    </row>
    <row r="449" spans="2:10" ht="16.5" thickBot="1" x14ac:dyDescent="0.3">
      <c r="B449" s="544">
        <v>43709</v>
      </c>
      <c r="C449" s="16">
        <v>9</v>
      </c>
      <c r="D449" s="555" t="s">
        <v>187</v>
      </c>
      <c r="E449" s="555">
        <v>1</v>
      </c>
      <c r="F449" s="555">
        <v>2019</v>
      </c>
      <c r="G449" s="556">
        <v>71.644999999999996</v>
      </c>
      <c r="H449" s="556">
        <v>71.465000000000003</v>
      </c>
      <c r="I449" s="556">
        <v>72.418000000000006</v>
      </c>
      <c r="J449" s="556">
        <v>71.465000000000003</v>
      </c>
    </row>
    <row r="450" spans="2:10" ht="16.5" thickBot="1" x14ac:dyDescent="0.3">
      <c r="B450" s="544">
        <v>43716</v>
      </c>
      <c r="C450" s="16">
        <v>9</v>
      </c>
      <c r="D450" s="555" t="s">
        <v>187</v>
      </c>
      <c r="E450" s="555">
        <v>8</v>
      </c>
      <c r="F450" s="555">
        <v>2019</v>
      </c>
      <c r="G450" s="556">
        <v>70.984999999999999</v>
      </c>
      <c r="H450" s="556">
        <v>71.715000000000003</v>
      </c>
      <c r="I450" s="556">
        <v>72.012</v>
      </c>
      <c r="J450" s="556">
        <v>70.846999999999994</v>
      </c>
    </row>
    <row r="451" spans="2:10" ht="16.5" thickBot="1" x14ac:dyDescent="0.3">
      <c r="B451" s="544">
        <v>43723</v>
      </c>
      <c r="C451" s="16">
        <v>9</v>
      </c>
      <c r="D451" s="555" t="s">
        <v>187</v>
      </c>
      <c r="E451" s="555">
        <v>15</v>
      </c>
      <c r="F451" s="555">
        <v>2019</v>
      </c>
      <c r="G451" s="556">
        <v>71.075000000000003</v>
      </c>
      <c r="H451" s="556">
        <v>71.685000000000002</v>
      </c>
      <c r="I451" s="556">
        <v>71.986999999999995</v>
      </c>
      <c r="J451" s="556">
        <v>70.685000000000002</v>
      </c>
    </row>
    <row r="452" spans="2:10" ht="16.5" thickBot="1" x14ac:dyDescent="0.3">
      <c r="B452" s="544">
        <v>43730</v>
      </c>
      <c r="C452" s="16">
        <v>9</v>
      </c>
      <c r="D452" s="555" t="s">
        <v>187</v>
      </c>
      <c r="E452" s="555">
        <v>22</v>
      </c>
      <c r="F452" s="555">
        <v>2019</v>
      </c>
      <c r="G452" s="556">
        <v>70.509</v>
      </c>
      <c r="H452" s="556">
        <v>71.025999999999996</v>
      </c>
      <c r="I452" s="556">
        <v>71.153999999999996</v>
      </c>
      <c r="J452" s="556">
        <v>70.364000000000004</v>
      </c>
    </row>
    <row r="453" spans="2:10" ht="16.5" thickBot="1" x14ac:dyDescent="0.3">
      <c r="B453" s="544">
        <v>43737</v>
      </c>
      <c r="C453" s="16">
        <v>9</v>
      </c>
      <c r="D453" s="555" t="s">
        <v>187</v>
      </c>
      <c r="E453" s="555">
        <v>29</v>
      </c>
      <c r="F453" s="555">
        <v>2019</v>
      </c>
      <c r="G453" s="556">
        <v>70.825000000000003</v>
      </c>
      <c r="H453" s="556">
        <v>70.424999999999997</v>
      </c>
      <c r="I453" s="556">
        <v>71.364999999999995</v>
      </c>
      <c r="J453" s="556">
        <v>70.358000000000004</v>
      </c>
    </row>
    <row r="454" spans="2:10" ht="16.5" thickBot="1" x14ac:dyDescent="0.3">
      <c r="B454" s="544">
        <v>43744</v>
      </c>
      <c r="C454" s="16">
        <v>10</v>
      </c>
      <c r="D454" s="555" t="s">
        <v>186</v>
      </c>
      <c r="E454" s="555">
        <v>6</v>
      </c>
      <c r="F454" s="555">
        <v>2019</v>
      </c>
      <c r="G454" s="556">
        <v>70.924000000000007</v>
      </c>
      <c r="H454" s="556">
        <v>70.960999999999999</v>
      </c>
      <c r="I454" s="556">
        <v>71.233999999999995</v>
      </c>
      <c r="J454" s="556">
        <v>70.799000000000007</v>
      </c>
    </row>
    <row r="455" spans="2:10" ht="16.5" thickBot="1" x14ac:dyDescent="0.3">
      <c r="B455" s="544">
        <v>43751</v>
      </c>
      <c r="C455" s="16">
        <v>10</v>
      </c>
      <c r="D455" s="555" t="s">
        <v>186</v>
      </c>
      <c r="E455" s="555">
        <v>13</v>
      </c>
      <c r="F455" s="555">
        <v>2019</v>
      </c>
      <c r="G455" s="556">
        <v>71.09</v>
      </c>
      <c r="H455" s="556">
        <v>70.893000000000001</v>
      </c>
      <c r="I455" s="556">
        <v>71.73</v>
      </c>
      <c r="J455" s="556">
        <v>70.739999999999995</v>
      </c>
    </row>
    <row r="456" spans="2:10" ht="16.5" thickBot="1" x14ac:dyDescent="0.3">
      <c r="B456" s="544">
        <v>43758</v>
      </c>
      <c r="C456" s="16">
        <v>10</v>
      </c>
      <c r="D456" s="555" t="s">
        <v>186</v>
      </c>
      <c r="E456" s="555">
        <v>20</v>
      </c>
      <c r="F456" s="555">
        <v>2019</v>
      </c>
      <c r="G456" s="556">
        <v>70.819999999999993</v>
      </c>
      <c r="H456" s="556">
        <v>71.08</v>
      </c>
      <c r="I456" s="556">
        <v>71.09</v>
      </c>
      <c r="J456" s="556">
        <v>70.72</v>
      </c>
    </row>
    <row r="457" spans="2:10" ht="16.5" thickBot="1" x14ac:dyDescent="0.3">
      <c r="B457" s="544">
        <v>43765</v>
      </c>
      <c r="C457" s="16">
        <v>10</v>
      </c>
      <c r="D457" s="555" t="s">
        <v>186</v>
      </c>
      <c r="E457" s="555">
        <v>27</v>
      </c>
      <c r="F457" s="555">
        <v>2019</v>
      </c>
      <c r="G457" s="556">
        <v>70.760000000000005</v>
      </c>
      <c r="H457" s="556">
        <v>70.819000000000003</v>
      </c>
      <c r="I457" s="556">
        <v>71.064999999999998</v>
      </c>
      <c r="J457" s="556">
        <v>70.680999999999997</v>
      </c>
    </row>
    <row r="458" spans="2:10" ht="16.5" thickBot="1" x14ac:dyDescent="0.3">
      <c r="B458" s="544">
        <v>43772</v>
      </c>
      <c r="C458" s="361">
        <v>11</v>
      </c>
      <c r="D458" s="555" t="s">
        <v>185</v>
      </c>
      <c r="E458" s="555">
        <v>3</v>
      </c>
      <c r="F458" s="555">
        <v>2019</v>
      </c>
      <c r="G458" s="556">
        <v>71.36</v>
      </c>
      <c r="H458" s="556">
        <v>70.56</v>
      </c>
      <c r="I458" s="556">
        <v>71.364000000000004</v>
      </c>
      <c r="J458" s="556">
        <v>70.56</v>
      </c>
    </row>
    <row r="459" spans="2:10" ht="16.5" thickBot="1" x14ac:dyDescent="0.3">
      <c r="B459" s="544">
        <v>43779</v>
      </c>
      <c r="C459" s="361">
        <v>11</v>
      </c>
      <c r="D459" s="555" t="s">
        <v>185</v>
      </c>
      <c r="E459" s="555">
        <v>10</v>
      </c>
      <c r="F459" s="555">
        <v>2019</v>
      </c>
      <c r="G459" s="556">
        <v>71.650000000000006</v>
      </c>
      <c r="H459" s="556">
        <v>71.37</v>
      </c>
      <c r="I459" s="556">
        <v>72.25</v>
      </c>
      <c r="J459" s="556">
        <v>71.290000000000006</v>
      </c>
    </row>
    <row r="460" spans="2:10" ht="16.5" thickBot="1" x14ac:dyDescent="0.3">
      <c r="B460" s="544">
        <v>43786</v>
      </c>
      <c r="C460" s="361">
        <v>11</v>
      </c>
      <c r="D460" s="555" t="s">
        <v>185</v>
      </c>
      <c r="E460" s="555">
        <v>17</v>
      </c>
      <c r="F460" s="555">
        <v>2019</v>
      </c>
      <c r="G460" s="556">
        <v>71.792000000000002</v>
      </c>
      <c r="H460" s="556">
        <v>71.665999999999997</v>
      </c>
      <c r="I460" s="556">
        <v>72.010999999999996</v>
      </c>
      <c r="J460" s="556">
        <v>71.566000000000003</v>
      </c>
    </row>
    <row r="461" spans="2:10" ht="16.5" thickBot="1" x14ac:dyDescent="0.3">
      <c r="B461" s="544">
        <v>43793</v>
      </c>
      <c r="C461" s="361">
        <v>11</v>
      </c>
      <c r="D461" s="555" t="s">
        <v>185</v>
      </c>
      <c r="E461" s="555">
        <v>24</v>
      </c>
      <c r="F461" s="555">
        <v>2019</v>
      </c>
      <c r="G461" s="556">
        <v>71.748999999999995</v>
      </c>
      <c r="H461" s="556">
        <v>71.692999999999998</v>
      </c>
      <c r="I461" s="556">
        <v>71.872</v>
      </c>
      <c r="J461" s="556">
        <v>71.225999999999999</v>
      </c>
    </row>
    <row r="462" spans="2:10" ht="16.5" thickBot="1" x14ac:dyDescent="0.3">
      <c r="B462" s="544">
        <v>43800</v>
      </c>
      <c r="C462" s="361">
        <v>12</v>
      </c>
      <c r="D462" s="555" t="s">
        <v>184</v>
      </c>
      <c r="E462" s="555">
        <v>1</v>
      </c>
      <c r="F462" s="555">
        <v>2019</v>
      </c>
      <c r="G462" s="556">
        <v>71.283000000000001</v>
      </c>
      <c r="H462" s="556">
        <v>71.795000000000002</v>
      </c>
      <c r="I462" s="556">
        <v>71.834999999999994</v>
      </c>
      <c r="J462" s="556">
        <v>71.17</v>
      </c>
    </row>
    <row r="463" spans="2:10" ht="16.5" thickBot="1" x14ac:dyDescent="0.3">
      <c r="B463" s="544">
        <v>43807</v>
      </c>
      <c r="C463" s="361">
        <v>12</v>
      </c>
      <c r="D463" s="555" t="s">
        <v>184</v>
      </c>
      <c r="E463" s="555">
        <v>8</v>
      </c>
      <c r="F463" s="555">
        <v>2019</v>
      </c>
      <c r="G463" s="556">
        <v>70.798000000000002</v>
      </c>
      <c r="H463" s="556">
        <v>71.293000000000006</v>
      </c>
      <c r="I463" s="556">
        <v>71.293000000000006</v>
      </c>
      <c r="J463" s="556">
        <v>70.503</v>
      </c>
    </row>
    <row r="464" spans="2:10" ht="16.5" thickBot="1" x14ac:dyDescent="0.3">
      <c r="B464" s="544">
        <v>43814</v>
      </c>
      <c r="C464" s="361">
        <v>12</v>
      </c>
      <c r="D464" s="555" t="s">
        <v>184</v>
      </c>
      <c r="E464" s="555">
        <v>15</v>
      </c>
      <c r="F464" s="555">
        <v>2019</v>
      </c>
      <c r="G464" s="556">
        <v>71.06</v>
      </c>
      <c r="H464" s="556">
        <v>70.760000000000005</v>
      </c>
      <c r="I464" s="556">
        <v>71.256</v>
      </c>
      <c r="J464" s="556">
        <v>70.760000000000005</v>
      </c>
    </row>
    <row r="465" spans="2:10" ht="16.5" thickBot="1" x14ac:dyDescent="0.3">
      <c r="B465" s="544">
        <v>43821</v>
      </c>
      <c r="C465" s="361">
        <v>12</v>
      </c>
      <c r="D465" s="555" t="s">
        <v>184</v>
      </c>
      <c r="E465" s="555">
        <v>22</v>
      </c>
      <c r="F465" s="555">
        <v>2019</v>
      </c>
      <c r="G465" s="556">
        <v>71.454999999999998</v>
      </c>
      <c r="H465" s="556">
        <v>71.117999999999995</v>
      </c>
      <c r="I465" s="556">
        <v>71.504999999999995</v>
      </c>
      <c r="J465" s="556">
        <v>71.114999999999995</v>
      </c>
    </row>
    <row r="466" spans="2:10" ht="16.5" thickBot="1" x14ac:dyDescent="0.3">
      <c r="B466" s="544">
        <v>43828</v>
      </c>
      <c r="C466" s="361">
        <v>12</v>
      </c>
      <c r="D466" s="555" t="s">
        <v>184</v>
      </c>
      <c r="E466" s="555">
        <v>29</v>
      </c>
      <c r="F466" s="555">
        <v>2019</v>
      </c>
      <c r="G466" s="556">
        <v>71.77</v>
      </c>
      <c r="H466" s="556">
        <v>71.34</v>
      </c>
      <c r="I466" s="556">
        <v>71.843999999999994</v>
      </c>
      <c r="J466" s="556">
        <v>71.23</v>
      </c>
    </row>
    <row r="467" spans="2:10" ht="16.5" thickBot="1" x14ac:dyDescent="0.3">
      <c r="B467" s="544">
        <v>43835</v>
      </c>
      <c r="C467" s="361">
        <v>1</v>
      </c>
      <c r="D467" s="555" t="s">
        <v>183</v>
      </c>
      <c r="E467" s="555">
        <v>5</v>
      </c>
      <c r="F467" s="555">
        <v>2020</v>
      </c>
      <c r="G467" s="556">
        <v>70.959999999999994</v>
      </c>
      <c r="H467" s="556">
        <v>72.018000000000001</v>
      </c>
      <c r="I467" s="556">
        <v>72.13</v>
      </c>
      <c r="J467" s="556">
        <v>70.847999999999999</v>
      </c>
    </row>
    <row r="468" spans="2:10" ht="16.5" thickBot="1" x14ac:dyDescent="0.3">
      <c r="B468" s="544">
        <v>43842</v>
      </c>
      <c r="C468" s="361">
        <v>1</v>
      </c>
      <c r="D468" s="555" t="s">
        <v>183</v>
      </c>
      <c r="E468" s="555">
        <v>12</v>
      </c>
      <c r="F468" s="555">
        <v>2020</v>
      </c>
      <c r="G468" s="556">
        <v>71.078999999999994</v>
      </c>
      <c r="H468" s="556">
        <v>70.798000000000002</v>
      </c>
      <c r="I468" s="556">
        <v>71.099000000000004</v>
      </c>
      <c r="J468" s="556">
        <v>70.674999999999997</v>
      </c>
    </row>
    <row r="469" spans="2:10" ht="16.5" thickBot="1" x14ac:dyDescent="0.3">
      <c r="B469" s="544">
        <v>43849</v>
      </c>
      <c r="C469" s="361">
        <v>1</v>
      </c>
      <c r="D469" s="555" t="s">
        <v>183</v>
      </c>
      <c r="E469" s="555">
        <v>19</v>
      </c>
      <c r="F469" s="555">
        <v>2020</v>
      </c>
      <c r="G469" s="556">
        <v>71.33</v>
      </c>
      <c r="H469" s="556">
        <v>71.069999999999993</v>
      </c>
      <c r="I469" s="556">
        <v>71.465000000000003</v>
      </c>
      <c r="J469" s="556">
        <v>71.010000000000005</v>
      </c>
    </row>
    <row r="470" spans="2:10" ht="16.5" thickBot="1" x14ac:dyDescent="0.3">
      <c r="B470" s="544">
        <v>43856</v>
      </c>
      <c r="C470" s="361">
        <v>1</v>
      </c>
      <c r="D470" s="555" t="s">
        <v>183</v>
      </c>
      <c r="E470" s="555">
        <v>26</v>
      </c>
      <c r="F470" s="555">
        <v>2020</v>
      </c>
      <c r="G470" s="556">
        <v>71.555000000000007</v>
      </c>
      <c r="H470" s="556">
        <v>71.48</v>
      </c>
      <c r="I470" s="556">
        <v>71.665000000000006</v>
      </c>
      <c r="J470" s="556">
        <v>71.17</v>
      </c>
    </row>
    <row r="471" spans="2:10" ht="16.5" thickBot="1" x14ac:dyDescent="0.3">
      <c r="B471" s="544">
        <v>43863</v>
      </c>
      <c r="C471" s="361">
        <v>2</v>
      </c>
      <c r="D471" s="555" t="s">
        <v>182</v>
      </c>
      <c r="E471" s="555">
        <v>2</v>
      </c>
      <c r="F471" s="555">
        <v>2020</v>
      </c>
      <c r="G471" s="556">
        <v>71.515000000000001</v>
      </c>
      <c r="H471" s="556">
        <v>71.534999999999997</v>
      </c>
      <c r="I471" s="556">
        <v>71.665000000000006</v>
      </c>
      <c r="J471" s="556">
        <v>71.099999999999994</v>
      </c>
    </row>
    <row r="472" spans="2:10" ht="16.5" thickBot="1" x14ac:dyDescent="0.3">
      <c r="B472" s="544">
        <v>43870</v>
      </c>
      <c r="C472" s="361">
        <v>2</v>
      </c>
      <c r="D472" s="555" t="s">
        <v>182</v>
      </c>
      <c r="E472" s="555">
        <v>9</v>
      </c>
      <c r="F472" s="555">
        <v>2020</v>
      </c>
      <c r="G472" s="556">
        <v>71.528000000000006</v>
      </c>
      <c r="H472" s="556">
        <v>71.391000000000005</v>
      </c>
      <c r="I472" s="556">
        <v>71.596999999999994</v>
      </c>
      <c r="J472" s="556">
        <v>71.174999999999997</v>
      </c>
    </row>
    <row r="473" spans="2:10" ht="16.5" thickBot="1" x14ac:dyDescent="0.3">
      <c r="B473" s="544">
        <v>43877</v>
      </c>
      <c r="C473" s="361">
        <v>2</v>
      </c>
      <c r="D473" s="555" t="s">
        <v>182</v>
      </c>
      <c r="E473" s="555">
        <v>16</v>
      </c>
      <c r="F473" s="555">
        <v>2020</v>
      </c>
      <c r="G473" s="556">
        <v>71.88</v>
      </c>
      <c r="H473" s="556">
        <v>71.42</v>
      </c>
      <c r="I473" s="556">
        <v>72.055999999999997</v>
      </c>
      <c r="J473" s="556">
        <v>71.25</v>
      </c>
    </row>
    <row r="474" spans="2:10" ht="16.5" thickBot="1" x14ac:dyDescent="0.3">
      <c r="B474" s="544">
        <v>43884</v>
      </c>
      <c r="C474" s="361">
        <v>2</v>
      </c>
      <c r="D474" s="555" t="s">
        <v>182</v>
      </c>
      <c r="E474" s="555">
        <v>23</v>
      </c>
      <c r="F474" s="555">
        <v>2020</v>
      </c>
      <c r="G474" s="556">
        <v>72.539000000000001</v>
      </c>
      <c r="H474" s="556">
        <v>71.905000000000001</v>
      </c>
      <c r="I474" s="556">
        <v>72.573999999999998</v>
      </c>
      <c r="J474" s="556">
        <v>71.534000000000006</v>
      </c>
    </row>
    <row r="475" spans="2:10" ht="16.5" thickBot="1" x14ac:dyDescent="0.3">
      <c r="B475" s="544">
        <v>43891</v>
      </c>
      <c r="C475" s="361">
        <v>3</v>
      </c>
      <c r="D475" s="555" t="s">
        <v>181</v>
      </c>
      <c r="E475" s="555">
        <v>1</v>
      </c>
      <c r="F475" s="555">
        <v>2020</v>
      </c>
      <c r="G475" s="556">
        <v>74.004000000000005</v>
      </c>
      <c r="H475" s="556">
        <v>72.519000000000005</v>
      </c>
      <c r="I475" s="556">
        <v>74.072999999999993</v>
      </c>
      <c r="J475" s="556">
        <v>72.027000000000001</v>
      </c>
    </row>
    <row r="476" spans="2:10" ht="16.5" thickBot="1" x14ac:dyDescent="0.3">
      <c r="B476" s="544">
        <v>43898</v>
      </c>
      <c r="C476" s="361">
        <v>3</v>
      </c>
      <c r="D476" s="555" t="s">
        <v>181</v>
      </c>
      <c r="E476" s="555">
        <v>8</v>
      </c>
      <c r="F476" s="555">
        <v>2020</v>
      </c>
      <c r="G476" s="556">
        <v>73.84</v>
      </c>
      <c r="H476" s="556">
        <v>73.971000000000004</v>
      </c>
      <c r="I476" s="556">
        <v>74.575999999999993</v>
      </c>
      <c r="J476" s="556">
        <v>73.531000000000006</v>
      </c>
    </row>
    <row r="477" spans="2:10" ht="16.5" thickBot="1" x14ac:dyDescent="0.3">
      <c r="B477" s="544">
        <v>43905</v>
      </c>
      <c r="C477" s="361">
        <v>3</v>
      </c>
      <c r="D477" s="555" t="s">
        <v>181</v>
      </c>
      <c r="E477" s="555">
        <v>15</v>
      </c>
      <c r="F477" s="555">
        <v>2020</v>
      </c>
      <c r="G477" s="556">
        <v>75.397999999999996</v>
      </c>
      <c r="H477" s="556">
        <v>74.025000000000006</v>
      </c>
      <c r="I477" s="556">
        <v>75.397999999999996</v>
      </c>
      <c r="J477" s="556">
        <v>73.856999999999999</v>
      </c>
    </row>
    <row r="478" spans="2:10" ht="16.5" thickBot="1" x14ac:dyDescent="0.3">
      <c r="B478" s="544">
        <v>43912</v>
      </c>
      <c r="C478" s="361">
        <v>3</v>
      </c>
      <c r="D478" s="555" t="s">
        <v>181</v>
      </c>
      <c r="E478" s="555">
        <v>22</v>
      </c>
      <c r="F478" s="555">
        <v>2020</v>
      </c>
      <c r="G478" s="556">
        <v>75.471999999999994</v>
      </c>
      <c r="H478" s="556">
        <v>75.37</v>
      </c>
      <c r="I478" s="556">
        <v>76.385000000000005</v>
      </c>
      <c r="J478" s="556">
        <v>74.364999999999995</v>
      </c>
    </row>
    <row r="479" spans="2:10" ht="16.5" thickBot="1" x14ac:dyDescent="0.3">
      <c r="B479" s="544">
        <v>43919</v>
      </c>
      <c r="C479" s="361">
        <v>3</v>
      </c>
      <c r="D479" s="555" t="s">
        <v>181</v>
      </c>
      <c r="E479" s="555">
        <v>29</v>
      </c>
      <c r="F479" s="555">
        <v>2020</v>
      </c>
      <c r="G479" s="556">
        <v>76.241</v>
      </c>
      <c r="H479" s="556">
        <v>75.144999999999996</v>
      </c>
      <c r="I479" s="556">
        <v>76.430000000000007</v>
      </c>
      <c r="J479" s="556">
        <v>75.096000000000004</v>
      </c>
    </row>
    <row r="480" spans="2:10" ht="16.5" thickBot="1" x14ac:dyDescent="0.3">
      <c r="B480" s="544">
        <v>43926</v>
      </c>
      <c r="C480" s="361">
        <v>4</v>
      </c>
      <c r="D480" s="555" t="s">
        <v>261</v>
      </c>
      <c r="E480" s="555">
        <v>5</v>
      </c>
      <c r="F480" s="555">
        <v>2020</v>
      </c>
      <c r="G480" s="556">
        <v>75.879000000000005</v>
      </c>
      <c r="H480" s="556">
        <v>76.239999999999995</v>
      </c>
      <c r="I480" s="556">
        <v>76.555000000000007</v>
      </c>
      <c r="J480" s="556">
        <v>75.521000000000001</v>
      </c>
    </row>
    <row r="481" spans="2:10" ht="16.5" thickBot="1" x14ac:dyDescent="0.3">
      <c r="B481" s="544">
        <v>43933</v>
      </c>
      <c r="C481" s="361">
        <v>4</v>
      </c>
      <c r="D481" s="555" t="s">
        <v>261</v>
      </c>
      <c r="E481" s="555">
        <v>12</v>
      </c>
      <c r="F481" s="555">
        <v>2020</v>
      </c>
      <c r="G481" s="556">
        <v>76.55</v>
      </c>
      <c r="H481" s="556">
        <v>75.879000000000005</v>
      </c>
      <c r="I481" s="556">
        <v>76.914000000000001</v>
      </c>
      <c r="J481" s="556">
        <v>75.879000000000005</v>
      </c>
    </row>
    <row r="482" spans="2:10" ht="16.5" thickBot="1" x14ac:dyDescent="0.3">
      <c r="B482" s="544">
        <v>43940</v>
      </c>
      <c r="C482" s="361">
        <v>4</v>
      </c>
      <c r="D482" s="555" t="s">
        <v>261</v>
      </c>
      <c r="E482" s="555">
        <v>19</v>
      </c>
      <c r="F482" s="555">
        <v>2020</v>
      </c>
      <c r="G482" s="556">
        <v>76.27</v>
      </c>
      <c r="H482" s="556">
        <v>76.55</v>
      </c>
      <c r="I482" s="556">
        <v>77.010000000000005</v>
      </c>
      <c r="J482" s="556">
        <v>75.816999999999993</v>
      </c>
    </row>
    <row r="483" spans="2:10" ht="16.5" thickBot="1" x14ac:dyDescent="0.3">
      <c r="B483" s="544">
        <v>43947</v>
      </c>
      <c r="C483" s="361">
        <v>4</v>
      </c>
      <c r="D483" s="555" t="s">
        <v>261</v>
      </c>
      <c r="E483" s="555">
        <v>26</v>
      </c>
      <c r="F483" s="555">
        <v>2020</v>
      </c>
      <c r="G483" s="556">
        <v>75.748999999999995</v>
      </c>
      <c r="H483" s="556">
        <v>76.27</v>
      </c>
      <c r="I483" s="556">
        <v>76.448999999999998</v>
      </c>
      <c r="J483" s="556">
        <v>74.909000000000006</v>
      </c>
    </row>
    <row r="484" spans="2:10" ht="16.5" thickBot="1" x14ac:dyDescent="0.3">
      <c r="B484" s="544">
        <v>43954</v>
      </c>
      <c r="C484" s="361">
        <v>5</v>
      </c>
      <c r="D484" s="555" t="s">
        <v>191</v>
      </c>
      <c r="E484" s="555">
        <v>3</v>
      </c>
      <c r="F484" s="555">
        <v>2020</v>
      </c>
      <c r="G484" s="556">
        <v>75.534999999999997</v>
      </c>
      <c r="H484" s="556">
        <v>75.75</v>
      </c>
      <c r="I484" s="556">
        <v>76.144999999999996</v>
      </c>
      <c r="J484" s="556">
        <v>75.262</v>
      </c>
    </row>
    <row r="485" spans="2:10" ht="16.5" thickBot="1" x14ac:dyDescent="0.3">
      <c r="B485" s="544">
        <v>43961</v>
      </c>
      <c r="C485" s="361">
        <v>5</v>
      </c>
      <c r="D485" s="555" t="s">
        <v>191</v>
      </c>
      <c r="E485" s="555">
        <v>10</v>
      </c>
      <c r="F485" s="555">
        <v>2020</v>
      </c>
      <c r="G485" s="556">
        <v>75.83</v>
      </c>
      <c r="H485" s="556">
        <v>75.534999999999997</v>
      </c>
      <c r="I485" s="556">
        <v>75.966999999999999</v>
      </c>
      <c r="J485" s="556">
        <v>75.037999999999997</v>
      </c>
    </row>
    <row r="486" spans="2:10" ht="16.5" thickBot="1" x14ac:dyDescent="0.3">
      <c r="B486" s="544">
        <v>43968</v>
      </c>
      <c r="C486" s="361">
        <v>5</v>
      </c>
      <c r="D486" s="555" t="s">
        <v>191</v>
      </c>
      <c r="E486" s="555">
        <v>17</v>
      </c>
      <c r="F486" s="555">
        <v>2020</v>
      </c>
      <c r="G486" s="556">
        <v>75.95</v>
      </c>
      <c r="H486" s="556">
        <v>75.83</v>
      </c>
      <c r="I486" s="556">
        <v>76.061999999999998</v>
      </c>
      <c r="J486" s="556">
        <v>75.397999999999996</v>
      </c>
    </row>
    <row r="487" spans="2:10" ht="16.5" thickBot="1" x14ac:dyDescent="0.3">
      <c r="B487" s="544">
        <v>43975</v>
      </c>
      <c r="C487" s="361">
        <v>5</v>
      </c>
      <c r="D487" s="555" t="s">
        <v>191</v>
      </c>
      <c r="E487" s="555">
        <v>24</v>
      </c>
      <c r="F487" s="555">
        <v>2020</v>
      </c>
      <c r="G487" s="556">
        <v>75.605000000000004</v>
      </c>
      <c r="H487" s="556">
        <v>75.95</v>
      </c>
      <c r="I487" s="556">
        <v>76.11</v>
      </c>
      <c r="J487" s="556">
        <v>75.406999999999996</v>
      </c>
    </row>
    <row r="488" spans="2:10" ht="16.5" thickBot="1" x14ac:dyDescent="0.3">
      <c r="B488" s="544">
        <v>43982</v>
      </c>
      <c r="C488" s="361">
        <v>5</v>
      </c>
      <c r="D488" s="555" t="s">
        <v>191</v>
      </c>
      <c r="E488" s="555">
        <v>31</v>
      </c>
      <c r="F488" s="555">
        <v>2020</v>
      </c>
      <c r="G488" s="556">
        <v>75.56</v>
      </c>
      <c r="H488" s="556">
        <v>75.47</v>
      </c>
      <c r="I488" s="556">
        <v>75.775000000000006</v>
      </c>
      <c r="J488" s="556">
        <v>74.972999999999999</v>
      </c>
    </row>
    <row r="489" spans="2:10" ht="16.5" thickBot="1" x14ac:dyDescent="0.3">
      <c r="B489" s="544">
        <v>43989</v>
      </c>
      <c r="C489" s="361">
        <v>6</v>
      </c>
      <c r="D489" s="555" t="s">
        <v>555</v>
      </c>
      <c r="E489" s="555">
        <v>7</v>
      </c>
      <c r="F489" s="555">
        <v>2020</v>
      </c>
      <c r="G489" s="556">
        <v>76.05</v>
      </c>
      <c r="H489" s="556">
        <v>75.56</v>
      </c>
      <c r="I489" s="556">
        <v>76.239999999999995</v>
      </c>
      <c r="J489" s="556">
        <v>75.39</v>
      </c>
    </row>
    <row r="490" spans="2:10" ht="16.5" thickBot="1" x14ac:dyDescent="0.3">
      <c r="B490" s="544">
        <v>43996</v>
      </c>
      <c r="C490" s="361">
        <v>6</v>
      </c>
      <c r="D490" s="555" t="s">
        <v>555</v>
      </c>
      <c r="E490" s="555">
        <v>14</v>
      </c>
      <c r="F490" s="555">
        <v>2020</v>
      </c>
      <c r="G490" s="556">
        <v>76.260000000000005</v>
      </c>
      <c r="H490" s="556">
        <v>76.05</v>
      </c>
      <c r="I490" s="556">
        <v>76.400000000000006</v>
      </c>
      <c r="J490" s="556">
        <v>75.772000000000006</v>
      </c>
    </row>
    <row r="491" spans="2:10" ht="16.5" thickBot="1" x14ac:dyDescent="0.3">
      <c r="B491" s="544">
        <v>44003</v>
      </c>
      <c r="C491" s="361">
        <v>6</v>
      </c>
      <c r="D491" s="555" t="s">
        <v>555</v>
      </c>
      <c r="E491" s="555">
        <v>21</v>
      </c>
      <c r="F491" s="555">
        <v>2020</v>
      </c>
      <c r="G491" s="556">
        <v>75.62</v>
      </c>
      <c r="H491" s="556">
        <v>76.260000000000005</v>
      </c>
      <c r="I491" s="556">
        <v>76.295000000000002</v>
      </c>
      <c r="J491" s="556">
        <v>75.430000000000007</v>
      </c>
    </row>
    <row r="492" spans="2:10" ht="16.5" thickBot="1" x14ac:dyDescent="0.3">
      <c r="B492" s="544">
        <v>44010</v>
      </c>
      <c r="C492" s="361">
        <v>6</v>
      </c>
      <c r="D492" s="555" t="s">
        <v>555</v>
      </c>
      <c r="E492" s="555">
        <v>28</v>
      </c>
      <c r="F492" s="555">
        <v>2020</v>
      </c>
      <c r="G492" s="556">
        <v>74.635999999999996</v>
      </c>
      <c r="H492" s="556">
        <v>75.62</v>
      </c>
      <c r="I492" s="556">
        <v>75.67</v>
      </c>
      <c r="J492" s="556">
        <v>74.581999999999994</v>
      </c>
    </row>
    <row r="493" spans="2:10" ht="16.5" thickBot="1" x14ac:dyDescent="0.3">
      <c r="B493" s="544">
        <v>44017</v>
      </c>
      <c r="C493" s="361">
        <v>7</v>
      </c>
      <c r="D493" s="555" t="s">
        <v>556</v>
      </c>
      <c r="E493" s="555">
        <v>5</v>
      </c>
      <c r="F493" s="555">
        <v>2020</v>
      </c>
      <c r="G493" s="556">
        <v>75.194999999999993</v>
      </c>
      <c r="H493" s="556">
        <v>74.635999999999996</v>
      </c>
      <c r="I493" s="556">
        <v>75.34</v>
      </c>
      <c r="J493" s="556">
        <v>74.488</v>
      </c>
    </row>
    <row r="494" spans="2:10" ht="16.5" thickBot="1" x14ac:dyDescent="0.3">
      <c r="B494" s="544">
        <v>44024</v>
      </c>
      <c r="C494" s="361">
        <v>7</v>
      </c>
      <c r="D494" s="555" t="s">
        <v>556</v>
      </c>
      <c r="E494" s="555">
        <v>12</v>
      </c>
      <c r="F494" s="555">
        <v>2020</v>
      </c>
      <c r="G494" s="556">
        <v>74.897000000000006</v>
      </c>
      <c r="H494" s="556">
        <v>75.194999999999993</v>
      </c>
      <c r="I494" s="556">
        <v>75.534999999999997</v>
      </c>
      <c r="J494" s="556">
        <v>74.897000000000006</v>
      </c>
    </row>
    <row r="495" spans="2:10" ht="16.5" thickBot="1" x14ac:dyDescent="0.3">
      <c r="B495" s="544">
        <v>44031</v>
      </c>
      <c r="C495" s="361">
        <v>7</v>
      </c>
      <c r="D495" s="555" t="s">
        <v>556</v>
      </c>
      <c r="E495" s="555">
        <v>19</v>
      </c>
      <c r="F495" s="555">
        <v>2020</v>
      </c>
      <c r="G495" s="556">
        <v>74.760000000000005</v>
      </c>
      <c r="H495" s="556">
        <v>74.897999999999996</v>
      </c>
      <c r="I495" s="556">
        <v>75.033000000000001</v>
      </c>
      <c r="J495" s="556">
        <v>74.509</v>
      </c>
    </row>
    <row r="496" spans="2:10" ht="16.5" thickBot="1" x14ac:dyDescent="0.3">
      <c r="B496" s="544">
        <v>44038</v>
      </c>
      <c r="C496" s="361">
        <v>7</v>
      </c>
      <c r="D496" s="555" t="s">
        <v>556</v>
      </c>
      <c r="E496" s="555">
        <v>26</v>
      </c>
      <c r="F496" s="555">
        <v>2020</v>
      </c>
      <c r="G496" s="556">
        <v>74.915999999999997</v>
      </c>
      <c r="H496" s="556">
        <v>74.760000000000005</v>
      </c>
      <c r="I496" s="556">
        <v>74.966999999999999</v>
      </c>
      <c r="J496" s="556">
        <v>74.665000000000006</v>
      </c>
    </row>
    <row r="497" spans="2:10" ht="16.5" thickBot="1" x14ac:dyDescent="0.3">
      <c r="B497" s="544">
        <v>44045</v>
      </c>
      <c r="C497" s="361">
        <v>8</v>
      </c>
      <c r="D497" s="555" t="s">
        <v>188</v>
      </c>
      <c r="E497" s="555">
        <v>2</v>
      </c>
      <c r="F497" s="555">
        <v>2020</v>
      </c>
      <c r="G497" s="556">
        <v>75.012</v>
      </c>
      <c r="H497" s="556">
        <v>74.918000000000006</v>
      </c>
      <c r="I497" s="556">
        <v>75.313999999999993</v>
      </c>
      <c r="J497" s="556">
        <v>74.763000000000005</v>
      </c>
    </row>
    <row r="498" spans="2:10" ht="16.5" thickBot="1" x14ac:dyDescent="0.3">
      <c r="B498" s="544">
        <v>44052</v>
      </c>
      <c r="C498" s="361">
        <v>8</v>
      </c>
      <c r="D498" s="555" t="s">
        <v>188</v>
      </c>
      <c r="E498" s="555">
        <v>9</v>
      </c>
      <c r="F498" s="555">
        <v>2020</v>
      </c>
      <c r="G498" s="556">
        <v>74.873999999999995</v>
      </c>
      <c r="H498" s="556">
        <v>75.025000000000006</v>
      </c>
      <c r="I498" s="556">
        <v>75.025000000000006</v>
      </c>
      <c r="J498" s="556">
        <v>74.522000000000006</v>
      </c>
    </row>
    <row r="499" spans="2:10" ht="16.5" thickBot="1" x14ac:dyDescent="0.3">
      <c r="B499" s="544">
        <v>44059</v>
      </c>
      <c r="C499" s="361">
        <v>8</v>
      </c>
      <c r="D499" s="555" t="s">
        <v>188</v>
      </c>
      <c r="E499" s="555">
        <v>16</v>
      </c>
      <c r="F499" s="555">
        <v>2020</v>
      </c>
      <c r="G499" s="556">
        <v>74.92</v>
      </c>
      <c r="H499" s="556">
        <v>74.903000000000006</v>
      </c>
      <c r="I499" s="556">
        <v>75.132000000000005</v>
      </c>
      <c r="J499" s="556">
        <v>74.575000000000003</v>
      </c>
    </row>
    <row r="500" spans="2:10" ht="16.5" thickBot="1" x14ac:dyDescent="0.3">
      <c r="B500" s="544">
        <v>44066</v>
      </c>
      <c r="C500" s="361">
        <v>8</v>
      </c>
      <c r="D500" s="555" t="s">
        <v>188</v>
      </c>
      <c r="E500" s="555">
        <v>23</v>
      </c>
      <c r="F500" s="555">
        <v>2020</v>
      </c>
      <c r="G500" s="556">
        <v>73.114000000000004</v>
      </c>
      <c r="H500" s="556">
        <v>74.921999999999997</v>
      </c>
      <c r="I500" s="556">
        <v>74.921999999999997</v>
      </c>
      <c r="J500" s="556">
        <v>73.116</v>
      </c>
    </row>
    <row r="501" spans="2:10" ht="16.5" thickBot="1" x14ac:dyDescent="0.3">
      <c r="B501" s="544">
        <v>44073</v>
      </c>
      <c r="C501" s="361">
        <v>8</v>
      </c>
      <c r="D501" s="555" t="s">
        <v>188</v>
      </c>
      <c r="E501" s="555">
        <v>30</v>
      </c>
      <c r="F501" s="555">
        <v>2020</v>
      </c>
      <c r="G501" s="556">
        <v>73.289000000000001</v>
      </c>
      <c r="H501" s="556">
        <v>73.114999999999995</v>
      </c>
      <c r="I501" s="556">
        <v>73.701999999999998</v>
      </c>
      <c r="J501" s="556">
        <v>72.753</v>
      </c>
    </row>
    <row r="502" spans="2:10" ht="16.5" thickBot="1" x14ac:dyDescent="0.3">
      <c r="B502" s="544">
        <v>44080</v>
      </c>
      <c r="C502" s="16">
        <v>9</v>
      </c>
      <c r="D502" s="555" t="s">
        <v>187</v>
      </c>
      <c r="E502" s="555">
        <v>6</v>
      </c>
      <c r="F502" s="555">
        <v>2020</v>
      </c>
      <c r="G502" s="556">
        <v>73.430000000000007</v>
      </c>
      <c r="H502" s="556">
        <v>73.290999999999997</v>
      </c>
      <c r="I502" s="556">
        <v>73.974000000000004</v>
      </c>
      <c r="J502" s="556">
        <v>73.027000000000001</v>
      </c>
    </row>
    <row r="503" spans="2:10" ht="16.5" thickBot="1" x14ac:dyDescent="0.3">
      <c r="B503" s="544">
        <v>44087</v>
      </c>
      <c r="C503" s="16">
        <v>9</v>
      </c>
      <c r="D503" s="555" t="s">
        <v>187</v>
      </c>
      <c r="E503" s="555">
        <v>13</v>
      </c>
      <c r="F503" s="555">
        <v>2020</v>
      </c>
      <c r="G503" s="556">
        <v>73.537999999999997</v>
      </c>
      <c r="H503" s="556">
        <v>73.48</v>
      </c>
      <c r="I503" s="556">
        <v>73.784000000000006</v>
      </c>
      <c r="J503" s="556">
        <v>73.144000000000005</v>
      </c>
    </row>
    <row r="504" spans="2:10" ht="16.5" thickBot="1" x14ac:dyDescent="0.3">
      <c r="B504" s="544">
        <v>44094</v>
      </c>
      <c r="C504" s="16">
        <v>9</v>
      </c>
      <c r="D504" s="555" t="s">
        <v>187</v>
      </c>
      <c r="E504" s="555">
        <v>20</v>
      </c>
      <c r="F504" s="555">
        <v>2020</v>
      </c>
      <c r="G504" s="556">
        <v>73.67</v>
      </c>
      <c r="H504" s="556">
        <v>73.534999999999997</v>
      </c>
      <c r="I504" s="556">
        <v>74.055000000000007</v>
      </c>
      <c r="J504" s="556">
        <v>73.260000000000005</v>
      </c>
    </row>
    <row r="505" spans="2:10" ht="16.5" thickBot="1" x14ac:dyDescent="0.3">
      <c r="B505" s="544">
        <v>44101</v>
      </c>
      <c r="C505" s="16">
        <v>9</v>
      </c>
      <c r="D505" s="555" t="s">
        <v>187</v>
      </c>
      <c r="E505" s="555">
        <v>27</v>
      </c>
      <c r="F505" s="555">
        <v>2020</v>
      </c>
      <c r="G505" s="556">
        <v>73.290000000000006</v>
      </c>
      <c r="H505" s="556">
        <v>73.685000000000002</v>
      </c>
      <c r="I505" s="556">
        <v>73.918000000000006</v>
      </c>
      <c r="J505" s="556">
        <v>73.021000000000001</v>
      </c>
    </row>
    <row r="506" spans="2:10" ht="16.5" thickBot="1" x14ac:dyDescent="0.3">
      <c r="B506" s="544">
        <v>44108</v>
      </c>
      <c r="C506" s="16">
        <v>10</v>
      </c>
      <c r="D506" s="555" t="s">
        <v>186</v>
      </c>
      <c r="E506" s="555">
        <v>4</v>
      </c>
      <c r="F506" s="555">
        <v>2020</v>
      </c>
      <c r="G506" s="556">
        <v>73.010000000000005</v>
      </c>
      <c r="H506" s="556">
        <v>73.295000000000002</v>
      </c>
      <c r="I506" s="556">
        <v>73.613</v>
      </c>
      <c r="J506" s="556">
        <v>72.968999999999994</v>
      </c>
    </row>
    <row r="507" spans="2:10" ht="16.5" thickBot="1" x14ac:dyDescent="0.3">
      <c r="B507" s="544">
        <v>44115</v>
      </c>
      <c r="C507" s="16">
        <v>10</v>
      </c>
      <c r="D507" s="555" t="s">
        <v>186</v>
      </c>
      <c r="E507" s="555">
        <v>11</v>
      </c>
      <c r="F507" s="555">
        <v>2020</v>
      </c>
      <c r="G507" s="556">
        <v>73.441999999999993</v>
      </c>
      <c r="H507" s="556">
        <v>73.015000000000001</v>
      </c>
      <c r="I507" s="556">
        <v>73.52</v>
      </c>
      <c r="J507" s="556">
        <v>73.015000000000001</v>
      </c>
    </row>
    <row r="508" spans="2:10" ht="16.5" thickBot="1" x14ac:dyDescent="0.3">
      <c r="B508" s="544">
        <v>44122</v>
      </c>
      <c r="C508" s="16">
        <v>10</v>
      </c>
      <c r="D508" s="555" t="s">
        <v>186</v>
      </c>
      <c r="E508" s="555">
        <v>18</v>
      </c>
      <c r="F508" s="555">
        <v>2020</v>
      </c>
      <c r="G508" s="556">
        <v>73.828999999999994</v>
      </c>
      <c r="H508" s="556">
        <v>73.444000000000003</v>
      </c>
      <c r="I508" s="556">
        <v>73.887</v>
      </c>
      <c r="J508" s="556">
        <v>73.289000000000001</v>
      </c>
    </row>
    <row r="509" spans="2:10" ht="16.5" thickBot="1" x14ac:dyDescent="0.3">
      <c r="B509" s="544">
        <v>44129</v>
      </c>
      <c r="C509" s="16">
        <v>10</v>
      </c>
      <c r="D509" s="555" t="s">
        <v>186</v>
      </c>
      <c r="E509" s="555">
        <v>25</v>
      </c>
      <c r="F509" s="555">
        <v>2020</v>
      </c>
      <c r="G509" s="556">
        <v>74.554000000000002</v>
      </c>
      <c r="H509" s="556">
        <v>73.841999999999999</v>
      </c>
      <c r="I509" s="556">
        <v>74.712000000000003</v>
      </c>
      <c r="J509" s="556">
        <v>73.599000000000004</v>
      </c>
    </row>
    <row r="510" spans="2:10" ht="16.5" thickBot="1" x14ac:dyDescent="0.3">
      <c r="B510" s="544">
        <v>44136</v>
      </c>
      <c r="C510" s="361">
        <v>11</v>
      </c>
      <c r="D510" s="555" t="s">
        <v>185</v>
      </c>
      <c r="E510" s="555">
        <v>1</v>
      </c>
      <c r="F510" s="555">
        <v>2020</v>
      </c>
      <c r="G510" s="556">
        <v>73.974000000000004</v>
      </c>
      <c r="H510" s="556">
        <v>74.566999999999993</v>
      </c>
      <c r="I510" s="556">
        <v>75.015000000000001</v>
      </c>
      <c r="J510" s="556">
        <v>73.86</v>
      </c>
    </row>
    <row r="511" spans="2:10" ht="16.5" thickBot="1" x14ac:dyDescent="0.3">
      <c r="B511" s="544">
        <v>44143</v>
      </c>
      <c r="C511" s="361">
        <v>11</v>
      </c>
      <c r="D511" s="555" t="s">
        <v>185</v>
      </c>
      <c r="E511" s="555">
        <v>8</v>
      </c>
      <c r="F511" s="555">
        <v>2020</v>
      </c>
      <c r="G511" s="556">
        <v>74.561000000000007</v>
      </c>
      <c r="H511" s="556">
        <v>73.975999999999999</v>
      </c>
      <c r="I511" s="556">
        <v>74.760000000000005</v>
      </c>
      <c r="J511" s="556">
        <v>73.637</v>
      </c>
    </row>
    <row r="512" spans="2:10" ht="16.5" thickBot="1" x14ac:dyDescent="0.3">
      <c r="B512" s="544">
        <v>44150</v>
      </c>
      <c r="C512" s="361">
        <v>11</v>
      </c>
      <c r="D512" s="555" t="s">
        <v>185</v>
      </c>
      <c r="E512" s="555">
        <v>15</v>
      </c>
      <c r="F512" s="555">
        <v>2020</v>
      </c>
      <c r="G512" s="556">
        <v>74.11</v>
      </c>
      <c r="H512" s="556">
        <v>74.59</v>
      </c>
      <c r="I512" s="556">
        <v>74.635000000000005</v>
      </c>
      <c r="J512" s="556">
        <v>74.055999999999997</v>
      </c>
    </row>
    <row r="513" spans="2:10" ht="16.5" thickBot="1" x14ac:dyDescent="0.3">
      <c r="B513" s="544">
        <v>44157</v>
      </c>
      <c r="C513" s="361">
        <v>11</v>
      </c>
      <c r="D513" s="555" t="s">
        <v>185</v>
      </c>
      <c r="E513" s="555">
        <v>22</v>
      </c>
      <c r="F513" s="555">
        <v>2020</v>
      </c>
      <c r="G513" s="556">
        <v>73.933000000000007</v>
      </c>
      <c r="H513" s="556">
        <v>74.12</v>
      </c>
      <c r="I513" s="556">
        <v>74.277000000000001</v>
      </c>
      <c r="J513" s="556">
        <v>73.72</v>
      </c>
    </row>
    <row r="514" spans="2:10" ht="16.5" thickBot="1" x14ac:dyDescent="0.3">
      <c r="B514" s="544">
        <v>44164</v>
      </c>
      <c r="C514" s="361">
        <v>11</v>
      </c>
      <c r="D514" s="555" t="s">
        <v>185</v>
      </c>
      <c r="E514" s="555">
        <v>29</v>
      </c>
      <c r="F514" s="555">
        <v>2020</v>
      </c>
      <c r="G514" s="556">
        <v>73.757000000000005</v>
      </c>
      <c r="H514" s="556">
        <v>73.935000000000002</v>
      </c>
      <c r="I514" s="556">
        <v>74.027000000000001</v>
      </c>
      <c r="J514" s="556">
        <v>73.402000000000001</v>
      </c>
    </row>
    <row r="515" spans="2:10" ht="16.5" thickBot="1" x14ac:dyDescent="0.3">
      <c r="B515" s="544">
        <v>44171</v>
      </c>
      <c r="C515" s="361">
        <v>12</v>
      </c>
      <c r="D515" s="555" t="s">
        <v>184</v>
      </c>
      <c r="E515" s="555">
        <v>6</v>
      </c>
      <c r="F515" s="555">
        <v>2020</v>
      </c>
      <c r="G515" s="556">
        <v>73.736000000000004</v>
      </c>
      <c r="H515" s="556">
        <v>73.805000000000007</v>
      </c>
      <c r="I515" s="556">
        <v>73.977000000000004</v>
      </c>
      <c r="J515" s="556">
        <v>73.510000000000005</v>
      </c>
    </row>
    <row r="516" spans="2:10" ht="16.5" thickBot="1" x14ac:dyDescent="0.3">
      <c r="B516" s="544">
        <v>44178</v>
      </c>
      <c r="C516" s="361">
        <v>12</v>
      </c>
      <c r="D516" s="555" t="s">
        <v>184</v>
      </c>
      <c r="E516" s="555">
        <v>13</v>
      </c>
      <c r="F516" s="555">
        <v>2020</v>
      </c>
      <c r="G516" s="556">
        <v>73.569999999999993</v>
      </c>
      <c r="H516" s="556">
        <v>73.738</v>
      </c>
      <c r="I516" s="556">
        <v>73.738</v>
      </c>
      <c r="J516" s="556">
        <v>73.372</v>
      </c>
    </row>
    <row r="517" spans="2:10" ht="16.5" thickBot="1" x14ac:dyDescent="0.3">
      <c r="B517" s="544">
        <v>44185</v>
      </c>
      <c r="C517" s="361">
        <v>12</v>
      </c>
      <c r="D517" s="555" t="s">
        <v>184</v>
      </c>
      <c r="E517" s="555">
        <v>20</v>
      </c>
      <c r="F517" s="555">
        <v>2020</v>
      </c>
      <c r="G517" s="556">
        <v>73.555999999999997</v>
      </c>
      <c r="H517" s="556">
        <v>73.575000000000003</v>
      </c>
      <c r="I517" s="556">
        <v>74.103999999999999</v>
      </c>
      <c r="J517" s="556">
        <v>73.506</v>
      </c>
    </row>
    <row r="518" spans="2:10" ht="16.5" thickBot="1" x14ac:dyDescent="0.3">
      <c r="B518" s="544">
        <v>44192</v>
      </c>
      <c r="C518" s="361">
        <v>12</v>
      </c>
      <c r="D518" s="555" t="s">
        <v>184</v>
      </c>
      <c r="E518" s="555">
        <v>27</v>
      </c>
      <c r="F518" s="555">
        <v>2020</v>
      </c>
      <c r="G518" s="556">
        <v>73.12</v>
      </c>
      <c r="H518" s="556">
        <v>73.558000000000007</v>
      </c>
      <c r="I518" s="556">
        <v>73.613</v>
      </c>
      <c r="J518" s="556">
        <v>72.950999999999993</v>
      </c>
    </row>
    <row r="519" spans="2:10" ht="16.5" thickBot="1" x14ac:dyDescent="0.3">
      <c r="B519" s="544">
        <v>44199</v>
      </c>
      <c r="C519" s="361">
        <v>1</v>
      </c>
      <c r="D519" s="555" t="s">
        <v>183</v>
      </c>
      <c r="E519" s="555">
        <v>3</v>
      </c>
      <c r="F519" s="555">
        <v>2021</v>
      </c>
      <c r="G519" s="556">
        <v>73.33</v>
      </c>
      <c r="H519" s="556">
        <v>73.105999999999995</v>
      </c>
      <c r="I519" s="556">
        <v>73.509</v>
      </c>
      <c r="J519" s="556">
        <v>72.83</v>
      </c>
    </row>
    <row r="520" spans="2:10" ht="16.5" thickBot="1" x14ac:dyDescent="0.3">
      <c r="B520" s="544">
        <v>44206</v>
      </c>
      <c r="C520" s="361">
        <v>1</v>
      </c>
      <c r="D520" s="555" t="s">
        <v>183</v>
      </c>
      <c r="E520" s="555">
        <v>10</v>
      </c>
      <c r="F520" s="555">
        <v>2021</v>
      </c>
      <c r="G520" s="556">
        <v>73.12</v>
      </c>
      <c r="H520" s="556">
        <v>73.45</v>
      </c>
      <c r="I520" s="556">
        <v>73.599999999999994</v>
      </c>
      <c r="J520" s="556">
        <v>72.923000000000002</v>
      </c>
    </row>
    <row r="521" spans="2:10" ht="16.5" thickBot="1" x14ac:dyDescent="0.3">
      <c r="B521" s="544">
        <v>44213</v>
      </c>
      <c r="C521" s="361">
        <v>1</v>
      </c>
      <c r="D521" s="555" t="s">
        <v>183</v>
      </c>
      <c r="E521" s="555">
        <v>17</v>
      </c>
      <c r="F521" s="555">
        <v>2021</v>
      </c>
      <c r="G521" s="556">
        <v>72.98</v>
      </c>
      <c r="H521" s="556">
        <v>73.150000000000006</v>
      </c>
      <c r="I521" s="556">
        <v>73.332999999999998</v>
      </c>
      <c r="J521" s="556">
        <v>72.888000000000005</v>
      </c>
    </row>
    <row r="522" spans="2:10" ht="16.5" thickBot="1" x14ac:dyDescent="0.3">
      <c r="B522" s="544">
        <v>44220</v>
      </c>
      <c r="C522" s="361">
        <v>1</v>
      </c>
      <c r="D522" s="555" t="s">
        <v>183</v>
      </c>
      <c r="E522" s="555">
        <v>24</v>
      </c>
      <c r="F522" s="555">
        <v>2021</v>
      </c>
      <c r="G522" s="556">
        <v>72.876999999999995</v>
      </c>
      <c r="H522" s="556">
        <v>72.977000000000004</v>
      </c>
      <c r="I522" s="556">
        <v>73.186000000000007</v>
      </c>
      <c r="J522" s="556">
        <v>72.784999999999997</v>
      </c>
    </row>
    <row r="523" spans="2:10" ht="16.5" thickBot="1" x14ac:dyDescent="0.3">
      <c r="B523" s="544">
        <v>44227</v>
      </c>
      <c r="C523" s="361">
        <v>1</v>
      </c>
      <c r="D523" s="555" t="s">
        <v>183</v>
      </c>
      <c r="E523" s="555">
        <v>31</v>
      </c>
      <c r="F523" s="555">
        <v>2021</v>
      </c>
      <c r="G523" s="556">
        <v>72.81</v>
      </c>
      <c r="H523" s="556">
        <v>72.918000000000006</v>
      </c>
      <c r="I523" s="556">
        <v>73.194999999999993</v>
      </c>
      <c r="J523" s="556">
        <v>72.775000000000006</v>
      </c>
    </row>
    <row r="524" spans="2:10" ht="16.5" thickBot="1" x14ac:dyDescent="0.3">
      <c r="B524" s="544">
        <v>44234</v>
      </c>
      <c r="C524" s="361">
        <v>2</v>
      </c>
      <c r="D524" s="555" t="s">
        <v>182</v>
      </c>
      <c r="E524" s="555">
        <v>7</v>
      </c>
      <c r="F524" s="555">
        <v>2021</v>
      </c>
      <c r="G524" s="556">
        <v>72.58</v>
      </c>
      <c r="H524" s="556">
        <v>72.828999999999994</v>
      </c>
      <c r="I524" s="556">
        <v>73.009</v>
      </c>
      <c r="J524" s="556">
        <v>72.56</v>
      </c>
    </row>
    <row r="525" spans="2:10" ht="16.5" thickBot="1" x14ac:dyDescent="0.3">
      <c r="B525" s="544">
        <v>44241</v>
      </c>
      <c r="C525" s="361">
        <v>2</v>
      </c>
      <c r="D525" s="555" t="s">
        <v>182</v>
      </c>
      <c r="E525" s="555">
        <v>14</v>
      </c>
      <c r="F525" s="555">
        <v>2021</v>
      </c>
      <c r="G525" s="556">
        <v>72.55</v>
      </c>
      <c r="H525" s="556">
        <v>72.613</v>
      </c>
      <c r="I525" s="556">
        <v>72.97</v>
      </c>
      <c r="J525" s="556">
        <v>72.418000000000006</v>
      </c>
    </row>
    <row r="526" spans="2:10" ht="16.5" thickBot="1" x14ac:dyDescent="0.3">
      <c r="B526" s="544">
        <v>44248</v>
      </c>
      <c r="C526" s="361">
        <v>2</v>
      </c>
      <c r="D526" s="555" t="s">
        <v>182</v>
      </c>
      <c r="E526" s="555">
        <v>21</v>
      </c>
      <c r="F526" s="555">
        <v>2021</v>
      </c>
      <c r="G526" s="556">
        <v>73.92</v>
      </c>
      <c r="H526" s="556">
        <v>72.575000000000003</v>
      </c>
      <c r="I526" s="556">
        <v>74.06</v>
      </c>
      <c r="J526" s="556">
        <v>72.263000000000005</v>
      </c>
    </row>
    <row r="527" spans="2:10" ht="16.5" thickBot="1" x14ac:dyDescent="0.3">
      <c r="B527" s="544">
        <v>44255</v>
      </c>
      <c r="C527" s="361">
        <v>2</v>
      </c>
      <c r="D527" s="555" t="s">
        <v>182</v>
      </c>
      <c r="E527" s="555">
        <v>28</v>
      </c>
      <c r="F527" s="555">
        <v>2021</v>
      </c>
      <c r="G527" s="556">
        <v>73.180000000000007</v>
      </c>
      <c r="H527" s="556">
        <v>73.584999999999994</v>
      </c>
      <c r="I527" s="556">
        <v>73.783000000000001</v>
      </c>
      <c r="J527" s="556">
        <v>72.597999999999999</v>
      </c>
    </row>
    <row r="528" spans="2:10" ht="16.5" thickBot="1" x14ac:dyDescent="0.3">
      <c r="B528" s="544">
        <v>44262</v>
      </c>
      <c r="C528" s="361">
        <v>3</v>
      </c>
      <c r="D528" s="555" t="s">
        <v>181</v>
      </c>
      <c r="E528" s="555">
        <v>7</v>
      </c>
      <c r="F528" s="555">
        <v>2021</v>
      </c>
      <c r="G528" s="556">
        <v>72.680000000000007</v>
      </c>
      <c r="H528" s="556">
        <v>73.209999999999994</v>
      </c>
      <c r="I528" s="556">
        <v>73.417000000000002</v>
      </c>
      <c r="J528" s="556">
        <v>72.582999999999998</v>
      </c>
    </row>
    <row r="529" spans="2:10" ht="16.5" thickBot="1" x14ac:dyDescent="0.3">
      <c r="B529" s="544">
        <v>44269</v>
      </c>
      <c r="C529" s="361">
        <v>3</v>
      </c>
      <c r="D529" s="555" t="s">
        <v>181</v>
      </c>
      <c r="E529" s="555">
        <v>14</v>
      </c>
      <c r="F529" s="555">
        <v>2021</v>
      </c>
      <c r="G529" s="556">
        <v>72.400999999999996</v>
      </c>
      <c r="H529" s="556">
        <v>72.685000000000002</v>
      </c>
      <c r="I529" s="556">
        <v>72.786000000000001</v>
      </c>
      <c r="J529" s="556">
        <v>72.319999999999993</v>
      </c>
    </row>
    <row r="530" spans="2:10" ht="16.5" thickBot="1" x14ac:dyDescent="0.3">
      <c r="B530" s="544">
        <v>44276</v>
      </c>
      <c r="C530" s="361">
        <v>3</v>
      </c>
      <c r="D530" s="555" t="s">
        <v>181</v>
      </c>
      <c r="E530" s="555">
        <v>21</v>
      </c>
      <c r="F530" s="555">
        <v>2021</v>
      </c>
      <c r="G530" s="556">
        <v>72.61</v>
      </c>
      <c r="H530" s="556">
        <v>72.468999999999994</v>
      </c>
      <c r="I530" s="556">
        <v>72.730999999999995</v>
      </c>
      <c r="J530" s="556">
        <v>72.268000000000001</v>
      </c>
    </row>
    <row r="531" spans="2:10" ht="16.5" thickBot="1" x14ac:dyDescent="0.3">
      <c r="B531" s="544">
        <v>44283</v>
      </c>
      <c r="C531" s="361">
        <v>3</v>
      </c>
      <c r="D531" s="555" t="s">
        <v>181</v>
      </c>
      <c r="E531" s="555">
        <v>28</v>
      </c>
      <c r="F531" s="555">
        <v>2021</v>
      </c>
      <c r="G531" s="556">
        <v>73.37</v>
      </c>
      <c r="H531" s="556">
        <v>72.525999999999996</v>
      </c>
      <c r="I531" s="556">
        <v>73.631</v>
      </c>
      <c r="J531" s="556">
        <v>72.480999999999995</v>
      </c>
    </row>
    <row r="532" spans="2:10" ht="16.5" thickBot="1" x14ac:dyDescent="0.3">
      <c r="B532" s="544">
        <v>44290</v>
      </c>
      <c r="C532" s="361">
        <v>4</v>
      </c>
      <c r="D532" s="555" t="s">
        <v>261</v>
      </c>
      <c r="E532" s="555">
        <v>4</v>
      </c>
      <c r="F532" s="555">
        <v>2021</v>
      </c>
      <c r="G532" s="556">
        <v>74.721999999999994</v>
      </c>
      <c r="H532" s="556">
        <v>73.34</v>
      </c>
      <c r="I532" s="556">
        <v>74.98</v>
      </c>
      <c r="J532" s="556">
        <v>73.206999999999994</v>
      </c>
    </row>
    <row r="533" spans="2:10" ht="16.5" thickBot="1" x14ac:dyDescent="0.3">
      <c r="B533" s="544">
        <v>44297</v>
      </c>
      <c r="C533" s="361">
        <v>4</v>
      </c>
      <c r="D533" s="555" t="s">
        <v>261</v>
      </c>
      <c r="E533" s="555">
        <v>11</v>
      </c>
      <c r="F533" s="555">
        <v>2021</v>
      </c>
      <c r="G533" s="556">
        <v>74.53</v>
      </c>
      <c r="H533" s="556">
        <v>74.984999999999999</v>
      </c>
      <c r="I533" s="556">
        <v>75.546000000000006</v>
      </c>
      <c r="J533" s="556">
        <v>74.287000000000006</v>
      </c>
    </row>
    <row r="534" spans="2:10" ht="16.5" thickBot="1" x14ac:dyDescent="0.3">
      <c r="B534" s="544">
        <v>44304</v>
      </c>
      <c r="C534" s="361">
        <v>4</v>
      </c>
      <c r="D534" s="555" t="s">
        <v>261</v>
      </c>
      <c r="E534" s="555">
        <v>18</v>
      </c>
      <c r="F534" s="555">
        <v>2021</v>
      </c>
      <c r="G534" s="556">
        <v>74.92</v>
      </c>
      <c r="H534" s="556">
        <v>74.575000000000003</v>
      </c>
      <c r="I534" s="556">
        <v>75.569999999999993</v>
      </c>
      <c r="J534" s="556">
        <v>74.507000000000005</v>
      </c>
    </row>
    <row r="535" spans="2:10" ht="16.5" thickBot="1" x14ac:dyDescent="0.3">
      <c r="B535" s="544">
        <v>44311</v>
      </c>
      <c r="C535" s="361">
        <v>4</v>
      </c>
      <c r="D535" s="555" t="s">
        <v>261</v>
      </c>
      <c r="E535" s="555">
        <v>25</v>
      </c>
      <c r="F535" s="555">
        <v>2021</v>
      </c>
      <c r="G535" s="556">
        <v>74.05</v>
      </c>
      <c r="H535" s="556">
        <v>74.75</v>
      </c>
      <c r="I535" s="556">
        <v>74.917000000000002</v>
      </c>
      <c r="J535" s="556">
        <v>73.944999999999993</v>
      </c>
    </row>
    <row r="536" spans="2:10" ht="16.5" thickBot="1" x14ac:dyDescent="0.3">
      <c r="B536" s="544">
        <v>44318</v>
      </c>
      <c r="C536" s="361">
        <v>5</v>
      </c>
      <c r="D536" s="555" t="s">
        <v>191</v>
      </c>
      <c r="E536" s="555">
        <v>2</v>
      </c>
      <c r="F536" s="555">
        <v>2021</v>
      </c>
      <c r="G536" s="556">
        <v>73.251999999999995</v>
      </c>
      <c r="H536" s="556">
        <v>74.278999999999996</v>
      </c>
      <c r="I536" s="556">
        <v>74.331999999999994</v>
      </c>
      <c r="J536" s="556">
        <v>73.251000000000005</v>
      </c>
    </row>
    <row r="537" spans="2:10" ht="16.5" thickBot="1" x14ac:dyDescent="0.3">
      <c r="B537" s="544">
        <v>44325</v>
      </c>
      <c r="C537" s="361">
        <v>5</v>
      </c>
      <c r="D537" s="555" t="s">
        <v>191</v>
      </c>
      <c r="E537" s="555">
        <v>9</v>
      </c>
      <c r="F537" s="555">
        <v>2021</v>
      </c>
      <c r="G537" s="556">
        <v>73.290000000000006</v>
      </c>
      <c r="H537" s="556">
        <v>73.302000000000007</v>
      </c>
      <c r="I537" s="556">
        <v>73.653999999999996</v>
      </c>
      <c r="J537" s="556">
        <v>73.188000000000002</v>
      </c>
    </row>
    <row r="538" spans="2:10" ht="16.5" thickBot="1" x14ac:dyDescent="0.3">
      <c r="B538" s="544">
        <v>44332</v>
      </c>
      <c r="C538" s="361">
        <v>5</v>
      </c>
      <c r="D538" s="555" t="s">
        <v>191</v>
      </c>
      <c r="E538" s="555">
        <v>16</v>
      </c>
      <c r="F538" s="555">
        <v>2021</v>
      </c>
      <c r="G538" s="556">
        <v>72.816999999999993</v>
      </c>
      <c r="H538" s="556">
        <v>73.305000000000007</v>
      </c>
      <c r="I538" s="556">
        <v>73.334999999999994</v>
      </c>
      <c r="J538" s="556">
        <v>72.756</v>
      </c>
    </row>
    <row r="539" spans="2:10" ht="16.5" thickBot="1" x14ac:dyDescent="0.3">
      <c r="B539" s="544">
        <v>44339</v>
      </c>
      <c r="C539" s="361">
        <v>5</v>
      </c>
      <c r="D539" s="555" t="s">
        <v>191</v>
      </c>
      <c r="E539" s="555">
        <v>23</v>
      </c>
      <c r="F539" s="555">
        <v>2021</v>
      </c>
      <c r="G539" s="556">
        <v>72.400000000000006</v>
      </c>
      <c r="H539" s="556">
        <v>72.885000000000005</v>
      </c>
      <c r="I539" s="556">
        <v>72.980999999999995</v>
      </c>
      <c r="J539" s="556">
        <v>72.314999999999998</v>
      </c>
    </row>
    <row r="540" spans="2:10" ht="16.5" thickBot="1" x14ac:dyDescent="0.3">
      <c r="B540" s="544">
        <v>44346</v>
      </c>
      <c r="C540" s="361">
        <v>5</v>
      </c>
      <c r="D540" s="555" t="s">
        <v>191</v>
      </c>
      <c r="E540" s="555">
        <v>30</v>
      </c>
      <c r="F540" s="555">
        <v>2021</v>
      </c>
      <c r="G540" s="556">
        <v>72.86</v>
      </c>
      <c r="H540" s="556">
        <v>72.394999999999996</v>
      </c>
      <c r="I540" s="556">
        <v>73.325000000000003</v>
      </c>
      <c r="J540" s="556">
        <v>72.343000000000004</v>
      </c>
    </row>
    <row r="541" spans="2:10" ht="16.5" thickBot="1" x14ac:dyDescent="0.3">
      <c r="B541" s="544">
        <v>44353</v>
      </c>
      <c r="C541" s="361">
        <v>6</v>
      </c>
      <c r="D541" s="555" t="s">
        <v>555</v>
      </c>
      <c r="E541" s="555">
        <v>6</v>
      </c>
      <c r="F541" s="555">
        <v>2021</v>
      </c>
      <c r="G541" s="556">
        <v>73.239999999999995</v>
      </c>
      <c r="H541" s="556">
        <v>72.92</v>
      </c>
      <c r="I541" s="556">
        <v>73.265000000000001</v>
      </c>
      <c r="J541" s="556">
        <v>72.741</v>
      </c>
    </row>
    <row r="542" spans="2:10" ht="16.5" thickBot="1" x14ac:dyDescent="0.3">
      <c r="B542" s="544">
        <v>44360</v>
      </c>
      <c r="C542" s="361">
        <v>6</v>
      </c>
      <c r="D542" s="555" t="s">
        <v>555</v>
      </c>
      <c r="E542" s="555">
        <v>13</v>
      </c>
      <c r="F542" s="555">
        <v>2021</v>
      </c>
      <c r="G542" s="556">
        <v>74.099999999999994</v>
      </c>
      <c r="H542" s="556">
        <v>73.281999999999996</v>
      </c>
      <c r="I542" s="556">
        <v>74.283000000000001</v>
      </c>
      <c r="J542" s="556">
        <v>73.099000000000004</v>
      </c>
    </row>
    <row r="543" spans="2:10" ht="16.5" thickBot="1" x14ac:dyDescent="0.3">
      <c r="B543" s="544">
        <v>44367</v>
      </c>
      <c r="C543" s="361">
        <v>6</v>
      </c>
      <c r="D543" s="555" t="s">
        <v>555</v>
      </c>
      <c r="E543" s="555">
        <v>20</v>
      </c>
      <c r="F543" s="555">
        <v>2021</v>
      </c>
      <c r="G543" s="556">
        <v>74.209999999999994</v>
      </c>
      <c r="H543" s="556">
        <v>74.093999999999994</v>
      </c>
      <c r="I543" s="556">
        <v>74.415000000000006</v>
      </c>
      <c r="J543" s="556">
        <v>74.043000000000006</v>
      </c>
    </row>
    <row r="544" spans="2:10" ht="16.5" thickBot="1" x14ac:dyDescent="0.3">
      <c r="B544" s="544">
        <v>44374</v>
      </c>
      <c r="C544" s="361">
        <v>6</v>
      </c>
      <c r="D544" s="555" t="s">
        <v>555</v>
      </c>
      <c r="E544" s="555">
        <v>27</v>
      </c>
      <c r="F544" s="555">
        <v>2021</v>
      </c>
      <c r="G544" s="556">
        <v>74.512</v>
      </c>
      <c r="H544" s="556">
        <v>74.183000000000007</v>
      </c>
      <c r="I544" s="556">
        <v>74.885000000000005</v>
      </c>
      <c r="J544" s="556">
        <v>74.161000000000001</v>
      </c>
    </row>
    <row r="545" spans="2:10" ht="16.5" thickBot="1" x14ac:dyDescent="0.3">
      <c r="B545" s="544">
        <v>44381</v>
      </c>
      <c r="C545" s="361">
        <v>7</v>
      </c>
      <c r="D545" s="555" t="s">
        <v>556</v>
      </c>
      <c r="E545" s="555">
        <v>4</v>
      </c>
      <c r="F545" s="555">
        <v>2021</v>
      </c>
      <c r="G545" s="556">
        <v>74.484999999999999</v>
      </c>
      <c r="H545" s="556">
        <v>74.552999999999997</v>
      </c>
      <c r="I545" s="556">
        <v>74.87</v>
      </c>
      <c r="J545" s="556">
        <v>74.236000000000004</v>
      </c>
    </row>
    <row r="546" spans="2:10" ht="16.5" thickBot="1" x14ac:dyDescent="0.3">
      <c r="B546" s="544">
        <v>44388</v>
      </c>
      <c r="C546" s="361">
        <v>7</v>
      </c>
      <c r="D546" s="555" t="s">
        <v>556</v>
      </c>
      <c r="E546" s="555">
        <v>11</v>
      </c>
      <c r="F546" s="555">
        <v>2021</v>
      </c>
      <c r="G546" s="556">
        <v>74.605999999999995</v>
      </c>
      <c r="H546" s="556">
        <v>74.552000000000007</v>
      </c>
      <c r="I546" s="556">
        <v>74.685000000000002</v>
      </c>
      <c r="J546" s="556">
        <v>74.397999999999996</v>
      </c>
    </row>
    <row r="547" spans="2:10" ht="16.5" thickBot="1" x14ac:dyDescent="0.3">
      <c r="B547" s="544">
        <v>44395</v>
      </c>
      <c r="C547" s="361">
        <v>7</v>
      </c>
      <c r="D547" s="555" t="s">
        <v>556</v>
      </c>
      <c r="E547" s="555">
        <v>18</v>
      </c>
      <c r="F547" s="555">
        <v>2021</v>
      </c>
      <c r="G547" s="556">
        <v>74.424999999999997</v>
      </c>
      <c r="H547" s="556">
        <v>74.701999999999998</v>
      </c>
      <c r="I547" s="556">
        <v>75.031000000000006</v>
      </c>
      <c r="J547" s="556">
        <v>74.304000000000002</v>
      </c>
    </row>
    <row r="548" spans="2:10" ht="16.5" thickBot="1" x14ac:dyDescent="0.3">
      <c r="B548" s="544">
        <v>44402</v>
      </c>
      <c r="C548" s="361">
        <v>7</v>
      </c>
      <c r="D548" s="555" t="s">
        <v>556</v>
      </c>
      <c r="E548" s="555">
        <v>25</v>
      </c>
      <c r="F548" s="555">
        <v>2021</v>
      </c>
      <c r="G548" s="556">
        <v>74.337000000000003</v>
      </c>
      <c r="H548" s="556">
        <v>74.462000000000003</v>
      </c>
      <c r="I548" s="556">
        <v>74.558000000000007</v>
      </c>
      <c r="J548" s="556">
        <v>74.218000000000004</v>
      </c>
    </row>
    <row r="549" spans="2:10" ht="16.5" thickBot="1" x14ac:dyDescent="0.3">
      <c r="B549" s="544">
        <v>44409</v>
      </c>
      <c r="C549" s="361">
        <v>8</v>
      </c>
      <c r="D549" s="555" t="s">
        <v>188</v>
      </c>
      <c r="E549" s="555">
        <v>1</v>
      </c>
      <c r="F549" s="555">
        <v>2021</v>
      </c>
      <c r="G549" s="556">
        <v>74.239999999999995</v>
      </c>
      <c r="H549" s="556">
        <v>74.367999999999995</v>
      </c>
      <c r="I549" s="556">
        <v>74.433999999999997</v>
      </c>
      <c r="J549" s="556">
        <v>74.045000000000002</v>
      </c>
    </row>
    <row r="550" spans="2:10" ht="16.5" thickBot="1" x14ac:dyDescent="0.3">
      <c r="B550" s="544">
        <v>44416</v>
      </c>
      <c r="C550" s="361">
        <v>8</v>
      </c>
      <c r="D550" s="555" t="s">
        <v>188</v>
      </c>
      <c r="E550" s="555">
        <v>8</v>
      </c>
      <c r="F550" s="555">
        <v>2021</v>
      </c>
      <c r="G550" s="556">
        <v>74.239000000000004</v>
      </c>
      <c r="H550" s="556">
        <v>74.262</v>
      </c>
      <c r="I550" s="556">
        <v>74.513999999999996</v>
      </c>
      <c r="J550" s="556">
        <v>74.099999999999994</v>
      </c>
    </row>
    <row r="551" spans="2:10" ht="16.5" thickBot="1" x14ac:dyDescent="0.3">
      <c r="B551" s="544">
        <v>44423</v>
      </c>
      <c r="C551" s="361">
        <v>8</v>
      </c>
      <c r="D551" s="555" t="s">
        <v>188</v>
      </c>
      <c r="E551" s="555">
        <v>15</v>
      </c>
      <c r="F551" s="555">
        <v>2021</v>
      </c>
      <c r="G551" s="556">
        <v>74.346999999999994</v>
      </c>
      <c r="H551" s="556">
        <v>74.224000000000004</v>
      </c>
      <c r="I551" s="556">
        <v>74.48</v>
      </c>
      <c r="J551" s="556">
        <v>74.117000000000004</v>
      </c>
    </row>
    <row r="552" spans="2:10" ht="16.5" thickBot="1" x14ac:dyDescent="0.3">
      <c r="B552" s="544">
        <v>44430</v>
      </c>
      <c r="C552" s="361">
        <v>8</v>
      </c>
      <c r="D552" s="555" t="s">
        <v>188</v>
      </c>
      <c r="E552" s="555">
        <v>22</v>
      </c>
      <c r="F552" s="555">
        <v>2021</v>
      </c>
      <c r="G552" s="556">
        <v>73.47</v>
      </c>
      <c r="H552" s="556">
        <v>74.274000000000001</v>
      </c>
      <c r="I552" s="556">
        <v>74.308999999999997</v>
      </c>
      <c r="J552" s="556">
        <v>73.454999999999998</v>
      </c>
    </row>
    <row r="553" spans="2:10" ht="16.5" thickBot="1" x14ac:dyDescent="0.3">
      <c r="B553" s="544">
        <v>44437</v>
      </c>
      <c r="C553" s="361">
        <v>8</v>
      </c>
      <c r="D553" s="555" t="s">
        <v>188</v>
      </c>
      <c r="E553" s="555">
        <v>29</v>
      </c>
      <c r="F553" s="555">
        <v>2021</v>
      </c>
      <c r="G553" s="556">
        <v>72.981999999999999</v>
      </c>
      <c r="H553" s="556">
        <v>73.450999999999993</v>
      </c>
      <c r="I553" s="556">
        <v>73.563000000000002</v>
      </c>
      <c r="J553" s="556">
        <v>72.906999999999996</v>
      </c>
    </row>
    <row r="554" spans="2:10" ht="16.5" thickBot="1" x14ac:dyDescent="0.3">
      <c r="B554" s="544">
        <v>44444</v>
      </c>
      <c r="C554" s="16">
        <v>9</v>
      </c>
      <c r="D554" s="555" t="s">
        <v>187</v>
      </c>
      <c r="E554" s="555">
        <v>5</v>
      </c>
      <c r="F554" s="555">
        <v>2021</v>
      </c>
      <c r="G554" s="556">
        <v>73.516999999999996</v>
      </c>
      <c r="H554" s="556">
        <v>73.02</v>
      </c>
      <c r="I554" s="556">
        <v>73.873999999999995</v>
      </c>
      <c r="J554" s="556">
        <v>72.986999999999995</v>
      </c>
    </row>
    <row r="555" spans="2:10" ht="16.5" thickBot="1" x14ac:dyDescent="0.3">
      <c r="B555" s="544">
        <v>44451</v>
      </c>
      <c r="C555" s="16">
        <v>9</v>
      </c>
      <c r="D555" s="555" t="s">
        <v>187</v>
      </c>
      <c r="E555" s="555">
        <v>12</v>
      </c>
      <c r="F555" s="555">
        <v>2021</v>
      </c>
      <c r="G555" s="556">
        <v>73.64</v>
      </c>
      <c r="H555" s="556">
        <v>73.564999999999998</v>
      </c>
      <c r="I555" s="556">
        <v>73.790000000000006</v>
      </c>
      <c r="J555" s="556">
        <v>73.334999999999994</v>
      </c>
    </row>
    <row r="556" spans="2:10" ht="16.5" thickBot="1" x14ac:dyDescent="0.3">
      <c r="B556" s="544">
        <v>44458</v>
      </c>
      <c r="C556" s="16">
        <v>9</v>
      </c>
      <c r="D556" s="555" t="s">
        <v>187</v>
      </c>
      <c r="E556" s="555">
        <v>19</v>
      </c>
      <c r="F556" s="555">
        <v>2021</v>
      </c>
      <c r="G556" s="556">
        <v>73.813000000000002</v>
      </c>
      <c r="H556" s="556">
        <v>73.846999999999994</v>
      </c>
      <c r="I556" s="556">
        <v>73.935000000000002</v>
      </c>
      <c r="J556" s="556">
        <v>73.555000000000007</v>
      </c>
    </row>
    <row r="557" spans="2:10" ht="16.5" thickBot="1" x14ac:dyDescent="0.3">
      <c r="B557" s="544">
        <v>44465</v>
      </c>
      <c r="C557" s="16">
        <v>9</v>
      </c>
      <c r="D557" s="555" t="s">
        <v>187</v>
      </c>
      <c r="E557" s="555">
        <v>26</v>
      </c>
      <c r="F557" s="555">
        <v>2021</v>
      </c>
      <c r="G557" s="556">
        <v>74.131</v>
      </c>
      <c r="H557" s="556">
        <v>73.69</v>
      </c>
      <c r="I557" s="556">
        <v>74.376000000000005</v>
      </c>
      <c r="J557" s="556">
        <v>73.61</v>
      </c>
    </row>
    <row r="558" spans="2:10" ht="16.5" thickBot="1" x14ac:dyDescent="0.3">
      <c r="B558" s="544">
        <v>44472</v>
      </c>
      <c r="C558" s="16">
        <v>10</v>
      </c>
      <c r="D558" s="555" t="s">
        <v>186</v>
      </c>
      <c r="E558" s="555">
        <v>3</v>
      </c>
      <c r="F558" s="555">
        <v>2021</v>
      </c>
      <c r="G558" s="556">
        <v>75.111999999999995</v>
      </c>
      <c r="H558" s="556">
        <v>74.144999999999996</v>
      </c>
      <c r="I558" s="556">
        <v>75.183000000000007</v>
      </c>
      <c r="J558" s="556">
        <v>74.12</v>
      </c>
    </row>
    <row r="559" spans="2:10" ht="16.5" thickBot="1" x14ac:dyDescent="0.3">
      <c r="B559" s="544">
        <v>44479</v>
      </c>
      <c r="C559" s="16">
        <v>10</v>
      </c>
      <c r="D559" s="555" t="s">
        <v>186</v>
      </c>
      <c r="E559" s="555">
        <v>10</v>
      </c>
      <c r="F559" s="555">
        <v>2021</v>
      </c>
      <c r="G559" s="556">
        <v>75.013000000000005</v>
      </c>
      <c r="H559" s="556">
        <v>75.125</v>
      </c>
      <c r="I559" s="556">
        <v>75.683000000000007</v>
      </c>
      <c r="J559" s="556">
        <v>74.881</v>
      </c>
    </row>
    <row r="560" spans="2:10" ht="15.75" x14ac:dyDescent="0.25">
      <c r="B560" s="544">
        <v>44486</v>
      </c>
      <c r="C560" s="16">
        <v>10</v>
      </c>
      <c r="D560" s="557" t="s">
        <v>186</v>
      </c>
      <c r="E560" s="558">
        <v>17</v>
      </c>
      <c r="F560" s="558">
        <v>2021</v>
      </c>
      <c r="G560" s="559">
        <v>75.313000000000002</v>
      </c>
      <c r="H560" s="559">
        <v>75.034000000000006</v>
      </c>
      <c r="I560" s="559">
        <v>75.394000000000005</v>
      </c>
      <c r="J560" s="559">
        <v>75.034000000000006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F19"/>
  <sheetViews>
    <sheetView showGridLines="0" workbookViewId="0">
      <selection activeCell="M13" sqref="M13"/>
    </sheetView>
  </sheetViews>
  <sheetFormatPr defaultRowHeight="15" x14ac:dyDescent="0.25"/>
  <cols>
    <col min="3" max="3" width="13.28515625" customWidth="1"/>
    <col min="4" max="4" width="12.42578125" customWidth="1"/>
    <col min="5" max="5" width="13.28515625" customWidth="1"/>
    <col min="6" max="6" width="21.85546875" customWidth="1"/>
  </cols>
  <sheetData>
    <row r="2" spans="2:6" ht="66.75" customHeight="1" x14ac:dyDescent="0.25">
      <c r="B2" s="6" t="s">
        <v>171</v>
      </c>
      <c r="C2" s="194" t="s">
        <v>173</v>
      </c>
      <c r="D2" s="195" t="s">
        <v>174</v>
      </c>
      <c r="E2" s="194" t="s">
        <v>175</v>
      </c>
      <c r="F2" s="195" t="s">
        <v>176</v>
      </c>
    </row>
    <row r="3" spans="2:6" x14ac:dyDescent="0.25">
      <c r="B3" s="167">
        <v>43922</v>
      </c>
      <c r="C3" s="10">
        <v>28665.382459749999</v>
      </c>
      <c r="D3" s="196">
        <v>49134.617540250001</v>
      </c>
      <c r="E3" s="10">
        <v>64072.811499999989</v>
      </c>
      <c r="F3" s="196">
        <v>46733.188500000011</v>
      </c>
    </row>
    <row r="4" spans="2:6" x14ac:dyDescent="0.25">
      <c r="B4" s="167">
        <v>43952</v>
      </c>
      <c r="C4" s="10">
        <v>25994.381873999995</v>
      </c>
      <c r="D4" s="196">
        <v>51005.618126000001</v>
      </c>
      <c r="E4" s="10">
        <v>48391.062026524989</v>
      </c>
      <c r="F4" s="196">
        <v>62286.937973475011</v>
      </c>
    </row>
    <row r="5" spans="2:6" x14ac:dyDescent="0.25">
      <c r="B5" s="167">
        <v>43983</v>
      </c>
      <c r="C5" s="10">
        <v>25171.852481499995</v>
      </c>
      <c r="D5" s="196">
        <v>52478.147518500002</v>
      </c>
      <c r="E5" s="10">
        <v>55281.404218149997</v>
      </c>
      <c r="F5" s="196">
        <v>55806.595781850003</v>
      </c>
    </row>
    <row r="6" spans="2:6" x14ac:dyDescent="0.25">
      <c r="B6" s="167">
        <v>44013</v>
      </c>
      <c r="C6" s="10">
        <v>27617.335371649995</v>
      </c>
      <c r="D6" s="196">
        <v>51382.664628350001</v>
      </c>
      <c r="E6" s="10">
        <v>60274.243146374996</v>
      </c>
      <c r="F6" s="196">
        <v>54101.756853625004</v>
      </c>
    </row>
    <row r="7" spans="2:6" x14ac:dyDescent="0.25">
      <c r="B7" s="167">
        <v>44044</v>
      </c>
      <c r="C7" s="10">
        <v>26873.324779849998</v>
      </c>
      <c r="D7" s="196">
        <v>52326.675220150006</v>
      </c>
      <c r="E7" s="10">
        <v>58810.431191774995</v>
      </c>
      <c r="F7" s="196">
        <v>60487.568808225005</v>
      </c>
    </row>
    <row r="8" spans="2:6" x14ac:dyDescent="0.25">
      <c r="B8" s="167">
        <v>44075</v>
      </c>
      <c r="C8" s="10">
        <v>26819.948710500001</v>
      </c>
      <c r="D8" s="196">
        <v>54180.051289499999</v>
      </c>
      <c r="E8" s="10">
        <v>61238.120508324995</v>
      </c>
      <c r="F8" s="196">
        <v>59601.879491675005</v>
      </c>
    </row>
    <row r="9" spans="2:6" x14ac:dyDescent="0.25">
      <c r="B9" s="167">
        <v>44105</v>
      </c>
      <c r="C9" s="10">
        <v>27380.644210499995</v>
      </c>
      <c r="D9" s="196">
        <v>52619.355789500005</v>
      </c>
      <c r="E9" s="10">
        <v>59632.970508325001</v>
      </c>
      <c r="F9" s="196">
        <v>60975.029491674999</v>
      </c>
    </row>
    <row r="10" spans="2:6" x14ac:dyDescent="0.25">
      <c r="B10" s="167">
        <v>44136</v>
      </c>
      <c r="C10" s="10">
        <v>26781.711952649999</v>
      </c>
      <c r="D10" s="196">
        <v>53818.288047349997</v>
      </c>
      <c r="E10" s="10">
        <v>59536.235309224998</v>
      </c>
      <c r="F10" s="196">
        <v>64281.764690775002</v>
      </c>
    </row>
    <row r="11" spans="2:6" x14ac:dyDescent="0.25">
      <c r="B11" s="167">
        <v>44166</v>
      </c>
      <c r="C11" s="10">
        <v>28646.349872812494</v>
      </c>
      <c r="D11" s="196">
        <v>57033.650127187502</v>
      </c>
      <c r="E11" s="10">
        <v>70515.415791024992</v>
      </c>
      <c r="F11" s="196">
        <v>63314.584208975008</v>
      </c>
    </row>
    <row r="12" spans="2:6" x14ac:dyDescent="0.25">
      <c r="B12" s="167">
        <v>44197</v>
      </c>
      <c r="C12" s="10">
        <v>30616.502126299998</v>
      </c>
      <c r="D12" s="196">
        <v>48463.497873700006</v>
      </c>
      <c r="E12" s="10">
        <v>74821.620830224987</v>
      </c>
      <c r="F12" s="196">
        <v>49642.379169775013</v>
      </c>
    </row>
    <row r="13" spans="2:6" x14ac:dyDescent="0.25">
      <c r="B13" s="167">
        <v>44228</v>
      </c>
      <c r="C13" s="10">
        <v>32263.221204249996</v>
      </c>
      <c r="D13" s="196">
        <v>53126.778795750004</v>
      </c>
      <c r="E13" s="10">
        <v>78184.508322374997</v>
      </c>
      <c r="F13" s="196">
        <v>58427.491677625003</v>
      </c>
    </row>
    <row r="14" spans="2:6" x14ac:dyDescent="0.25">
      <c r="B14" s="167">
        <v>44256</v>
      </c>
      <c r="C14" s="10">
        <v>33744.251834549999</v>
      </c>
      <c r="D14" s="196">
        <v>70445.748165450001</v>
      </c>
      <c r="E14" s="10">
        <v>86502.054210249989</v>
      </c>
      <c r="F14" s="196">
        <v>80327.945789750011</v>
      </c>
    </row>
    <row r="15" spans="2:6" x14ac:dyDescent="0.25">
      <c r="B15" s="167">
        <v>44287</v>
      </c>
      <c r="C15" s="10">
        <v>31755.099525072103</v>
      </c>
      <c r="D15" s="196">
        <v>69924.900474927897</v>
      </c>
      <c r="E15" s="10">
        <v>90616.288502099982</v>
      </c>
      <c r="F15" s="196">
        <v>74027.711497900018</v>
      </c>
    </row>
    <row r="16" spans="2:6" x14ac:dyDescent="0.25">
      <c r="B16" s="167">
        <v>44317</v>
      </c>
      <c r="C16" s="10">
        <v>30428.744422622105</v>
      </c>
      <c r="D16" s="196">
        <v>73831.255577377888</v>
      </c>
      <c r="E16" s="10">
        <v>99337.040480874988</v>
      </c>
      <c r="F16" s="196">
        <v>69404.959519125012</v>
      </c>
    </row>
    <row r="17" spans="2:6" x14ac:dyDescent="0.25">
      <c r="B17" s="167">
        <v>44348</v>
      </c>
      <c r="C17" s="10">
        <v>33036.451932822099</v>
      </c>
      <c r="D17" s="196">
        <v>72773.548067177908</v>
      </c>
      <c r="E17" s="10">
        <v>102937.56783829999</v>
      </c>
      <c r="F17" s="196">
        <v>61912.43216170001</v>
      </c>
    </row>
    <row r="18" spans="2:6" x14ac:dyDescent="0.25">
      <c r="B18" s="167">
        <v>44378</v>
      </c>
      <c r="C18" s="10">
        <v>35741.741837422109</v>
      </c>
      <c r="D18" s="196">
        <v>79008.258162577898</v>
      </c>
      <c r="E18" s="10">
        <v>104303.125233225</v>
      </c>
      <c r="F18" s="196">
        <v>54384.874766774999</v>
      </c>
    </row>
    <row r="19" spans="2:6" x14ac:dyDescent="0.25">
      <c r="B19" s="167">
        <v>44409</v>
      </c>
      <c r="C19" s="10">
        <v>35909.426097422103</v>
      </c>
      <c r="D19" s="196">
        <v>85020.573902577889</v>
      </c>
      <c r="E19" s="10">
        <v>109088.45953397499</v>
      </c>
      <c r="F19" s="196">
        <v>51813.540466025006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D1:J20"/>
  <sheetViews>
    <sheetView workbookViewId="0">
      <selection activeCell="M13" sqref="M13"/>
    </sheetView>
  </sheetViews>
  <sheetFormatPr defaultRowHeight="15" x14ac:dyDescent="0.25"/>
  <cols>
    <col min="5" max="5" width="12.140625" customWidth="1"/>
    <col min="6" max="6" width="23.7109375" bestFit="1" customWidth="1"/>
    <col min="7" max="7" width="14.5703125" bestFit="1" customWidth="1"/>
  </cols>
  <sheetData>
    <row r="1" spans="4:10" ht="15.75" x14ac:dyDescent="0.25">
      <c r="D1" s="168" t="s">
        <v>139</v>
      </c>
      <c r="E1" s="173" t="s">
        <v>126</v>
      </c>
      <c r="F1" s="183" t="s">
        <v>160</v>
      </c>
      <c r="G1" t="s">
        <v>164</v>
      </c>
      <c r="H1" s="6">
        <v>0</v>
      </c>
      <c r="I1" s="6">
        <v>0.71068148381707008</v>
      </c>
      <c r="J1" s="6">
        <v>0.92341222206205587</v>
      </c>
    </row>
    <row r="2" spans="4:10" ht="15.75" x14ac:dyDescent="0.25">
      <c r="D2" s="178">
        <v>37400</v>
      </c>
      <c r="E2" s="174">
        <v>45898</v>
      </c>
      <c r="F2" s="183">
        <v>77800</v>
      </c>
      <c r="G2" s="184">
        <f t="shared" ref="G2:G18" si="0">$H$1+D2*$I$1+E2*$J$1</f>
        <v>68962.261662962657</v>
      </c>
      <c r="H2" s="185">
        <f>(F2-G2)/F2</f>
        <v>0.11359560844521006</v>
      </c>
    </row>
    <row r="3" spans="4:10" ht="15.75" x14ac:dyDescent="0.25">
      <c r="D3" s="178">
        <v>24900</v>
      </c>
      <c r="E3" s="175">
        <v>36484.664299999997</v>
      </c>
      <c r="F3" s="183">
        <v>77000</v>
      </c>
      <c r="G3" s="184">
        <f t="shared" si="0"/>
        <v>51386.353879496208</v>
      </c>
      <c r="H3" s="185">
        <f t="shared" ref="H3:H18" si="1">(F3-G3)/F3</f>
        <v>0.33264475481173755</v>
      </c>
    </row>
    <row r="4" spans="4:10" ht="15.75" x14ac:dyDescent="0.25">
      <c r="D4" s="178">
        <v>30300</v>
      </c>
      <c r="E4" s="176">
        <v>40791.653799999993</v>
      </c>
      <c r="F4" s="183">
        <v>77650</v>
      </c>
      <c r="G4" s="184">
        <f t="shared" si="0"/>
        <v>59201.16063670133</v>
      </c>
      <c r="H4" s="185">
        <f t="shared" si="1"/>
        <v>0.2375896891603177</v>
      </c>
    </row>
    <row r="5" spans="4:10" ht="15.75" x14ac:dyDescent="0.25">
      <c r="D5" s="178">
        <v>33900</v>
      </c>
      <c r="E5" s="176">
        <v>44491.786500000002</v>
      </c>
      <c r="F5" s="183">
        <v>79000</v>
      </c>
      <c r="G5" s="184">
        <f t="shared" si="0"/>
        <v>65176.361736874256</v>
      </c>
      <c r="H5" s="185">
        <f t="shared" si="1"/>
        <v>0.1749827628243765</v>
      </c>
    </row>
    <row r="6" spans="4:10" ht="15.75" x14ac:dyDescent="0.25">
      <c r="D6" s="178">
        <v>33100</v>
      </c>
      <c r="E6" s="176">
        <v>42934.107300000003</v>
      </c>
      <c r="F6" s="183">
        <v>79200</v>
      </c>
      <c r="G6" s="184">
        <f t="shared" si="0"/>
        <v>63169.43653848875</v>
      </c>
      <c r="H6" s="185">
        <f t="shared" si="1"/>
        <v>0.20240610431201073</v>
      </c>
    </row>
    <row r="7" spans="4:10" ht="15.75" x14ac:dyDescent="0.25">
      <c r="D7" s="178">
        <v>34400</v>
      </c>
      <c r="E7" s="176">
        <v>45567.037900000003</v>
      </c>
      <c r="F7" s="183">
        <v>81000</v>
      </c>
      <c r="G7" s="184">
        <f t="shared" si="0"/>
        <v>66524.602763332136</v>
      </c>
      <c r="H7" s="185">
        <f t="shared" si="1"/>
        <v>0.1787086078600971</v>
      </c>
    </row>
    <row r="8" spans="4:10" ht="15.75" x14ac:dyDescent="0.25">
      <c r="D8" s="178">
        <v>32600</v>
      </c>
      <c r="E8" s="176">
        <v>45567.037900000003</v>
      </c>
      <c r="F8" s="183">
        <v>80000</v>
      </c>
      <c r="G8" s="184">
        <f t="shared" si="0"/>
        <v>65245.376092461403</v>
      </c>
      <c r="H8" s="185">
        <f t="shared" si="1"/>
        <v>0.18443279884423247</v>
      </c>
    </row>
    <row r="9" spans="4:10" ht="15.75" x14ac:dyDescent="0.25">
      <c r="D9" s="178">
        <v>32500</v>
      </c>
      <c r="E9" s="176">
        <v>45551.344700000001</v>
      </c>
      <c r="F9" s="183">
        <v>80600</v>
      </c>
      <c r="G9" s="184">
        <f t="shared" si="0"/>
        <v>65159.816651396432</v>
      </c>
      <c r="H9" s="185">
        <f t="shared" si="1"/>
        <v>0.19156555023081351</v>
      </c>
    </row>
    <row r="10" spans="4:10" ht="15.75" x14ac:dyDescent="0.25">
      <c r="D10" s="178">
        <v>40800</v>
      </c>
      <c r="E10" s="176">
        <v>52977.7183</v>
      </c>
      <c r="F10" s="183">
        <v>85680</v>
      </c>
      <c r="G10" s="184">
        <f t="shared" si="0"/>
        <v>77916.077114917105</v>
      </c>
      <c r="H10" s="185">
        <f t="shared" si="1"/>
        <v>9.0615346464552923E-2</v>
      </c>
    </row>
    <row r="11" spans="4:10" ht="15.75" x14ac:dyDescent="0.25">
      <c r="D11" s="178">
        <v>47900</v>
      </c>
      <c r="E11" s="174">
        <v>48773.8367</v>
      </c>
      <c r="F11" s="183">
        <v>79080</v>
      </c>
      <c r="G11" s="184">
        <f t="shared" si="0"/>
        <v>79080.000000476517</v>
      </c>
      <c r="H11" s="185">
        <f t="shared" si="1"/>
        <v>-6.0257589285293488E-12</v>
      </c>
    </row>
    <row r="12" spans="4:10" ht="15.75" x14ac:dyDescent="0.25">
      <c r="D12" s="178">
        <v>48900</v>
      </c>
      <c r="E12" s="174">
        <v>53903.338499999998</v>
      </c>
      <c r="F12" s="183">
        <v>85390</v>
      </c>
      <c r="G12" s="184">
        <f t="shared" si="0"/>
        <v>84527.326139502897</v>
      </c>
      <c r="H12" s="185">
        <f t="shared" si="1"/>
        <v>1.0102750444983058E-2</v>
      </c>
    </row>
    <row r="13" spans="4:10" ht="15.75" x14ac:dyDescent="0.25">
      <c r="D13" s="178">
        <v>57200</v>
      </c>
      <c r="E13" s="174">
        <v>55804.783000000003</v>
      </c>
      <c r="F13" s="183">
        <v>104190</v>
      </c>
      <c r="G13" s="184">
        <f t="shared" si="0"/>
        <v>92181.799546057257</v>
      </c>
      <c r="H13" s="185">
        <f t="shared" si="1"/>
        <v>0.11525290770652408</v>
      </c>
    </row>
    <row r="14" spans="4:10" ht="15.75" x14ac:dyDescent="0.25">
      <c r="D14" s="178">
        <v>62200</v>
      </c>
      <c r="E14" s="180">
        <v>55089.6492</v>
      </c>
      <c r="F14" s="183">
        <v>101680</v>
      </c>
      <c r="G14" s="184">
        <f t="shared" si="0"/>
        <v>95074.843673812924</v>
      </c>
      <c r="H14" s="185">
        <f t="shared" si="1"/>
        <v>6.4960231374774552E-2</v>
      </c>
    </row>
    <row r="15" spans="4:10" ht="15.75" x14ac:dyDescent="0.25">
      <c r="D15" s="178">
        <v>70100</v>
      </c>
      <c r="E15" s="174">
        <v>58568.480499999998</v>
      </c>
      <c r="F15" s="183">
        <v>104260</v>
      </c>
      <c r="G15" s="184">
        <f t="shared" si="0"/>
        <v>103901.6227368798</v>
      </c>
      <c r="H15" s="185">
        <f t="shared" si="1"/>
        <v>3.4373418676405232E-3</v>
      </c>
    </row>
    <row r="16" spans="4:10" ht="15.75" x14ac:dyDescent="0.25">
      <c r="D16" s="178">
        <v>75100</v>
      </c>
      <c r="E16" s="176">
        <v>56787.011599999998</v>
      </c>
      <c r="F16" s="183">
        <v>105810</v>
      </c>
      <c r="G16" s="184">
        <f t="shared" si="0"/>
        <v>105810.0000004817</v>
      </c>
      <c r="H16" s="185">
        <f t="shared" si="1"/>
        <v>-4.552476116523954E-12</v>
      </c>
    </row>
    <row r="17" spans="4:8" ht="15.75" x14ac:dyDescent="0.25">
      <c r="D17" s="178">
        <v>71430</v>
      </c>
      <c r="E17" s="180">
        <v>66414.992700000003</v>
      </c>
      <c r="F17" s="183">
        <v>114750</v>
      </c>
      <c r="G17" s="184">
        <f t="shared" si="0"/>
        <v>112092.39437639553</v>
      </c>
      <c r="H17" s="185">
        <f t="shared" si="1"/>
        <v>2.3159961861476844E-2</v>
      </c>
    </row>
    <row r="18" spans="4:8" ht="15.75" x14ac:dyDescent="0.25">
      <c r="D18" s="178">
        <v>78990</v>
      </c>
      <c r="E18" s="176">
        <v>62354.181700000001</v>
      </c>
      <c r="F18" s="183">
        <v>120930</v>
      </c>
      <c r="G18" s="184">
        <f t="shared" si="0"/>
        <v>113715.34388516855</v>
      </c>
      <c r="H18" s="185">
        <f t="shared" si="1"/>
        <v>5.9659771064512118E-2</v>
      </c>
    </row>
    <row r="19" spans="4:8" ht="15.75" x14ac:dyDescent="0.25">
      <c r="D19" s="178"/>
      <c r="E19" s="174"/>
      <c r="F19" s="183"/>
      <c r="H19" s="186"/>
    </row>
    <row r="20" spans="4:8" x14ac:dyDescent="0.25">
      <c r="D20" s="179"/>
      <c r="E20" s="170"/>
      <c r="F20" s="17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3:AI21"/>
  <sheetViews>
    <sheetView workbookViewId="0">
      <pane xSplit="3" topLeftCell="D1" activePane="topRight" state="frozen"/>
      <selection pane="topRight" activeCell="J20" sqref="J20"/>
    </sheetView>
  </sheetViews>
  <sheetFormatPr defaultRowHeight="15" x14ac:dyDescent="0.25"/>
  <cols>
    <col min="2" max="2" width="31.28515625" bestFit="1" customWidth="1"/>
    <col min="8" max="8" width="12" bestFit="1" customWidth="1"/>
    <col min="13" max="15" width="9.5703125" bestFit="1" customWidth="1"/>
    <col min="16" max="16" width="9.7109375" bestFit="1" customWidth="1"/>
    <col min="17" max="17" width="10.28515625" bestFit="1" customWidth="1"/>
    <col min="20" max="20" width="9.7109375" bestFit="1" customWidth="1"/>
    <col min="25" max="25" width="29.42578125" bestFit="1" customWidth="1"/>
  </cols>
  <sheetData>
    <row r="3" spans="2:35" ht="60" x14ac:dyDescent="0.25">
      <c r="B3" s="2" t="s">
        <v>170</v>
      </c>
      <c r="C3" t="s">
        <v>80</v>
      </c>
      <c r="D3" s="187">
        <v>43922</v>
      </c>
      <c r="E3" s="187">
        <v>43952</v>
      </c>
      <c r="F3" s="187">
        <v>43983</v>
      </c>
      <c r="G3" s="187">
        <v>44013</v>
      </c>
      <c r="H3" s="187">
        <v>44044</v>
      </c>
      <c r="I3" s="187">
        <v>44075</v>
      </c>
      <c r="J3" s="187">
        <v>44105</v>
      </c>
      <c r="K3" s="187">
        <v>44136</v>
      </c>
      <c r="L3" s="187">
        <v>44166</v>
      </c>
      <c r="M3" s="187">
        <v>44197</v>
      </c>
      <c r="N3" s="187">
        <v>44228</v>
      </c>
      <c r="O3" s="187">
        <v>44256</v>
      </c>
      <c r="P3" s="187">
        <v>44287</v>
      </c>
      <c r="Q3" s="187">
        <v>44317</v>
      </c>
      <c r="R3" s="187">
        <v>44348</v>
      </c>
      <c r="S3" s="187">
        <v>44378</v>
      </c>
      <c r="T3" s="187">
        <v>44409</v>
      </c>
      <c r="U3" s="187">
        <v>44440</v>
      </c>
      <c r="X3" s="2" t="s">
        <v>170</v>
      </c>
      <c r="Y3" s="191" t="s">
        <v>165</v>
      </c>
      <c r="Z3" s="191" t="s">
        <v>167</v>
      </c>
      <c r="AA3" s="191" t="s">
        <v>168</v>
      </c>
      <c r="AB3" s="191" t="s">
        <v>169</v>
      </c>
      <c r="AC3" s="168" t="s">
        <v>139</v>
      </c>
      <c r="AD3" s="168" t="s">
        <v>140</v>
      </c>
      <c r="AE3" s="168" t="s">
        <v>141</v>
      </c>
      <c r="AF3" s="168" t="s">
        <v>142</v>
      </c>
      <c r="AG3" s="168" t="s">
        <v>143</v>
      </c>
      <c r="AH3" s="173" t="s">
        <v>11</v>
      </c>
      <c r="AI3" s="173" t="s">
        <v>126</v>
      </c>
    </row>
    <row r="4" spans="2:35" x14ac:dyDescent="0.25">
      <c r="B4" s="191" t="s">
        <v>165</v>
      </c>
      <c r="C4" s="188" t="s">
        <v>166</v>
      </c>
      <c r="D4" s="189">
        <v>477.02999840920995</v>
      </c>
      <c r="E4" s="190">
        <v>477.02999790291602</v>
      </c>
      <c r="F4" s="190">
        <v>477.03000077219451</v>
      </c>
      <c r="G4" s="190">
        <v>477.03000037280378</v>
      </c>
      <c r="H4" s="190">
        <v>477.02999933584101</v>
      </c>
      <c r="I4" s="190">
        <v>477.02999933584061</v>
      </c>
      <c r="J4" s="190">
        <v>477.02999933584061</v>
      </c>
      <c r="K4" s="190">
        <v>477.0299987228392</v>
      </c>
      <c r="L4" s="190">
        <v>477.03000120117383</v>
      </c>
      <c r="M4" s="190">
        <v>446.04724461052189</v>
      </c>
      <c r="N4" s="190">
        <v>477.02999818766585</v>
      </c>
      <c r="O4" s="190">
        <v>293.71076839145502</v>
      </c>
      <c r="P4" s="190">
        <v>475.88662705284202</v>
      </c>
      <c r="Q4" s="190">
        <v>478.95501965343499</v>
      </c>
      <c r="R4" s="190">
        <v>480.49000132314575</v>
      </c>
      <c r="S4" s="190">
        <v>480.48999878357478</v>
      </c>
      <c r="T4" s="190">
        <v>480.48999950975451</v>
      </c>
      <c r="U4" s="6"/>
      <c r="X4" s="187">
        <v>43922</v>
      </c>
      <c r="Y4" s="189">
        <v>477.02999840920995</v>
      </c>
      <c r="Z4" s="189">
        <v>37784.998308337883</v>
      </c>
      <c r="AA4" s="189">
        <v>32784.628295400267</v>
      </c>
      <c r="AB4" s="189">
        <v>33900.560574137475</v>
      </c>
      <c r="AC4" s="178">
        <v>37400</v>
      </c>
      <c r="AD4" s="178">
        <v>50100</v>
      </c>
      <c r="AE4" s="178">
        <v>30300</v>
      </c>
      <c r="AF4" s="178">
        <v>14400</v>
      </c>
      <c r="AG4" s="178">
        <v>25000</v>
      </c>
      <c r="AH4" s="174">
        <v>49460</v>
      </c>
      <c r="AI4" s="174">
        <v>45898</v>
      </c>
    </row>
    <row r="5" spans="2:35" x14ac:dyDescent="0.25">
      <c r="B5" s="191" t="s">
        <v>167</v>
      </c>
      <c r="C5" s="188" t="s">
        <v>13</v>
      </c>
      <c r="D5" s="189">
        <v>37784.998308337883</v>
      </c>
      <c r="E5" s="190">
        <v>37784.996301680258</v>
      </c>
      <c r="F5" s="190">
        <v>37784.998907934096</v>
      </c>
      <c r="G5" s="190">
        <v>37784.997456901881</v>
      </c>
      <c r="H5" s="190">
        <v>37785.003169458498</v>
      </c>
      <c r="I5" s="190">
        <v>37785.003169458461</v>
      </c>
      <c r="J5" s="190">
        <v>37785.003169458461</v>
      </c>
      <c r="K5" s="190">
        <v>37784.998609567294</v>
      </c>
      <c r="L5" s="190">
        <v>37785.002735010901</v>
      </c>
      <c r="M5" s="189">
        <v>37720.380794380078</v>
      </c>
      <c r="N5" s="190">
        <v>37785.001352562213</v>
      </c>
      <c r="O5" s="190">
        <v>37686.658768706198</v>
      </c>
      <c r="P5" s="190">
        <v>31629.117950505599</v>
      </c>
      <c r="Q5" s="190">
        <v>31505.489857663801</v>
      </c>
      <c r="R5" s="190">
        <v>31477.838423220976</v>
      </c>
      <c r="S5" s="190">
        <v>31477.840031723819</v>
      </c>
      <c r="T5" s="190">
        <v>31477.838852560784</v>
      </c>
      <c r="U5" s="6"/>
      <c r="X5" s="187">
        <v>43952</v>
      </c>
      <c r="Y5" s="190">
        <v>477.02999790291602</v>
      </c>
      <c r="Z5" s="190">
        <v>37784.996301680258</v>
      </c>
      <c r="AA5" s="190">
        <v>32784.682618962339</v>
      </c>
      <c r="AB5" s="190">
        <v>33901.738979621332</v>
      </c>
      <c r="AC5" s="178">
        <v>24900</v>
      </c>
      <c r="AD5" s="178">
        <v>28400</v>
      </c>
      <c r="AE5" s="178">
        <v>20000</v>
      </c>
      <c r="AF5" s="178">
        <v>10800</v>
      </c>
      <c r="AG5" s="178">
        <v>19100</v>
      </c>
      <c r="AH5" s="175">
        <v>43795.099499999997</v>
      </c>
      <c r="AI5" s="175">
        <v>36484.664299999997</v>
      </c>
    </row>
    <row r="6" spans="2:35" x14ac:dyDescent="0.25">
      <c r="B6" s="191" t="s">
        <v>168</v>
      </c>
      <c r="C6" s="188" t="s">
        <v>13</v>
      </c>
      <c r="D6" s="189">
        <v>32784.628295400267</v>
      </c>
      <c r="E6" s="190">
        <v>32784.682618962339</v>
      </c>
      <c r="F6" s="190">
        <v>32784.66321561837</v>
      </c>
      <c r="G6" s="190">
        <v>32784.644753696739</v>
      </c>
      <c r="H6" s="190">
        <v>32784.650000057853</v>
      </c>
      <c r="I6" s="190">
        <v>32784.650000057853</v>
      </c>
      <c r="J6" s="190">
        <v>32784.650000057853</v>
      </c>
      <c r="K6" s="190">
        <v>32784.662094583211</v>
      </c>
      <c r="L6" s="190">
        <v>32784.673123870241</v>
      </c>
      <c r="M6" s="190">
        <v>32890.269765842815</v>
      </c>
      <c r="N6" s="190">
        <v>32784.641954149178</v>
      </c>
      <c r="O6" s="190">
        <v>32954.092846983003</v>
      </c>
      <c r="P6" s="190">
        <v>31880.030121968</v>
      </c>
      <c r="Q6" s="190">
        <v>31773.603629868601</v>
      </c>
      <c r="R6" s="190">
        <v>31613.762096553208</v>
      </c>
      <c r="S6" s="190">
        <v>31613.758425929038</v>
      </c>
      <c r="T6" s="190">
        <v>31613.76238850132</v>
      </c>
      <c r="U6" s="6"/>
      <c r="X6" s="187">
        <v>43983</v>
      </c>
      <c r="Y6" s="190">
        <v>477.03000077219451</v>
      </c>
      <c r="Z6" s="190">
        <v>37784.998907934096</v>
      </c>
      <c r="AA6" s="190">
        <v>32784.66321561837</v>
      </c>
      <c r="AB6" s="190">
        <v>33901.437255504352</v>
      </c>
      <c r="AC6" s="178">
        <v>30300</v>
      </c>
      <c r="AD6" s="178">
        <v>21600</v>
      </c>
      <c r="AE6" s="178">
        <v>25600</v>
      </c>
      <c r="AF6" s="178">
        <v>14100</v>
      </c>
      <c r="AG6" s="178">
        <v>25000</v>
      </c>
      <c r="AH6" s="176">
        <v>42050.604499999994</v>
      </c>
      <c r="AI6" s="176">
        <v>40791.653799999993</v>
      </c>
    </row>
    <row r="7" spans="2:35" x14ac:dyDescent="0.25">
      <c r="B7" s="191" t="s">
        <v>169</v>
      </c>
      <c r="C7" s="188" t="s">
        <v>13</v>
      </c>
      <c r="D7" s="189">
        <v>33900.560574137475</v>
      </c>
      <c r="E7" s="190">
        <v>33901.738979621332</v>
      </c>
      <c r="F7" s="190">
        <v>33901.437255504352</v>
      </c>
      <c r="G7" s="190">
        <v>33901.497037592817</v>
      </c>
      <c r="H7" s="190">
        <v>33901.689999092261</v>
      </c>
      <c r="I7" s="190">
        <v>33901.689999092261</v>
      </c>
      <c r="J7" s="190">
        <v>33901.689999092261</v>
      </c>
      <c r="K7" s="190">
        <v>33901.802870995067</v>
      </c>
      <c r="L7" s="190">
        <v>33901.539351772124</v>
      </c>
      <c r="M7" s="190">
        <v>33592.027306653428</v>
      </c>
      <c r="N7" s="190">
        <v>33901.801759617003</v>
      </c>
      <c r="O7" s="190">
        <v>33432.881492129702</v>
      </c>
      <c r="P7" s="190">
        <v>30426.501429242599</v>
      </c>
      <c r="Q7" s="190">
        <v>30302.8782349553</v>
      </c>
      <c r="R7" s="190">
        <v>30710.184878913173</v>
      </c>
      <c r="S7" s="190">
        <v>30710.491752736238</v>
      </c>
      <c r="T7" s="190">
        <v>30710.334612144194</v>
      </c>
      <c r="U7" s="6"/>
      <c r="X7" s="187">
        <v>44013</v>
      </c>
      <c r="Y7" s="190">
        <v>477.03000037280378</v>
      </c>
      <c r="Z7" s="190">
        <v>37784.997456901881</v>
      </c>
      <c r="AA7" s="190">
        <v>32784.644753696739</v>
      </c>
      <c r="AB7" s="190">
        <v>33901.497037592817</v>
      </c>
      <c r="AC7" s="178">
        <v>33900</v>
      </c>
      <c r="AD7" s="178">
        <v>22700</v>
      </c>
      <c r="AE7" s="178">
        <v>36800</v>
      </c>
      <c r="AF7" s="178">
        <v>18300</v>
      </c>
      <c r="AG7" s="178">
        <v>31800</v>
      </c>
      <c r="AH7" s="176">
        <v>47237.206599999998</v>
      </c>
      <c r="AI7" s="176">
        <v>44491.786500000002</v>
      </c>
    </row>
    <row r="8" spans="2:35" x14ac:dyDescent="0.25">
      <c r="B8" s="168" t="s">
        <v>139</v>
      </c>
      <c r="C8" s="188" t="s">
        <v>13</v>
      </c>
      <c r="D8" s="178">
        <v>37400</v>
      </c>
      <c r="E8" s="178">
        <v>24900</v>
      </c>
      <c r="F8" s="178">
        <v>30300</v>
      </c>
      <c r="G8" s="178">
        <v>33900</v>
      </c>
      <c r="H8" s="178">
        <v>33100</v>
      </c>
      <c r="I8" s="178">
        <v>34400</v>
      </c>
      <c r="J8" s="178">
        <v>32600</v>
      </c>
      <c r="K8" s="178">
        <v>32500</v>
      </c>
      <c r="L8" s="178">
        <v>40800</v>
      </c>
      <c r="M8" s="178">
        <v>47900</v>
      </c>
      <c r="N8" s="178">
        <v>48900</v>
      </c>
      <c r="O8" s="178">
        <v>57200</v>
      </c>
      <c r="P8" s="178">
        <v>62200</v>
      </c>
      <c r="Q8" s="178">
        <v>70100</v>
      </c>
      <c r="R8" s="178">
        <v>75100</v>
      </c>
      <c r="S8" s="178">
        <v>71430</v>
      </c>
      <c r="T8" s="178">
        <v>78990</v>
      </c>
      <c r="U8" s="6"/>
      <c r="X8" s="187">
        <v>44044</v>
      </c>
      <c r="Y8" s="190">
        <v>477.02999933584101</v>
      </c>
      <c r="Z8" s="190">
        <v>37785.003169458498</v>
      </c>
      <c r="AA8" s="190">
        <v>32784.650000057853</v>
      </c>
      <c r="AB8" s="190">
        <v>33901.689999092261</v>
      </c>
      <c r="AC8" s="178">
        <v>33100</v>
      </c>
      <c r="AD8" s="178">
        <v>28600</v>
      </c>
      <c r="AE8" s="178">
        <v>39400</v>
      </c>
      <c r="AF8" s="178">
        <v>20100</v>
      </c>
      <c r="AG8" s="178">
        <v>33800</v>
      </c>
      <c r="AH8" s="176">
        <v>45659.241399999999</v>
      </c>
      <c r="AI8" s="176">
        <v>42934.107300000003</v>
      </c>
    </row>
    <row r="9" spans="2:35" x14ac:dyDescent="0.25">
      <c r="B9" s="168" t="s">
        <v>140</v>
      </c>
      <c r="C9" s="188" t="s">
        <v>13</v>
      </c>
      <c r="D9" s="178">
        <v>50100</v>
      </c>
      <c r="E9" s="178">
        <v>28400</v>
      </c>
      <c r="F9" s="178">
        <v>21600</v>
      </c>
      <c r="G9" s="178">
        <v>22700</v>
      </c>
      <c r="H9" s="178">
        <v>28600</v>
      </c>
      <c r="I9" s="178">
        <v>40200</v>
      </c>
      <c r="J9" s="178">
        <v>50700</v>
      </c>
      <c r="K9" s="178">
        <v>66900</v>
      </c>
      <c r="L9" s="178">
        <v>94800</v>
      </c>
      <c r="M9" s="178">
        <v>86100</v>
      </c>
      <c r="N9" s="178">
        <v>58900</v>
      </c>
      <c r="O9" s="178">
        <v>57400</v>
      </c>
      <c r="P9" s="178">
        <v>80900</v>
      </c>
      <c r="Q9" s="178">
        <v>72100</v>
      </c>
      <c r="R9" s="178">
        <v>73600</v>
      </c>
      <c r="S9" s="178">
        <v>88040</v>
      </c>
      <c r="T9" s="178">
        <v>107190</v>
      </c>
      <c r="U9" s="6"/>
      <c r="X9" s="187">
        <v>44075</v>
      </c>
      <c r="Y9" s="190">
        <v>477.02999933584061</v>
      </c>
      <c r="Z9" s="190">
        <v>37785.003169458461</v>
      </c>
      <c r="AA9" s="190">
        <v>32784.650000057853</v>
      </c>
      <c r="AB9" s="190">
        <v>33901.689999092261</v>
      </c>
      <c r="AC9" s="178">
        <v>34400</v>
      </c>
      <c r="AD9" s="178">
        <v>40200</v>
      </c>
      <c r="AE9" s="178">
        <v>39300</v>
      </c>
      <c r="AF9" s="178">
        <v>21300</v>
      </c>
      <c r="AG9" s="178">
        <v>35100</v>
      </c>
      <c r="AH9" s="176">
        <v>46735.210500000001</v>
      </c>
      <c r="AI9" s="176">
        <v>45567.037900000003</v>
      </c>
    </row>
    <row r="10" spans="2:35" x14ac:dyDescent="0.25">
      <c r="B10" s="168" t="s">
        <v>141</v>
      </c>
      <c r="C10" s="188" t="s">
        <v>13</v>
      </c>
      <c r="D10" s="178">
        <v>30300</v>
      </c>
      <c r="E10" s="178">
        <v>20000</v>
      </c>
      <c r="F10" s="178">
        <v>25600</v>
      </c>
      <c r="G10" s="178">
        <v>36800</v>
      </c>
      <c r="H10" s="178">
        <v>39400</v>
      </c>
      <c r="I10" s="178">
        <v>39300</v>
      </c>
      <c r="J10" s="178">
        <v>38800</v>
      </c>
      <c r="K10" s="178">
        <v>38500</v>
      </c>
      <c r="L10" s="178">
        <v>34300</v>
      </c>
      <c r="M10" s="178">
        <v>37200</v>
      </c>
      <c r="N10" s="178">
        <v>42600</v>
      </c>
      <c r="O10" s="178">
        <v>46400</v>
      </c>
      <c r="P10" s="178">
        <v>47800</v>
      </c>
      <c r="Q10" s="178">
        <v>47000</v>
      </c>
      <c r="R10" s="178">
        <v>49100</v>
      </c>
      <c r="S10" s="178">
        <v>52210</v>
      </c>
      <c r="T10" s="178">
        <v>56230</v>
      </c>
      <c r="U10" s="6"/>
      <c r="X10" s="187">
        <v>44105</v>
      </c>
      <c r="Y10" s="190">
        <v>477.02999933584061</v>
      </c>
      <c r="Z10" s="190">
        <v>37785.003169458461</v>
      </c>
      <c r="AA10" s="190">
        <v>32784.650000057853</v>
      </c>
      <c r="AB10" s="190">
        <v>33901.689999092261</v>
      </c>
      <c r="AC10" s="178">
        <v>32600</v>
      </c>
      <c r="AD10" s="178">
        <v>50700</v>
      </c>
      <c r="AE10" s="178">
        <v>38800</v>
      </c>
      <c r="AF10" s="178">
        <v>20000</v>
      </c>
      <c r="AG10" s="178">
        <v>36000</v>
      </c>
      <c r="AH10" s="176">
        <v>46735.210500000001</v>
      </c>
      <c r="AI10" s="176">
        <v>45567.037900000003</v>
      </c>
    </row>
    <row r="11" spans="2:35" x14ac:dyDescent="0.25">
      <c r="B11" s="168" t="s">
        <v>142</v>
      </c>
      <c r="C11" s="188" t="s">
        <v>13</v>
      </c>
      <c r="D11" s="178">
        <v>14400</v>
      </c>
      <c r="E11" s="178">
        <v>10800</v>
      </c>
      <c r="F11" s="178">
        <v>14100</v>
      </c>
      <c r="G11" s="178">
        <v>18300</v>
      </c>
      <c r="H11" s="178">
        <v>20100</v>
      </c>
      <c r="I11" s="178">
        <v>21300</v>
      </c>
      <c r="J11" s="178">
        <v>20000</v>
      </c>
      <c r="K11" s="178">
        <v>20600</v>
      </c>
      <c r="L11" s="178">
        <v>21500</v>
      </c>
      <c r="M11" s="178">
        <v>23400</v>
      </c>
      <c r="N11" s="178">
        <v>24700</v>
      </c>
      <c r="O11" s="178">
        <v>27200</v>
      </c>
      <c r="P11" s="178">
        <v>28300</v>
      </c>
      <c r="Q11" s="178">
        <v>29000</v>
      </c>
      <c r="R11" s="178">
        <v>29700</v>
      </c>
      <c r="S11" s="178">
        <v>31350</v>
      </c>
      <c r="T11" s="178">
        <v>30470</v>
      </c>
      <c r="U11" s="6"/>
      <c r="X11" s="187">
        <v>44136</v>
      </c>
      <c r="Y11" s="190">
        <v>477.0299987228392</v>
      </c>
      <c r="Z11" s="190">
        <v>37784.998609567294</v>
      </c>
      <c r="AA11" s="190">
        <v>32784.662094583211</v>
      </c>
      <c r="AB11" s="190">
        <v>33901.802870995067</v>
      </c>
      <c r="AC11" s="178">
        <v>32500</v>
      </c>
      <c r="AD11" s="178">
        <v>66900</v>
      </c>
      <c r="AE11" s="178">
        <v>38500</v>
      </c>
      <c r="AF11" s="178">
        <v>20600</v>
      </c>
      <c r="AG11" s="178">
        <v>35700</v>
      </c>
      <c r="AH11" s="176">
        <v>45464.940600000002</v>
      </c>
      <c r="AI11" s="176">
        <v>45551.344700000001</v>
      </c>
    </row>
    <row r="12" spans="2:35" x14ac:dyDescent="0.25">
      <c r="B12" s="168" t="s">
        <v>143</v>
      </c>
      <c r="C12" s="188" t="s">
        <v>13</v>
      </c>
      <c r="D12" s="178">
        <v>25000</v>
      </c>
      <c r="E12" s="178">
        <v>19100</v>
      </c>
      <c r="F12" s="178">
        <v>25000</v>
      </c>
      <c r="G12" s="178">
        <v>31800</v>
      </c>
      <c r="H12" s="178">
        <v>33800</v>
      </c>
      <c r="I12" s="178">
        <v>35100</v>
      </c>
      <c r="J12" s="178">
        <v>36000</v>
      </c>
      <c r="K12" s="178">
        <v>35700</v>
      </c>
      <c r="L12" s="178">
        <v>35700</v>
      </c>
      <c r="M12" s="178">
        <v>39300</v>
      </c>
      <c r="N12" s="178">
        <v>42500</v>
      </c>
      <c r="O12" s="178">
        <v>46600</v>
      </c>
      <c r="P12" s="178">
        <v>48300</v>
      </c>
      <c r="Q12" s="178">
        <v>44700</v>
      </c>
      <c r="R12" s="178">
        <v>47100</v>
      </c>
      <c r="S12" s="178">
        <v>50610</v>
      </c>
      <c r="T12" s="178">
        <v>50620</v>
      </c>
      <c r="U12" s="6"/>
      <c r="X12" s="187">
        <v>44166</v>
      </c>
      <c r="Y12" s="190">
        <v>477.03000120117383</v>
      </c>
      <c r="Z12" s="190">
        <v>37785.002735010901</v>
      </c>
      <c r="AA12" s="190">
        <v>32784.673123870241</v>
      </c>
      <c r="AB12" s="190">
        <v>33901.539351772124</v>
      </c>
      <c r="AC12" s="178">
        <v>40800</v>
      </c>
      <c r="AD12" s="178">
        <v>94800</v>
      </c>
      <c r="AE12" s="178">
        <v>34300</v>
      </c>
      <c r="AF12" s="178">
        <v>21500</v>
      </c>
      <c r="AG12" s="178">
        <v>35700</v>
      </c>
      <c r="AH12" s="176">
        <v>48436.609799999998</v>
      </c>
      <c r="AI12" s="176">
        <v>52977.7183</v>
      </c>
    </row>
    <row r="13" spans="2:35" x14ac:dyDescent="0.25">
      <c r="B13" s="173" t="s">
        <v>11</v>
      </c>
      <c r="C13" s="188" t="s">
        <v>13</v>
      </c>
      <c r="D13" s="174">
        <v>49460</v>
      </c>
      <c r="E13" s="175">
        <v>43795.099499999997</v>
      </c>
      <c r="F13" s="176">
        <v>42050.604499999994</v>
      </c>
      <c r="G13" s="176">
        <v>47237.206599999998</v>
      </c>
      <c r="H13" s="176">
        <v>45659.241399999999</v>
      </c>
      <c r="I13" s="176">
        <v>46735.210500000001</v>
      </c>
      <c r="J13" s="176">
        <v>46735.210500000001</v>
      </c>
      <c r="K13" s="176">
        <v>45464.940600000002</v>
      </c>
      <c r="L13" s="176">
        <v>48436.609799999998</v>
      </c>
      <c r="M13" s="174">
        <v>53598.111700000001</v>
      </c>
      <c r="N13" s="174">
        <v>57090.623</v>
      </c>
      <c r="O13" s="174">
        <v>60231.727200000001</v>
      </c>
      <c r="P13" s="180">
        <v>56385.633399999999</v>
      </c>
      <c r="Q13" s="174">
        <v>53572.579100000003</v>
      </c>
      <c r="R13" s="176">
        <v>59103.241900000001</v>
      </c>
      <c r="S13" s="180">
        <v>64840.866300000002</v>
      </c>
      <c r="T13" s="176">
        <v>65196.506300000001</v>
      </c>
      <c r="U13" s="6"/>
      <c r="X13" s="187">
        <v>44197</v>
      </c>
      <c r="Y13" s="190">
        <v>446.04724461052189</v>
      </c>
      <c r="Z13" s="189">
        <v>37720.380794380078</v>
      </c>
      <c r="AA13" s="190">
        <v>32890.269765842815</v>
      </c>
      <c r="AB13" s="190">
        <v>33592.027306653428</v>
      </c>
      <c r="AC13" s="178">
        <v>47900</v>
      </c>
      <c r="AD13" s="178">
        <v>86100</v>
      </c>
      <c r="AE13" s="178">
        <v>37200</v>
      </c>
      <c r="AF13" s="178">
        <v>23400</v>
      </c>
      <c r="AG13" s="178">
        <v>39300</v>
      </c>
      <c r="AH13" s="174">
        <v>53598.111700000001</v>
      </c>
      <c r="AI13" s="174">
        <v>48773.8367</v>
      </c>
    </row>
    <row r="14" spans="2:35" x14ac:dyDescent="0.25">
      <c r="B14" s="173" t="s">
        <v>126</v>
      </c>
      <c r="C14" s="188" t="s">
        <v>13</v>
      </c>
      <c r="D14" s="174">
        <v>45898</v>
      </c>
      <c r="E14" s="175">
        <v>36484.664299999997</v>
      </c>
      <c r="F14" s="176">
        <v>40791.653799999993</v>
      </c>
      <c r="G14" s="176">
        <v>44491.786500000002</v>
      </c>
      <c r="H14" s="176">
        <v>42934.107300000003</v>
      </c>
      <c r="I14" s="176">
        <v>45567.037900000003</v>
      </c>
      <c r="J14" s="176">
        <v>45567.037900000003</v>
      </c>
      <c r="K14" s="176">
        <v>45551.344700000001</v>
      </c>
      <c r="L14" s="176">
        <v>52977.7183</v>
      </c>
      <c r="M14" s="174">
        <v>48773.8367</v>
      </c>
      <c r="N14" s="174">
        <v>53903.338499999998</v>
      </c>
      <c r="O14" s="174">
        <v>55804.783000000003</v>
      </c>
      <c r="P14" s="180">
        <v>55089.6492</v>
      </c>
      <c r="Q14" s="174">
        <v>58568.480499999998</v>
      </c>
      <c r="R14" s="176">
        <v>56787.011599999998</v>
      </c>
      <c r="S14" s="180">
        <v>66414.992700000003</v>
      </c>
      <c r="T14" s="176">
        <v>62354.181700000001</v>
      </c>
      <c r="U14" s="6"/>
      <c r="X14" s="187">
        <v>44228</v>
      </c>
      <c r="Y14" s="190">
        <v>477.02999818766585</v>
      </c>
      <c r="Z14" s="190">
        <v>37785.001352562213</v>
      </c>
      <c r="AA14" s="190">
        <v>32784.641954149178</v>
      </c>
      <c r="AB14" s="190">
        <v>33901.801759617003</v>
      </c>
      <c r="AC14" s="178">
        <v>48900</v>
      </c>
      <c r="AD14" s="178">
        <v>58900</v>
      </c>
      <c r="AE14" s="178">
        <v>42600</v>
      </c>
      <c r="AF14" s="178">
        <v>24700</v>
      </c>
      <c r="AG14" s="178">
        <v>42500</v>
      </c>
      <c r="AH14" s="174">
        <v>57090.623</v>
      </c>
      <c r="AI14" s="174">
        <v>53903.338499999998</v>
      </c>
    </row>
    <row r="15" spans="2:35" x14ac:dyDescent="0.25">
      <c r="X15" s="187">
        <v>44256</v>
      </c>
      <c r="Y15" s="190">
        <v>293.71076839145502</v>
      </c>
      <c r="Z15" s="190">
        <v>37686.658768706198</v>
      </c>
      <c r="AA15" s="190">
        <v>32954.092846983003</v>
      </c>
      <c r="AB15" s="190">
        <v>33432.881492129702</v>
      </c>
      <c r="AC15" s="178">
        <v>57200</v>
      </c>
      <c r="AD15" s="178">
        <v>57400</v>
      </c>
      <c r="AE15" s="178">
        <v>46400</v>
      </c>
      <c r="AF15" s="178">
        <v>27200</v>
      </c>
      <c r="AG15" s="178">
        <v>46600</v>
      </c>
      <c r="AH15" s="174">
        <v>60231.727200000001</v>
      </c>
      <c r="AI15" s="174">
        <v>55804.783000000003</v>
      </c>
    </row>
    <row r="16" spans="2:35" x14ac:dyDescent="0.25">
      <c r="X16" s="187">
        <v>44287</v>
      </c>
      <c r="Y16" s="190">
        <v>475.88662705284202</v>
      </c>
      <c r="Z16" s="190">
        <v>31629.117950505599</v>
      </c>
      <c r="AA16" s="190">
        <v>31880.030121968</v>
      </c>
      <c r="AB16" s="190">
        <v>30426.501429242599</v>
      </c>
      <c r="AC16" s="178">
        <v>62200</v>
      </c>
      <c r="AD16" s="178">
        <v>80900</v>
      </c>
      <c r="AE16" s="178">
        <v>47800</v>
      </c>
      <c r="AF16" s="178">
        <v>28300</v>
      </c>
      <c r="AG16" s="178">
        <v>48300</v>
      </c>
      <c r="AH16" s="180">
        <v>56385.633399999999</v>
      </c>
      <c r="AI16" s="180">
        <v>55089.6492</v>
      </c>
    </row>
    <row r="17" spans="24:35" x14ac:dyDescent="0.25">
      <c r="X17" s="187">
        <v>44317</v>
      </c>
      <c r="Y17" s="190">
        <v>478.95501965343499</v>
      </c>
      <c r="Z17" s="190">
        <v>31505.489857663801</v>
      </c>
      <c r="AA17" s="190">
        <v>31773.603629868601</v>
      </c>
      <c r="AB17" s="190">
        <v>30302.8782349553</v>
      </c>
      <c r="AC17" s="178">
        <v>70100</v>
      </c>
      <c r="AD17" s="178">
        <v>72100</v>
      </c>
      <c r="AE17" s="178">
        <v>47000</v>
      </c>
      <c r="AF17" s="178">
        <v>29000</v>
      </c>
      <c r="AG17" s="178">
        <v>44700</v>
      </c>
      <c r="AH17" s="174">
        <v>53572.579100000003</v>
      </c>
      <c r="AI17" s="174">
        <v>58568.480499999998</v>
      </c>
    </row>
    <row r="18" spans="24:35" x14ac:dyDescent="0.25">
      <c r="X18" s="187">
        <v>44348</v>
      </c>
      <c r="Y18" s="190">
        <v>480.49000132314575</v>
      </c>
      <c r="Z18" s="190">
        <v>31477.838423220976</v>
      </c>
      <c r="AA18" s="190">
        <v>31613.762096553208</v>
      </c>
      <c r="AB18" s="190">
        <v>30710.184878913173</v>
      </c>
      <c r="AC18" s="178">
        <v>75100</v>
      </c>
      <c r="AD18" s="178">
        <v>73600</v>
      </c>
      <c r="AE18" s="178">
        <v>49100</v>
      </c>
      <c r="AF18" s="178">
        <v>29700</v>
      </c>
      <c r="AG18" s="178">
        <v>47100</v>
      </c>
      <c r="AH18" s="176">
        <v>59103.241900000001</v>
      </c>
      <c r="AI18" s="176">
        <v>56787.011599999998</v>
      </c>
    </row>
    <row r="19" spans="24:35" x14ac:dyDescent="0.25">
      <c r="X19" s="187">
        <v>44378</v>
      </c>
      <c r="Y19" s="190">
        <v>480.48999878357478</v>
      </c>
      <c r="Z19" s="190">
        <v>31477.840031723819</v>
      </c>
      <c r="AA19" s="190">
        <v>31613.758425929038</v>
      </c>
      <c r="AB19" s="190">
        <v>30710.491752736238</v>
      </c>
      <c r="AC19" s="178">
        <v>71430</v>
      </c>
      <c r="AD19" s="178">
        <v>88040</v>
      </c>
      <c r="AE19" s="178">
        <v>52210</v>
      </c>
      <c r="AF19" s="178">
        <v>31350</v>
      </c>
      <c r="AG19" s="178">
        <v>50610</v>
      </c>
      <c r="AH19" s="180">
        <v>64840.866300000002</v>
      </c>
      <c r="AI19" s="180">
        <v>66414.992700000003</v>
      </c>
    </row>
    <row r="20" spans="24:35" x14ac:dyDescent="0.25">
      <c r="X20" s="187">
        <v>44409</v>
      </c>
      <c r="Y20" s="190">
        <v>480.48999950975451</v>
      </c>
      <c r="Z20" s="190">
        <v>31477.838852560784</v>
      </c>
      <c r="AA20" s="190">
        <v>31613.76238850132</v>
      </c>
      <c r="AB20" s="190">
        <v>30710.334612144194</v>
      </c>
      <c r="AC20" s="178">
        <v>78990</v>
      </c>
      <c r="AD20" s="178">
        <v>107190</v>
      </c>
      <c r="AE20" s="178">
        <v>56230</v>
      </c>
      <c r="AF20" s="178">
        <v>30470</v>
      </c>
      <c r="AG20" s="178">
        <v>50620</v>
      </c>
      <c r="AH20" s="176">
        <v>65196.506300000001</v>
      </c>
      <c r="AI20" s="176">
        <v>62354.181700000001</v>
      </c>
    </row>
    <row r="21" spans="24:35" x14ac:dyDescent="0.25">
      <c r="X21" s="187">
        <v>44440</v>
      </c>
      <c r="Y21" s="6"/>
      <c r="Z21" s="6"/>
      <c r="AA21" s="6"/>
      <c r="AB21" s="6"/>
      <c r="AC21" s="6"/>
      <c r="AD21" s="6"/>
      <c r="AE21" s="6"/>
      <c r="AF21" s="6"/>
      <c r="AG21" s="6"/>
      <c r="AH21" s="6"/>
      <c r="AI21" s="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C1:F79"/>
  <sheetViews>
    <sheetView topLeftCell="A58" workbookViewId="0">
      <selection activeCell="M84" sqref="M84"/>
    </sheetView>
  </sheetViews>
  <sheetFormatPr defaultRowHeight="15" x14ac:dyDescent="0.25"/>
  <cols>
    <col min="4" max="4" width="10.140625" bestFit="1" customWidth="1"/>
    <col min="5" max="5" width="13.140625" bestFit="1" customWidth="1"/>
  </cols>
  <sheetData>
    <row r="1" spans="3:6" x14ac:dyDescent="0.25">
      <c r="D1" t="s">
        <v>109</v>
      </c>
      <c r="E1" t="s">
        <v>111</v>
      </c>
      <c r="F1" t="s">
        <v>136</v>
      </c>
    </row>
    <row r="2" spans="3:6" x14ac:dyDescent="0.25">
      <c r="C2" t="s">
        <v>110</v>
      </c>
      <c r="D2" s="121">
        <v>36575</v>
      </c>
      <c r="E2">
        <v>49600</v>
      </c>
    </row>
    <row r="3" spans="3:6" x14ac:dyDescent="0.25">
      <c r="C3" t="s">
        <v>110</v>
      </c>
      <c r="D3" s="121">
        <v>36770</v>
      </c>
      <c r="E3">
        <v>52200</v>
      </c>
    </row>
    <row r="4" spans="3:6" x14ac:dyDescent="0.25">
      <c r="C4" t="s">
        <v>110</v>
      </c>
      <c r="D4" s="121">
        <v>36824</v>
      </c>
      <c r="E4">
        <v>50344</v>
      </c>
    </row>
    <row r="5" spans="3:6" x14ac:dyDescent="0.25">
      <c r="C5" t="s">
        <v>110</v>
      </c>
      <c r="D5" s="121">
        <v>36861</v>
      </c>
      <c r="E5">
        <v>46400</v>
      </c>
    </row>
    <row r="6" spans="3:6" x14ac:dyDescent="0.25">
      <c r="C6" t="s">
        <v>110</v>
      </c>
      <c r="D6" s="121">
        <v>36892</v>
      </c>
      <c r="E6">
        <v>46400</v>
      </c>
    </row>
    <row r="7" spans="3:6" x14ac:dyDescent="0.25">
      <c r="C7" t="s">
        <v>110</v>
      </c>
      <c r="D7" s="121">
        <v>36951</v>
      </c>
      <c r="E7">
        <v>47560</v>
      </c>
    </row>
    <row r="8" spans="3:6" x14ac:dyDescent="0.25">
      <c r="C8" t="s">
        <v>110</v>
      </c>
      <c r="D8" s="121">
        <v>36984</v>
      </c>
      <c r="E8">
        <v>47560</v>
      </c>
    </row>
    <row r="9" spans="3:6" x14ac:dyDescent="0.25">
      <c r="C9" t="s">
        <v>110</v>
      </c>
      <c r="D9" s="121">
        <v>37043</v>
      </c>
      <c r="E9">
        <v>45240</v>
      </c>
    </row>
    <row r="10" spans="3:6" x14ac:dyDescent="0.25">
      <c r="C10" t="s">
        <v>110</v>
      </c>
      <c r="D10" s="121">
        <v>37073</v>
      </c>
      <c r="E10">
        <v>42340</v>
      </c>
    </row>
    <row r="11" spans="3:6" x14ac:dyDescent="0.25">
      <c r="C11" t="s">
        <v>110</v>
      </c>
      <c r="D11" s="121">
        <v>37104</v>
      </c>
      <c r="E11">
        <v>40600</v>
      </c>
    </row>
    <row r="12" spans="3:6" x14ac:dyDescent="0.25">
      <c r="C12" t="s">
        <v>110</v>
      </c>
      <c r="D12" s="121">
        <v>37135</v>
      </c>
      <c r="E12">
        <v>41760</v>
      </c>
    </row>
    <row r="13" spans="3:6" x14ac:dyDescent="0.25">
      <c r="C13" t="s">
        <v>110</v>
      </c>
      <c r="D13" s="121">
        <v>37165</v>
      </c>
      <c r="E13">
        <v>42920</v>
      </c>
    </row>
    <row r="14" spans="3:6" x14ac:dyDescent="0.25">
      <c r="C14" t="s">
        <v>110</v>
      </c>
      <c r="D14" s="121">
        <v>37196</v>
      </c>
      <c r="E14">
        <v>42920</v>
      </c>
    </row>
    <row r="15" spans="3:6" x14ac:dyDescent="0.25">
      <c r="C15" t="s">
        <v>110</v>
      </c>
      <c r="D15" s="121">
        <v>37226</v>
      </c>
      <c r="E15">
        <v>38280</v>
      </c>
    </row>
    <row r="16" spans="3:6" x14ac:dyDescent="0.25">
      <c r="C16" t="s">
        <v>110</v>
      </c>
      <c r="D16" s="121">
        <v>37257</v>
      </c>
      <c r="E16">
        <v>39440</v>
      </c>
    </row>
    <row r="17" spans="3:5" x14ac:dyDescent="0.25">
      <c r="C17" t="s">
        <v>110</v>
      </c>
      <c r="D17" s="121">
        <v>37288</v>
      </c>
      <c r="E17">
        <v>41760</v>
      </c>
    </row>
    <row r="18" spans="3:5" x14ac:dyDescent="0.25">
      <c r="C18" t="s">
        <v>110</v>
      </c>
      <c r="D18" s="121">
        <v>37302</v>
      </c>
      <c r="E18">
        <v>42920</v>
      </c>
    </row>
    <row r="19" spans="3:5" x14ac:dyDescent="0.25">
      <c r="C19" t="s">
        <v>110</v>
      </c>
      <c r="D19" s="121">
        <v>37316</v>
      </c>
      <c r="E19">
        <v>41760</v>
      </c>
    </row>
    <row r="20" spans="3:5" x14ac:dyDescent="0.25">
      <c r="C20" t="s">
        <v>110</v>
      </c>
      <c r="D20" s="121">
        <v>37333</v>
      </c>
      <c r="E20">
        <v>47560</v>
      </c>
    </row>
    <row r="21" spans="3:5" x14ac:dyDescent="0.25">
      <c r="C21" t="s">
        <v>110</v>
      </c>
      <c r="D21" s="121">
        <v>37361</v>
      </c>
      <c r="E21">
        <v>51736</v>
      </c>
    </row>
    <row r="22" spans="3:5" x14ac:dyDescent="0.25">
      <c r="C22" t="s">
        <v>110</v>
      </c>
      <c r="D22" s="121">
        <v>37377</v>
      </c>
      <c r="E22">
        <v>52896</v>
      </c>
    </row>
    <row r="23" spans="3:5" x14ac:dyDescent="0.25">
      <c r="C23" t="s">
        <v>110</v>
      </c>
      <c r="D23" s="121">
        <v>37417</v>
      </c>
      <c r="E23">
        <v>47096</v>
      </c>
    </row>
    <row r="24" spans="3:5" x14ac:dyDescent="0.25">
      <c r="C24" t="s">
        <v>110</v>
      </c>
      <c r="D24" s="121">
        <v>37500</v>
      </c>
      <c r="E24">
        <v>47936</v>
      </c>
    </row>
    <row r="25" spans="3:5" x14ac:dyDescent="0.25">
      <c r="C25" t="s">
        <v>110</v>
      </c>
      <c r="D25" s="121">
        <v>37530</v>
      </c>
      <c r="E25">
        <v>43616</v>
      </c>
    </row>
    <row r="26" spans="3:5" x14ac:dyDescent="0.25">
      <c r="C26" t="s">
        <v>110</v>
      </c>
      <c r="D26" s="121">
        <v>37575</v>
      </c>
      <c r="E26">
        <v>40716</v>
      </c>
    </row>
    <row r="27" spans="3:5" x14ac:dyDescent="0.25">
      <c r="C27" t="s">
        <v>110</v>
      </c>
      <c r="D27" s="121">
        <v>37592</v>
      </c>
      <c r="E27">
        <v>41876</v>
      </c>
    </row>
    <row r="28" spans="3:5" x14ac:dyDescent="0.25">
      <c r="C28" t="s">
        <v>110</v>
      </c>
      <c r="D28" s="121">
        <v>37597</v>
      </c>
      <c r="E28">
        <v>43036</v>
      </c>
    </row>
    <row r="29" spans="3:5" x14ac:dyDescent="0.25">
      <c r="C29" t="s">
        <v>110</v>
      </c>
      <c r="D29" s="121">
        <v>37602</v>
      </c>
      <c r="E29">
        <v>45356</v>
      </c>
    </row>
    <row r="30" spans="3:5" x14ac:dyDescent="0.25">
      <c r="C30" t="s">
        <v>110</v>
      </c>
      <c r="D30" s="121">
        <v>37614</v>
      </c>
      <c r="E30">
        <v>47676</v>
      </c>
    </row>
    <row r="31" spans="3:5" x14ac:dyDescent="0.25">
      <c r="C31" t="s">
        <v>110</v>
      </c>
      <c r="D31" s="121">
        <v>37622</v>
      </c>
      <c r="E31">
        <v>48836</v>
      </c>
    </row>
    <row r="32" spans="3:5" x14ac:dyDescent="0.25">
      <c r="C32" t="s">
        <v>110</v>
      </c>
      <c r="D32" s="121">
        <v>37722</v>
      </c>
      <c r="E32">
        <v>43616</v>
      </c>
    </row>
    <row r="33" spans="3:5" x14ac:dyDescent="0.25">
      <c r="C33" t="s">
        <v>110</v>
      </c>
      <c r="D33" s="121">
        <v>37834</v>
      </c>
      <c r="E33">
        <v>44660</v>
      </c>
    </row>
    <row r="34" spans="3:5" x14ac:dyDescent="0.25">
      <c r="C34" t="s">
        <v>110</v>
      </c>
      <c r="D34" s="121">
        <v>37847</v>
      </c>
      <c r="E34">
        <v>46400</v>
      </c>
    </row>
    <row r="35" spans="3:5" x14ac:dyDescent="0.25">
      <c r="C35" t="s">
        <v>110</v>
      </c>
      <c r="D35" s="121">
        <v>37865</v>
      </c>
      <c r="E35">
        <v>48720</v>
      </c>
    </row>
    <row r="36" spans="3:5" x14ac:dyDescent="0.25">
      <c r="C36" t="s">
        <v>110</v>
      </c>
      <c r="D36" s="121">
        <v>37895</v>
      </c>
      <c r="E36">
        <v>46516</v>
      </c>
    </row>
    <row r="37" spans="3:5" x14ac:dyDescent="0.25">
      <c r="C37" t="s">
        <v>110</v>
      </c>
      <c r="D37" s="121">
        <v>37926</v>
      </c>
      <c r="E37">
        <v>48676</v>
      </c>
    </row>
    <row r="38" spans="3:5" x14ac:dyDescent="0.25">
      <c r="C38" t="s">
        <v>110</v>
      </c>
      <c r="D38" s="121">
        <v>37956</v>
      </c>
      <c r="E38">
        <v>48836</v>
      </c>
    </row>
    <row r="39" spans="3:5" x14ac:dyDescent="0.25">
      <c r="C39" t="s">
        <v>110</v>
      </c>
      <c r="D39" s="121">
        <v>38200</v>
      </c>
      <c r="E39">
        <v>55830</v>
      </c>
    </row>
    <row r="40" spans="3:5" x14ac:dyDescent="0.25">
      <c r="C40" t="s">
        <v>110</v>
      </c>
      <c r="D40" s="121">
        <v>38337</v>
      </c>
      <c r="E40">
        <v>52751</v>
      </c>
    </row>
    <row r="41" spans="3:5" x14ac:dyDescent="0.25">
      <c r="C41" t="s">
        <v>110</v>
      </c>
      <c r="D41" s="121">
        <v>38527</v>
      </c>
      <c r="E41">
        <v>46526</v>
      </c>
    </row>
    <row r="42" spans="3:5" x14ac:dyDescent="0.25">
      <c r="C42" t="s">
        <v>110</v>
      </c>
      <c r="D42" s="121">
        <v>38687</v>
      </c>
      <c r="E42">
        <v>44202</v>
      </c>
    </row>
    <row r="43" spans="3:5" x14ac:dyDescent="0.25">
      <c r="C43" t="s">
        <v>110</v>
      </c>
      <c r="D43" s="121">
        <v>38869</v>
      </c>
      <c r="E43">
        <v>50018</v>
      </c>
    </row>
    <row r="44" spans="3:5" x14ac:dyDescent="0.25">
      <c r="C44" t="s">
        <v>110</v>
      </c>
      <c r="D44" s="121">
        <v>39066</v>
      </c>
      <c r="E44">
        <v>48273</v>
      </c>
    </row>
    <row r="45" spans="3:5" x14ac:dyDescent="0.25">
      <c r="C45" t="s">
        <v>110</v>
      </c>
      <c r="D45" s="121">
        <v>39083</v>
      </c>
      <c r="E45">
        <v>49436</v>
      </c>
    </row>
    <row r="46" spans="3:5" x14ac:dyDescent="0.25">
      <c r="C46" t="s">
        <v>110</v>
      </c>
      <c r="D46" s="121">
        <v>39217</v>
      </c>
      <c r="E46">
        <v>52998</v>
      </c>
    </row>
    <row r="47" spans="3:5" x14ac:dyDescent="0.25">
      <c r="C47" t="s">
        <v>110</v>
      </c>
      <c r="D47" s="121">
        <v>39401</v>
      </c>
      <c r="E47">
        <v>52416</v>
      </c>
    </row>
    <row r="48" spans="3:5" x14ac:dyDescent="0.25">
      <c r="C48" t="s">
        <v>112</v>
      </c>
      <c r="D48" s="121">
        <v>39644</v>
      </c>
      <c r="E48">
        <v>74110</v>
      </c>
    </row>
    <row r="49" spans="3:5" x14ac:dyDescent="0.25">
      <c r="C49" t="s">
        <v>112</v>
      </c>
      <c r="D49" s="121">
        <v>39786</v>
      </c>
      <c r="E49">
        <v>44349</v>
      </c>
    </row>
    <row r="50" spans="3:5" x14ac:dyDescent="0.25">
      <c r="C50" t="s">
        <v>112</v>
      </c>
      <c r="D50" s="121">
        <v>39954</v>
      </c>
      <c r="E50">
        <v>48578</v>
      </c>
    </row>
    <row r="51" spans="3:5" x14ac:dyDescent="0.25">
      <c r="C51" t="s">
        <v>112</v>
      </c>
      <c r="D51" s="121">
        <v>40171</v>
      </c>
      <c r="E51">
        <v>56858</v>
      </c>
    </row>
    <row r="52" spans="3:5" x14ac:dyDescent="0.25">
      <c r="C52" t="s">
        <v>112</v>
      </c>
      <c r="D52" s="121">
        <v>40391</v>
      </c>
      <c r="E52">
        <v>57941</v>
      </c>
    </row>
    <row r="53" spans="3:5" x14ac:dyDescent="0.25">
      <c r="C53" t="s">
        <v>112</v>
      </c>
      <c r="D53" s="121">
        <v>40513</v>
      </c>
      <c r="E53">
        <v>56816</v>
      </c>
    </row>
    <row r="54" spans="3:5" x14ac:dyDescent="0.25">
      <c r="C54" t="s">
        <v>112</v>
      </c>
      <c r="D54" s="121">
        <v>40664</v>
      </c>
      <c r="E54">
        <v>68066</v>
      </c>
    </row>
    <row r="55" spans="3:5" x14ac:dyDescent="0.25">
      <c r="C55" t="s">
        <v>112</v>
      </c>
      <c r="D55" s="121">
        <v>40878</v>
      </c>
      <c r="E55">
        <v>61878</v>
      </c>
    </row>
    <row r="56" spans="3:5" x14ac:dyDescent="0.25">
      <c r="C56" t="s">
        <v>112</v>
      </c>
      <c r="D56" s="121">
        <v>41061</v>
      </c>
      <c r="E56">
        <v>69910</v>
      </c>
    </row>
    <row r="57" spans="3:5" x14ac:dyDescent="0.25">
      <c r="C57" t="s">
        <v>112</v>
      </c>
      <c r="D57" s="121">
        <v>41214</v>
      </c>
      <c r="E57">
        <v>67045</v>
      </c>
    </row>
    <row r="58" spans="3:5" x14ac:dyDescent="0.25">
      <c r="C58" t="s">
        <v>112</v>
      </c>
      <c r="D58" s="121">
        <v>41426</v>
      </c>
      <c r="E58">
        <v>75068</v>
      </c>
    </row>
    <row r="59" spans="3:5" x14ac:dyDescent="0.25">
      <c r="C59" t="s">
        <v>112</v>
      </c>
      <c r="D59" s="121">
        <v>41609</v>
      </c>
      <c r="E59">
        <v>81944</v>
      </c>
    </row>
    <row r="60" spans="3:5" x14ac:dyDescent="0.25">
      <c r="C60" t="s">
        <v>112</v>
      </c>
      <c r="D60" s="121">
        <v>41872</v>
      </c>
      <c r="E60">
        <v>87904</v>
      </c>
    </row>
    <row r="61" spans="3:5" x14ac:dyDescent="0.25">
      <c r="C61" t="s">
        <v>112</v>
      </c>
      <c r="D61" s="121">
        <v>41991</v>
      </c>
      <c r="E61">
        <v>65670</v>
      </c>
    </row>
    <row r="62" spans="3:5" x14ac:dyDescent="0.25">
      <c r="C62" t="s">
        <v>112</v>
      </c>
      <c r="D62" s="121">
        <v>42355</v>
      </c>
      <c r="E62">
        <v>68850</v>
      </c>
    </row>
    <row r="63" spans="3:5" x14ac:dyDescent="0.25">
      <c r="C63" t="s">
        <v>112</v>
      </c>
      <c r="D63" s="121">
        <v>42532</v>
      </c>
      <c r="E63">
        <v>75161</v>
      </c>
    </row>
    <row r="64" spans="3:5" x14ac:dyDescent="0.25">
      <c r="C64" t="s">
        <v>112</v>
      </c>
      <c r="D64" s="121">
        <v>42565</v>
      </c>
      <c r="E64">
        <v>68500</v>
      </c>
    </row>
    <row r="65" spans="3:6" x14ac:dyDescent="0.25">
      <c r="C65" t="s">
        <v>112</v>
      </c>
      <c r="D65" s="121">
        <v>42715</v>
      </c>
      <c r="E65">
        <v>74000</v>
      </c>
    </row>
    <row r="66" spans="3:6" x14ac:dyDescent="0.25">
      <c r="C66" t="s">
        <v>112</v>
      </c>
      <c r="D66" s="121">
        <v>42979</v>
      </c>
      <c r="E66">
        <v>71500</v>
      </c>
    </row>
    <row r="67" spans="3:6" x14ac:dyDescent="0.25">
      <c r="C67" t="s">
        <v>112</v>
      </c>
      <c r="D67" s="121">
        <v>43089</v>
      </c>
      <c r="E67">
        <v>69500</v>
      </c>
      <c r="F67">
        <v>78153</v>
      </c>
    </row>
    <row r="68" spans="3:6" x14ac:dyDescent="0.25">
      <c r="C68" t="s">
        <v>112</v>
      </c>
      <c r="D68" s="121">
        <v>43237</v>
      </c>
      <c r="E68">
        <v>75553</v>
      </c>
      <c r="F68">
        <v>84149</v>
      </c>
    </row>
    <row r="69" spans="3:6" x14ac:dyDescent="0.25">
      <c r="C69" t="s">
        <v>112</v>
      </c>
      <c r="D69" s="121">
        <v>43454</v>
      </c>
      <c r="E69">
        <v>76103</v>
      </c>
      <c r="F69">
        <v>78257</v>
      </c>
    </row>
    <row r="70" spans="3:6" x14ac:dyDescent="0.25">
      <c r="C70" t="s">
        <v>112</v>
      </c>
      <c r="D70" s="121">
        <v>43586</v>
      </c>
      <c r="E70">
        <v>69504</v>
      </c>
      <c r="F70">
        <v>76721</v>
      </c>
    </row>
    <row r="71" spans="3:6" x14ac:dyDescent="0.25">
      <c r="C71" t="s">
        <v>112</v>
      </c>
      <c r="D71" s="121">
        <v>43800</v>
      </c>
      <c r="E71">
        <v>73001</v>
      </c>
      <c r="F71">
        <v>68726</v>
      </c>
    </row>
    <row r="72" spans="3:6" x14ac:dyDescent="0.25">
      <c r="C72" t="s">
        <v>112</v>
      </c>
      <c r="D72" s="121">
        <v>43922</v>
      </c>
      <c r="E72">
        <v>72492</v>
      </c>
      <c r="F72">
        <v>69236</v>
      </c>
    </row>
    <row r="73" spans="3:6" x14ac:dyDescent="0.25">
      <c r="C73" t="s">
        <v>112</v>
      </c>
      <c r="D73" s="121">
        <v>43969</v>
      </c>
      <c r="E73">
        <v>64992</v>
      </c>
      <c r="F73">
        <v>63250</v>
      </c>
    </row>
    <row r="74" spans="3:6" x14ac:dyDescent="0.25">
      <c r="C74" t="s">
        <v>112</v>
      </c>
      <c r="D74" s="121">
        <v>44044</v>
      </c>
      <c r="E74">
        <v>77545</v>
      </c>
      <c r="F74">
        <v>73484</v>
      </c>
    </row>
    <row r="75" spans="3:6" x14ac:dyDescent="0.25">
      <c r="C75" t="s">
        <v>112</v>
      </c>
      <c r="D75" s="121">
        <v>44075</v>
      </c>
      <c r="E75">
        <v>83545</v>
      </c>
      <c r="F75">
        <v>73993</v>
      </c>
    </row>
    <row r="76" spans="3:6" x14ac:dyDescent="0.25">
      <c r="C76" t="s">
        <v>112</v>
      </c>
      <c r="D76" s="121">
        <v>44136</v>
      </c>
      <c r="E76">
        <v>98575</v>
      </c>
      <c r="F76">
        <v>78508</v>
      </c>
    </row>
    <row r="77" spans="3:6" x14ac:dyDescent="0.25">
      <c r="C77" t="s">
        <v>112</v>
      </c>
      <c r="D77" s="121">
        <v>44166</v>
      </c>
      <c r="E77">
        <v>108575</v>
      </c>
      <c r="F77">
        <v>85256</v>
      </c>
    </row>
    <row r="78" spans="3:6" x14ac:dyDescent="0.25">
      <c r="C78" t="s">
        <v>112</v>
      </c>
      <c r="D78" s="121">
        <v>44184</v>
      </c>
      <c r="E78">
        <v>114575</v>
      </c>
      <c r="F78">
        <v>87258</v>
      </c>
    </row>
    <row r="79" spans="3:6" x14ac:dyDescent="0.25">
      <c r="C79" t="s">
        <v>112</v>
      </c>
      <c r="D79" s="121">
        <v>44197</v>
      </c>
      <c r="E79">
        <v>118600</v>
      </c>
      <c r="F79">
        <v>87536</v>
      </c>
    </row>
  </sheetData>
  <sortState xmlns:xlrd2="http://schemas.microsoft.com/office/spreadsheetml/2017/richdata2" ref="D2:E79">
    <sortCondition ref="D2:D7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30</vt:i4>
      </vt:variant>
      <vt:variant>
        <vt:lpstr>Charts</vt:lpstr>
      </vt:variant>
      <vt:variant>
        <vt:i4>5</vt:i4>
      </vt:variant>
      <vt:variant>
        <vt:lpstr>Named Ranges</vt:lpstr>
      </vt:variant>
      <vt:variant>
        <vt:i4>3</vt:i4>
      </vt:variant>
    </vt:vector>
  </HeadingPairs>
  <TitlesOfParts>
    <vt:vector size="38" baseType="lpstr">
      <vt:lpstr>Sheet1</vt:lpstr>
      <vt:lpstr>Capex estimates</vt:lpstr>
      <vt:lpstr>DFCU-AU Production</vt:lpstr>
      <vt:lpstr>CPP</vt:lpstr>
      <vt:lpstr>Complex Contribution</vt:lpstr>
      <vt:lpstr>Dashboard</vt:lpstr>
      <vt:lpstr>Feedstock Mix (Input)</vt:lpstr>
      <vt:lpstr>Products Output</vt:lpstr>
      <vt:lpstr>Yield_OPaL</vt:lpstr>
      <vt:lpstr>Datasheet</vt:lpstr>
      <vt:lpstr>CASHFLOW-IRR-PAYBACK</vt:lpstr>
      <vt:lpstr>SALES</vt:lpstr>
      <vt:lpstr>OPERATING COSTS</vt:lpstr>
      <vt:lpstr>Ethylene-Propylene COP</vt:lpstr>
      <vt:lpstr>Planning</vt:lpstr>
      <vt:lpstr>Polymer BOM</vt:lpstr>
      <vt:lpstr>Sheet4</vt:lpstr>
      <vt:lpstr>ASSUMPTIONS</vt:lpstr>
      <vt:lpstr>Prices and Cost of Production</vt:lpstr>
      <vt:lpstr>Prices and COP model</vt:lpstr>
      <vt:lpstr>Sheet7</vt:lpstr>
      <vt:lpstr>DFCU Yields as per PwC</vt:lpstr>
      <vt:lpstr>Polymer Prices</vt:lpstr>
      <vt:lpstr>Grade MIX</vt:lpstr>
      <vt:lpstr>Sheet2</vt:lpstr>
      <vt:lpstr>USD to INR</vt:lpstr>
      <vt:lpstr>Sheet3</vt:lpstr>
      <vt:lpstr>Phenol Price Prediction</vt:lpstr>
      <vt:lpstr>Feed Prices</vt:lpstr>
      <vt:lpstr>PVC Prices History</vt:lpstr>
      <vt:lpstr>Chart3</vt:lpstr>
      <vt:lpstr>Chart5</vt:lpstr>
      <vt:lpstr>Chart-Polymer Margins</vt:lpstr>
      <vt:lpstr>Chart6</vt:lpstr>
      <vt:lpstr>Chart7</vt:lpstr>
      <vt:lpstr>Feedstock</vt:lpstr>
      <vt:lpstr>Planning!Print_Area</vt:lpstr>
      <vt:lpstr>Yield_OPaL!Print_Area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bokde</dc:creator>
  <cp:lastModifiedBy>Hardik Malhotra</cp:lastModifiedBy>
  <cp:lastPrinted>2021-10-18T06:05:10Z</cp:lastPrinted>
  <dcterms:created xsi:type="dcterms:W3CDTF">2015-06-05T18:17:20Z</dcterms:created>
  <dcterms:modified xsi:type="dcterms:W3CDTF">2022-08-10T12:31:51Z</dcterms:modified>
</cp:coreProperties>
</file>